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omments1.xml" ContentType="application/vnd.openxmlformats-officedocument.spreadsheetml.comments+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30.xml" ContentType="application/vnd.openxmlformats-officedocument.drawing+xml"/>
  <Override PartName="/xl/ctrlProps/ctrlProp43.xml" ContentType="application/vnd.ms-excel.controlproperties+xml"/>
  <Override PartName="/xl/drawings/drawing31.xml" ContentType="application/vnd.openxmlformats-officedocument.drawing+xml"/>
  <Override PartName="/xl/drawings/drawing32.xml" ContentType="application/vnd.openxmlformats-officedocument.drawing+xml"/>
  <Override PartName="/xl/ctrlProps/ctrlProp44.xml" ContentType="application/vnd.ms-excel.controlproperties+xml"/>
  <Override PartName="/xl/ctrlProps/ctrlProp45.xml" ContentType="application/vnd.ms-excel.controlproperties+xml"/>
  <Override PartName="/xl/drawings/drawing33.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https://trccompanies-my.sharepoint.com/personal/travis_jones_trcsolutions_com/Documents/Documents/Application Development- Local/NC Cycle 4 Released/3.8.0/"/>
    </mc:Choice>
  </mc:AlternateContent>
  <xr:revisionPtr revIDLastSave="0" documentId="8_{ACC9CFE0-C61D-4E99-BCD1-41600EF2DC8B}" xr6:coauthVersionLast="45" xr6:coauthVersionMax="45" xr10:uidLastSave="{00000000-0000-0000-0000-000000000000}"/>
  <workbookProtection workbookAlgorithmName="SHA-512" workbookHashValue="ANya0dFbGhraoY1OQiEsPxqGVBYnWTzUPCGVlz+PZ1oGNjvlZL1XEKRBN26S6lk3hW2nSx4c3g7nKDBVa3zIBg==" workbookSaltValue="iLnJImp6lYUS0l0ngBBx7A==" workbookSpinCount="100000" lockStructure="1"/>
  <bookViews>
    <workbookView showSheetTabs="0" xWindow="-120" yWindow="-120" windowWidth="51840" windowHeight="21240" tabRatio="792" firstSheet="8" activeTab="8" xr2:uid="{00000000-000D-0000-FFFF-FFFF00000000}"/>
  </bookViews>
  <sheets>
    <sheet name="TEMPLATE" sheetId="3" state="hidden" r:id="rId1"/>
    <sheet name="PRESCRIPTIVE" sheetId="104" state="hidden" r:id="rId2"/>
    <sheet name="SBDI" sheetId="105" state="hidden" r:id="rId3"/>
    <sheet name="CUSTOMRCXNC" sheetId="106" state="hidden" r:id="rId4"/>
    <sheet name="CBDATA" sheetId="108" state="hidden" r:id="rId5"/>
    <sheet name="DATA TABLES" sheetId="109" state="hidden" r:id="rId6"/>
    <sheet name="Changelog" sheetId="107" state="hidden" r:id="rId7"/>
    <sheet name="EXPORT" sheetId="110" state="hidden" r:id="rId8"/>
    <sheet name="M01-S01" sheetId="8" r:id="rId9"/>
    <sheet name="M01-S02" sheetId="48" state="hidden" r:id="rId10"/>
    <sheet name="M01-S02-2" sheetId="114" state="hidden" r:id="rId11"/>
    <sheet name="M01-S03" sheetId="50" r:id="rId12"/>
    <sheet name="M01-S04" sheetId="51" r:id="rId13"/>
    <sheet name="M01-S05" sheetId="49" state="hidden" r:id="rId14"/>
    <sheet name="M01-S06" sheetId="52" state="hidden" r:id="rId15"/>
    <sheet name="M02-S01" sheetId="9" r:id="rId16"/>
    <sheet name="M02-S02" sheetId="55" r:id="rId17"/>
    <sheet name="M02-S03" sheetId="56" r:id="rId18"/>
    <sheet name="M02-S04" sheetId="57" r:id="rId19"/>
    <sheet name="M02-S05" sheetId="58" state="hidden" r:id="rId20"/>
    <sheet name="M03-S01" sheetId="12" state="hidden" r:id="rId21"/>
    <sheet name="M03-S02" sheetId="62" state="hidden" r:id="rId22"/>
    <sheet name="M03-S04" sheetId="64" state="hidden" r:id="rId23"/>
    <sheet name="M03-S05" sheetId="65" state="hidden" r:id="rId24"/>
    <sheet name="M03-S06" sheetId="66" state="hidden" r:id="rId25"/>
    <sheet name="M03-S07" sheetId="67" state="hidden" r:id="rId26"/>
    <sheet name="M03-S08" sheetId="68" state="hidden" r:id="rId27"/>
    <sheet name="M04-S01" sheetId="13" state="hidden" r:id="rId28"/>
    <sheet name="M04-S02" sheetId="115" r:id="rId29"/>
    <sheet name="M04-S03" sheetId="70" r:id="rId30"/>
    <sheet name="M04-S04" sheetId="71" r:id="rId31"/>
    <sheet name="M04-S05" sheetId="72" r:id="rId32"/>
    <sheet name="M04-S06" sheetId="73" r:id="rId33"/>
    <sheet name="M04-S07" sheetId="74" r:id="rId34"/>
    <sheet name="M04-S08" sheetId="75" r:id="rId35"/>
    <sheet name="M05-S01" sheetId="14" state="hidden" r:id="rId36"/>
    <sheet name="M05-S02" sheetId="76" state="hidden" r:id="rId37"/>
    <sheet name="M05-S03" sheetId="77" state="hidden" r:id="rId38"/>
    <sheet name="M05-S04" sheetId="78" state="hidden" r:id="rId39"/>
    <sheet name="M05-S05" sheetId="79" state="hidden" r:id="rId40"/>
    <sheet name="M05-S06" sheetId="80" state="hidden" r:id="rId41"/>
    <sheet name="M05-S07" sheetId="81" state="hidden" r:id="rId42"/>
    <sheet name="M05-S08" sheetId="82" state="hidden" r:id="rId43"/>
  </sheets>
  <externalReferences>
    <externalReference r:id="rId44"/>
  </externalReferences>
  <definedNames>
    <definedName name="APPTITLE">TEMPLATE!$B$3</definedName>
    <definedName name="BDLEADNAME">BDLEAD[BD Lead]</definedName>
    <definedName name="BUILDING">BUILDINGTYPE[Building Type]</definedName>
    <definedName name="CBALL">TEMPLATE!$O$47</definedName>
    <definedName name="CBCUSE">TEMPLATE!$O$45</definedName>
    <definedName name="CBCUSG">TEMPLATE!$O$46</definedName>
    <definedName name="CBPRESE">TEMPLATE!$O$43</definedName>
    <definedName name="CBPRESG">TEMPLATE!$O$44</definedName>
    <definedName name="CMECOMPAIRDESC">INDEX(CMECOMPAIR[Proj Desc 1],MATCH('M04-S05'!XFB1,CMECOMPAIR[Project Category],0),1):INDEX(CMECOMPAIR[Proj Desc 1],MATCH('M04-S05'!XFB1,CMECOMPAIR[Project Category],1),1)</definedName>
    <definedName name="CMECOOKDESC">INDEX(CMECOOK[Proj Desc 1],MATCH('M04-S03'!XFB1,CMECOOK[Project Category],0),1):INDEX(CMECOOK[Proj Desc 1],MATCH('M04-S03'!XFB1,CMECOOK[Project Category],1),1)</definedName>
    <definedName name="CMEHVACDESC">INDEX(CMEHVAC[Proj Desc 1],MATCH('M04-S01'!XFB1,CMEHVAC[Project Category],0),1):INDEX(CMEHVAC[Proj Desc 1],MATCH('M04-S01'!XFB1,CMEHVAC[Project Category],1),1)</definedName>
    <definedName name="CMELIGHTACTUALW">CMLIGHTBASE[Base Watt 2]</definedName>
    <definedName name="CMELIGHTBASE1">CMLIGHTBASE[Base Desc 1]</definedName>
    <definedName name="CMELIGHTBASEW">CMLIGHTBASE[Base Watt 1]</definedName>
    <definedName name="CMELIGHTCONDESC">INDEX(CMELIGHTCON[Proj Desc 1],MATCH(#REF!,CMELIGHTCON[Project Category],0),1):INDEX(CMELIGHTCON[Proj Desc 1],MATCH(#REF!,CMELIGHTCON[Project Category],1),1)</definedName>
    <definedName name="CMELIGHTDESC">CMELIGHT[Proj Desc 1]</definedName>
    <definedName name="CMELIGHTEFF1">CMLIGHTEFF[Eff Desc 1]</definedName>
    <definedName name="CMELIGHTEFFBASEW">CMLIGHTEFF[Eff Watt 1]</definedName>
    <definedName name="CMEMISCDESC">INDEX(CMEMISC[Proj Desc 1],MATCH('M04-S07'!XFB1,CMEMISC[Project Category],0),1):INDEX(CMEMISC[Proj Desc 1],MATCH('M04-S07'!XFB1,CMEMISC[Project Category],1),1)</definedName>
    <definedName name="CMEMOTORDESC">INDEX(CMEMOTOR[Proj Desc 1],MATCH('M04-S04'!XFB1,CMEMOTOR[Project Category],0),1):INDEX(CMEMOTOR[Proj Desc 1],MATCH('M04-S04'!XFB1,CMEMOTOR[Project Category],1),1)</definedName>
    <definedName name="CMEREFRIDESC">INDEX(CMEREFRI[Proj Desc 1],MATCH('M04-S06'!XFB1,CMEREFRI[Project Category],0),1):INDEX(CMEREFRI[Proj Desc 1],MATCH('M04-S06'!XFB1,CMEREFRI[Project Category],1),1)</definedName>
    <definedName name="COSTTOTAL">TEMPLATE!$I$47</definedName>
    <definedName name="COSTTOTALALL">TEMPLATE!$N$47</definedName>
    <definedName name="COSTTOTALALLCUSE">TEMPLATE!$N$45</definedName>
    <definedName name="COSTTOTALALLCUSG">TEMPLATE!$N$46</definedName>
    <definedName name="COSTTOTALALLPRESE">TEMPLATE!$N$43</definedName>
    <definedName name="COSTTOTALALLPRESG">TEMPLATE!$N$44</definedName>
    <definedName name="COSTTOTALCUSE">TEMPLATE!$I$45</definedName>
    <definedName name="COSTTOTALCUSG">TEMPLATE!$I$46</definedName>
    <definedName name="COSTTOTALPRESE">TEMPLATE!$I$43</definedName>
    <definedName name="COSTTOTALPRESG">TEMPLATE!$I$44</definedName>
    <definedName name="CUSTSUBAPP">'M05-S07'!$AN$15</definedName>
    <definedName name="DIVERSITYBUSTYPE">DIVERSITYTYPE[Diversity Business Type]</definedName>
    <definedName name="DIVERSITYORG">DIVERSITYISSUED[Diversity Issued Org]</definedName>
    <definedName name="EDR">CBDATA!$B$7</definedName>
    <definedName name="ELOSS">CBDATA!$B$6</definedName>
    <definedName name="ENDDATE">'M05-S04'!$BB$65</definedName>
    <definedName name="ENDUSECAT">ENDUSEALL[End Use to Coincident Peak Demand Factors]</definedName>
    <definedName name="ENGSIGN">'M05-S04'!$L$52</definedName>
    <definedName name="ENGSIGNDATE">'M05-S04'!$AE$52</definedName>
    <definedName name="EXPIRATION">'M01-S01'!$O$62</definedName>
    <definedName name="EXTAREATYPE">EXTAREAS[Exterior Area Type]</definedName>
    <definedName name="FOOT1">'M01-S01'!$B$200</definedName>
    <definedName name="FOOT2">'M01-S01'!$B$201</definedName>
    <definedName name="FOOT3">'M01-S01'!$B$202</definedName>
    <definedName name="FOOT4">'M01-S01'!$AR$200</definedName>
    <definedName name="FOOT5">'M01-S01'!$AR$201</definedName>
    <definedName name="FOOT6">'M01-S01'!$AR$202</definedName>
    <definedName name="FOOTDISCLAIM">'M01-S01'!$M$200</definedName>
    <definedName name="GDR">CBDATA!$N$7</definedName>
    <definedName name="GLOSS">CBDATA!$N$6</definedName>
    <definedName name="HEARABOUT">MARKETING[Marketing]</definedName>
    <definedName name="HVACENDUSETYPE">HVACUSES[HVAC Uses]</definedName>
    <definedName name="IMPLSPECNAME">IMPLSPEC[Impl. Specialist]</definedName>
    <definedName name="INCENSTATUS">TEMPLATE!$F$3</definedName>
    <definedName name="INCENTOTAL">TEMPLATE!$J$47</definedName>
    <definedName name="INCENTOTALCUSE">TEMPLATE!$J$45</definedName>
    <definedName name="INCENTOTALCUSG">TEMPLATE!$J$46</definedName>
    <definedName name="INCENTOTALPRESE">TEMPLATE!$J$43</definedName>
    <definedName name="INCENTOTALPRESG">TEMPLATE!$J$44</definedName>
    <definedName name="INSTALL">INSTALLER[Installer]</definedName>
    <definedName name="KWHSTATUS">TEMPLATE!$F$1</definedName>
    <definedName name="KWHTOTAL">TEMPLATE!$F$47</definedName>
    <definedName name="KWHTOTALCUSE">TEMPLATE!$F$45</definedName>
    <definedName name="KWHTOTALPRESE">TEMPLATE!$F$43</definedName>
    <definedName name="KWHTOTALWBP">'M05-S07'!$AN$45</definedName>
    <definedName name="KWTOTAL">TEMPLATE!$G$47</definedName>
    <definedName name="KWTOTALCUSE">TEMPLATE!$G$45</definedName>
    <definedName name="KWTOTALPRESE">TEMPLATE!$G$43</definedName>
    <definedName name="LEDREDEFF1">LEDREDEFF[Redesign LED]</definedName>
    <definedName name="LIGHTHEATCOIN">DATA [1]TABLES!$K$59</definedName>
    <definedName name="M02S01F01">'M02-S01'!$C$34</definedName>
    <definedName name="M02S01F02">'M02-S01'!$X$34</definedName>
    <definedName name="M02S01F03">'M02-S01'!$AL$34</definedName>
    <definedName name="M02S01F04">'M02-S01'!$M$38</definedName>
    <definedName name="M02S01F05">'M02-S01'!$X$37</definedName>
    <definedName name="M02S02F01">'M02-S02'!$C$15</definedName>
    <definedName name="M02S02F02">'M02-S02'!$J$15</definedName>
    <definedName name="M02S02F03">'M02-S02'!$Q$15</definedName>
    <definedName name="M02S02F04">'M02-S02'!$X$15</definedName>
    <definedName name="M02S02F05">'M02-S02'!$AE$15</definedName>
    <definedName name="M02S02F06">'M02-S02'!$AL$15</definedName>
    <definedName name="M02S02F07">'M02-S02'!$C$18</definedName>
    <definedName name="M02S02F08">'M02-S02'!$J$18</definedName>
    <definedName name="M02S02F09">'M02-S02'!$Q$18</definedName>
    <definedName name="M02S02F10">'M02-S02'!$X$18</definedName>
    <definedName name="M02S02F11">'M02-S02'!$AE$18</definedName>
    <definedName name="M02S02F11.1">'M02-S02'!$C$25</definedName>
    <definedName name="M02S02F11.2">'M02-S02'!$Q$25</definedName>
    <definedName name="M02S02F11.3">'M02-S02'!$X$25</definedName>
    <definedName name="M02S02F11.4">'M02-S02'!$AE$25</definedName>
    <definedName name="M02S02F11.5">'M02-S02'!$AL$25</definedName>
    <definedName name="M02S02F12">'M02-S02'!$C$33</definedName>
    <definedName name="M02S02F13">'M02-S02'!$J$33</definedName>
    <definedName name="M02S02F14">'M02-S02'!$AB$33</definedName>
    <definedName name="M02S02F15">'M02-S02'!$AP$33</definedName>
    <definedName name="M02S02F16">'M02-S02'!$C$36</definedName>
    <definedName name="M02S02F17">'M02-S02'!$J$36</definedName>
    <definedName name="M02S02F18">'M02-S02'!$Q$36</definedName>
    <definedName name="M02S02F19">'M02-S02'!$X$36</definedName>
    <definedName name="M02S02F20">'M02-S02'!$AE$36</definedName>
    <definedName name="M02S02F21">'M02-S02'!$AL$36</definedName>
    <definedName name="M02S02F22">'M02-S02'!$J$39</definedName>
    <definedName name="M02S02F23">'M02-S02'!$Q$39</definedName>
    <definedName name="M02S02F24">'M02-S02'!$X$39</definedName>
    <definedName name="M02S02F25">'M02-S02'!$AE$39</definedName>
    <definedName name="M02S02F26">'M02-S02'!$C$42</definedName>
    <definedName name="M02S02F27">'M02-S02'!$J$42</definedName>
    <definedName name="M02S02F28">'M02-S02'!$Q$42</definedName>
    <definedName name="M02S02F29">'M02-S02'!$X$42</definedName>
    <definedName name="M02S02F30">'M02-S02'!$AE$42</definedName>
    <definedName name="M02S02F31">'M02-S02'!$AL$42</definedName>
    <definedName name="M02S02F32">'M02-S02'!$C$45</definedName>
    <definedName name="M02S02F33">'M02-S02'!$J$45</definedName>
    <definedName name="M02S02F34">'M02-S02'!$C$39</definedName>
    <definedName name="M02S02F35">'M02-S02'!$X$45</definedName>
    <definedName name="M02S02F36">'M02-S02'!$Q$45</definedName>
    <definedName name="M02S02F37">'M02-S02'!$C$48</definedName>
    <definedName name="M02S02F38">'M02-S02'!$J$48</definedName>
    <definedName name="M02S02F39">'M02-S02'!$Q$48</definedName>
    <definedName name="M02S02F40">'M02-S02'!$X$48</definedName>
    <definedName name="M02S02F41">'M02-S02'!$C$51</definedName>
    <definedName name="M02S02F45">'M02-S02'!$C$54</definedName>
    <definedName name="M02S03F01">'M02-S03'!$C$14</definedName>
    <definedName name="M02S03F02">'M02-S03'!$C$17</definedName>
    <definedName name="M02S03F03">'M02-S03'!$J$17</definedName>
    <definedName name="M02S03F04">'M02-S03'!$Q$17</definedName>
    <definedName name="M02S03F05">'M02-S03'!$X$17</definedName>
    <definedName name="M02S03F06">'M02-S03'!$AE$17</definedName>
    <definedName name="M02S03F07">'M02-S03'!$AL$17</definedName>
    <definedName name="M02S03F08">'M02-S03'!$C$20</definedName>
    <definedName name="M02S03F09">'M02-S03'!$J$20</definedName>
    <definedName name="M02S03F10">'M02-S03'!$Q$20</definedName>
    <definedName name="M02S03F11">'M02-S03'!$X$20</definedName>
    <definedName name="M02S03F12">'M02-S03'!$AE$20</definedName>
    <definedName name="M02S03F13">'M02-S03'!$C$27</definedName>
    <definedName name="M02S03F14">'M02-S03'!$Q$27</definedName>
    <definedName name="M02S03F15">'M02-S03'!$X$27</definedName>
    <definedName name="M02S03F16">'M02-S03'!$AE$27</definedName>
    <definedName name="M02S03F17">'M02-S03'!$AL$27</definedName>
    <definedName name="M02S04F01">'M05-S03'!$J$13</definedName>
    <definedName name="M02S04F02">'M05-S03'!$C$16</definedName>
    <definedName name="M02S04F03">'M05-S03'!$J$16</definedName>
    <definedName name="M02S04F04">'M05-S03'!$Q$16</definedName>
    <definedName name="M02S04F05">'M05-S03'!$X$16</definedName>
    <definedName name="M02S04F06">'M05-S03'!$AE$16</definedName>
    <definedName name="M02S04F06.1">'M05-S03'!$AL$16</definedName>
    <definedName name="M02S04F07">'M05-S03'!$C$19</definedName>
    <definedName name="M02S04F08">'M05-S03'!$J$19</definedName>
    <definedName name="M02S04F09">'M05-S03'!$Q$19</definedName>
    <definedName name="M02S04F10">'M05-S03'!$X$19</definedName>
    <definedName name="M02S04F11">'M05-S03'!$AE$19</definedName>
    <definedName name="M02S04F12">'M05-S03'!$AL$19</definedName>
    <definedName name="M02S04F12.1">'M05-S03'!$AN$19</definedName>
    <definedName name="M02S05F01">'M02-S05'!$C$14</definedName>
    <definedName name="M02S05F02">'M02-S05'!$C$17</definedName>
    <definedName name="M02S05F03">'M02-S05'!$J$17</definedName>
    <definedName name="M02S05F04">'M02-S05'!$Q$17</definedName>
    <definedName name="M02S05F05">'M02-S05'!$X$17</definedName>
    <definedName name="M02S05F06">'M02-S05'!$AE$17</definedName>
    <definedName name="M02S05F07">'M02-S05'!$AL$17</definedName>
    <definedName name="M02S05F08">'M02-S05'!$C$20</definedName>
    <definedName name="M02S05F09">'M02-S05'!$J$20</definedName>
    <definedName name="M02S05F10">'M02-S05'!$Q$20</definedName>
    <definedName name="M02S05F11">'M02-S05'!$X$20</definedName>
    <definedName name="M02S05F12">'M02-S05'!$AE$20</definedName>
    <definedName name="M02S05F13">'M02-S05'!$AL$20</definedName>
    <definedName name="M02S05F14">'M02-S05'!$C$23</definedName>
    <definedName name="M02S05F15">'M02-S05'!$C$30</definedName>
    <definedName name="M02S05F16">'M02-S05'!$C$42</definedName>
    <definedName name="M02S05F17">'M02-S05'!$C$45</definedName>
    <definedName name="M02S05F18">'M02-S05'!$C$56</definedName>
    <definedName name="M02S05F19">'M02-S05'!$J$56</definedName>
    <definedName name="M02S05F20">'M02-S05'!$Q$56</definedName>
    <definedName name="M02S05F21">'M02-S05'!$X$56</definedName>
    <definedName name="M02S05F22">'M02-S05'!$AE$56</definedName>
    <definedName name="M02S05F23">'M02-S05'!$AL$56</definedName>
    <definedName name="M02S05F24">'M02-S05'!$C$62</definedName>
    <definedName name="M02S05F25">'M02-S05'!$J$62</definedName>
    <definedName name="M02S05F26">'M02-S05'!$Q$62</definedName>
    <definedName name="M02S05F27">'M02-S05'!$X$62</definedName>
    <definedName name="M02S05F28">'M02-S05'!$AE$62</definedName>
    <definedName name="M02S05F29">'M02-S05'!$AL$62</definedName>
    <definedName name="M02S05F30">'M02-S05'!$C$68</definedName>
    <definedName name="M02S05F31">'M02-S05'!$C$82</definedName>
    <definedName name="M02S05F32">'M02-S05'!$C$97</definedName>
    <definedName name="M02S05F33">'M02-S05'!$C$103</definedName>
    <definedName name="M03S01F01">'M03-S01'!$C$43</definedName>
    <definedName name="M03S01F02">'M03-S01'!$C$55</definedName>
    <definedName name="M03S01F03">'M03-S01'!$J$55</definedName>
    <definedName name="M03S01F04">'M03-S01'!$Q$55</definedName>
    <definedName name="M03S01F05">'M03-S01'!$X$55</definedName>
    <definedName name="M03S01F06">'M03-S01'!$AE$55</definedName>
    <definedName name="M03S01F07">'M03-S01'!$C$58</definedName>
    <definedName name="M03S01F08">'M03-S01'!$J$58</definedName>
    <definedName name="M03S01F09">'M03-S01'!$Q$58</definedName>
    <definedName name="M03S01F10">'M03-S01'!$X$58</definedName>
    <definedName name="M03S01F11">'M03-S01'!$AE$58</definedName>
    <definedName name="M03S01F12">'M03-S01'!$AL$58</definedName>
    <definedName name="M03S01F13">'M03-S01'!$C$63</definedName>
    <definedName name="M03S01F14">'M03-S01'!$J$63</definedName>
    <definedName name="M03S01F15">'M03-S01'!$Q$63</definedName>
    <definedName name="M03S01F16">'M03-S01'!$X$63</definedName>
    <definedName name="M03S01F17">'M03-S01'!$AE$63</definedName>
    <definedName name="M03S02F00">'M03-S02'!$C$12</definedName>
    <definedName name="M03S02F001">'M03-S02'!$C$15</definedName>
    <definedName name="M03S02F002">'M03-S02'!$J$15</definedName>
    <definedName name="M03S02F01">'M03-S02'!$D$20</definedName>
    <definedName name="M03S02F02">'M03-S02'!$K$20</definedName>
    <definedName name="M03S02F03">'M03-S02'!$R$20</definedName>
    <definedName name="M03S02F04">'M03-S02'!$D$23</definedName>
    <definedName name="M03S02F05">'M03-S02'!$K$23</definedName>
    <definedName name="M03S02F06">'M03-S02'!$R$23</definedName>
    <definedName name="M03S02F07">'M03-S02'!$Y$20</definedName>
    <definedName name="M03S02F08">'M03-S02'!$AF$20</definedName>
    <definedName name="M03S02F09">'M03-S02'!$AM$20</definedName>
    <definedName name="M03S02F10">'M03-S02'!$Y$23</definedName>
    <definedName name="M03S02F11">'M03-S02'!$AF$23</definedName>
    <definedName name="M03S02F12">'M03-S02'!$AM$23</definedName>
    <definedName name="M03S02F13">'M03-S02'!$D$72</definedName>
    <definedName name="M03S02F14">'M03-S02'!$K$72</definedName>
    <definedName name="M03S02F15">'M03-S02'!$R$72</definedName>
    <definedName name="M03S02F16">'M03-S02'!$D$75</definedName>
    <definedName name="M03S02F17">'M03-S02'!$K$75</definedName>
    <definedName name="M03S02F18">'M03-S02'!$R$75</definedName>
    <definedName name="M03S02F19">'M03-S02'!$Y$72</definedName>
    <definedName name="M05S02F01">'M05-S02'!$W$36</definedName>
    <definedName name="M05S02F02">'M05-S02'!$AC$36</definedName>
    <definedName name="M05S03F02">'M05-S03'!$C$28</definedName>
    <definedName name="M05S03F03">'M05-S03'!$J$28</definedName>
    <definedName name="M05S03F04">'M05-S03'!$Q$28</definedName>
    <definedName name="M05S03F05">'M05-S03'!$X$28</definedName>
    <definedName name="M05S03F06">'M05-S03'!$AE$28</definedName>
    <definedName name="M05S03F07">'M05-S03'!$C$31</definedName>
    <definedName name="M05S03F08">'M05-S03'!$J$31</definedName>
    <definedName name="M05S03F09">'M05-S03'!$Q$31</definedName>
    <definedName name="M05S03F10">'M05-S03'!$X$31</definedName>
    <definedName name="M05S03F11">'M05-S03'!$AE$31</definedName>
    <definedName name="M05S03F12">'M05-S03'!$AL$31</definedName>
    <definedName name="M05S03F12.1">'M05-S03'!$AN$31</definedName>
    <definedName name="M05S07F02">'M05-S07'!$AI$15</definedName>
    <definedName name="M05S07F03">'M05-S07'!$AI$16</definedName>
    <definedName name="M05S07F04">'M05-S07'!$AI$17</definedName>
    <definedName name="M05S07F05">'M05-S07'!$AI$18</definedName>
    <definedName name="M05S07F06">'M05-S07'!$AI$19</definedName>
    <definedName name="M05S07F07">'M05-S07'!$AI$56</definedName>
    <definedName name="M05S07F08">'M05-S07'!$AI$57</definedName>
    <definedName name="M05S07F09">'M05-S07'!$AI$58</definedName>
    <definedName name="M05S07F10">'M05-S07'!$AI$59</definedName>
    <definedName name="M05S07F11">'M05-S07'!$AI$60</definedName>
    <definedName name="M05S07F12">'M05-S07'!$AI$61</definedName>
    <definedName name="M1S1">TEMPLATE!$B$8</definedName>
    <definedName name="M1S2">TEMPLATE!$B$9</definedName>
    <definedName name="M1S3">TEMPLATE!$B$10</definedName>
    <definedName name="M1S4">TEMPLATE!$B$11</definedName>
    <definedName name="M1S5">TEMPLATE!$B$12</definedName>
    <definedName name="M1S6">TEMPLATE!$B$13</definedName>
    <definedName name="M1S7">TEMPLATE!$B$14</definedName>
    <definedName name="M1S8">TEMPLATE!$B$15</definedName>
    <definedName name="M2S1">TEMPLATE!$B$17</definedName>
    <definedName name="M2S2">TEMPLATE!$B$18</definedName>
    <definedName name="M2S3">TEMPLATE!$B$19</definedName>
    <definedName name="M2S4">TEMPLATE!$B$20</definedName>
    <definedName name="M2S5">TEMPLATE!$B$21</definedName>
    <definedName name="M2S6">TEMPLATE!$B$22</definedName>
    <definedName name="M2S7">TEMPLATE!$B$23</definedName>
    <definedName name="M2S8">TEMPLATE!$B$24</definedName>
    <definedName name="M3S1">TEMPLATE!$B$26</definedName>
    <definedName name="M3S2">TEMPLATE!$B$27</definedName>
    <definedName name="M3S3">TEMPLATE!$B$28</definedName>
    <definedName name="M3S4">TEMPLATE!$B$29</definedName>
    <definedName name="M3S5">TEMPLATE!$B$30</definedName>
    <definedName name="M3S6">TEMPLATE!$B$31</definedName>
    <definedName name="M3S7">TEMPLATE!$B$32</definedName>
    <definedName name="M3S8">TEMPLATE!$B$33</definedName>
    <definedName name="M4S1">TEMPLATE!$B$35</definedName>
    <definedName name="M4S2">TEMPLATE!$B$36</definedName>
    <definedName name="M4S3">TEMPLATE!$B$37</definedName>
    <definedName name="M4S4">TEMPLATE!$B$38</definedName>
    <definedName name="M4S5">TEMPLATE!$B$39</definedName>
    <definedName name="M4S6">TEMPLATE!$B$40</definedName>
    <definedName name="M4S7">TEMPLATE!$B$41</definedName>
    <definedName name="M4S8">TEMPLATE!$B$42</definedName>
    <definedName name="M5S1">TEMPLATE!$B$44</definedName>
    <definedName name="M5S2">TEMPLATE!$B$45</definedName>
    <definedName name="M5S3">TEMPLATE!$B$46</definedName>
    <definedName name="M5S4">TEMPLATE!$B$47</definedName>
    <definedName name="M5S5">TEMPLATE!$B$48</definedName>
    <definedName name="M5S6">TEMPLATE!$B$49</definedName>
    <definedName name="M5S7">TEMPLATE!$B$50</definedName>
    <definedName name="M5S8">TEMPLATE!$B$51</definedName>
    <definedName name="M6S1">TEMPLATE!$B$53</definedName>
    <definedName name="M6S2">TEMPLATE!$B$54</definedName>
    <definedName name="M6S3">TEMPLATE!$B$55</definedName>
    <definedName name="M6S4">TEMPLATE!$B$56</definedName>
    <definedName name="M6S5">TEMPLATE!$B$57</definedName>
    <definedName name="M6S6">TEMPLATE!$B$58</definedName>
    <definedName name="M6S7">TEMPLATE!$B$59</definedName>
    <definedName name="M6S8">TEMPLATE!$B$60</definedName>
    <definedName name="M7S1">TEMPLATE!$B$62</definedName>
    <definedName name="M7S2">TEMPLATE!$B$63</definedName>
    <definedName name="M7S3">TEMPLATE!$B$64</definedName>
    <definedName name="M7S4">TEMPLATE!$B$65</definedName>
    <definedName name="M7S5">TEMPLATE!$B$66</definedName>
    <definedName name="M7S6">TEMPLATE!$B$67</definedName>
    <definedName name="M7S7">TEMPLATE!$B$68</definedName>
    <definedName name="M7S8">TEMPLATE!$B$69</definedName>
    <definedName name="MAIN1">TEMPLATE!$B$7</definedName>
    <definedName name="MAIN2">TEMPLATE!$B$16</definedName>
    <definedName name="MAIN3">TEMPLATE!$B$25</definedName>
    <definedName name="MAIN4">TEMPLATE!$B$34</definedName>
    <definedName name="MAIN5">TEMPLATE!$B$43</definedName>
    <definedName name="MAIN6">TEMPLATE!$B$52</definedName>
    <definedName name="MAIN7">TEMPLATE!$B$61</definedName>
    <definedName name="MEASURECB">'DATA TABLES'!$J$32</definedName>
    <definedName name="MEASUREELI">'DATA TABLES'!$J$29</definedName>
    <definedName name="MEASUREPAY">'DATA TABLES'!$J$31</definedName>
    <definedName name="MEASURERATE">'DATA TABLES'!$J$34</definedName>
    <definedName name="MEASURESAVE">'DATA TABLES'!$J$30</definedName>
    <definedName name="MEASURESUBMIT">'DATA TABLES'!$J$33</definedName>
    <definedName name="NCASHRAE90">NCLPD[[#Headers],[IECC 2018]:[ASHRAE 90.1 2007]]</definedName>
    <definedName name="NCASHRAETYPE">NCLPD[Building Area Type]</definedName>
    <definedName name="NCBASE">NCBASELINE[NC Baseline]</definedName>
    <definedName name="NCTYPE">NCPROJTYPE[NC Project Type]</definedName>
    <definedName name="NONPRESCPROGRAM">PROGRAMTYPE[Program]</definedName>
    <definedName name="PAYALL">TEMPLATE!$P$47</definedName>
    <definedName name="PAYCUSE">TEMPLATE!$P$45</definedName>
    <definedName name="PAYCUSG">TEMPLATE!$P$46</definedName>
    <definedName name="PAYPRESE">TEMPLATE!$P$43</definedName>
    <definedName name="PAYPRESG">TEMPLATE!$P$44</definedName>
    <definedName name="PAYTO">PAYMENT[Payment to]</definedName>
    <definedName name="PEAKTD">CBDATA!$B$8</definedName>
    <definedName name="PMEHVACEFF1">PMEHVAC[Eff Desc 1]</definedName>
    <definedName name="PMEKITCHENEFF1">PMEKITCHEN[Eff Desc 1]</definedName>
    <definedName name="PMELIGHTBASE1">PMELIGHTTYPE[Base Desc 1]</definedName>
    <definedName name="PMELIGHTBASEW1">PMELIGHTTYPE[Base Watt]</definedName>
    <definedName name="PMELIGHTBASEW2">PMELIGHTTYPE[Base W 2]</definedName>
    <definedName name="PMELIGHTCONEFF1">PMELIGHTCON[Eff Desc 1]</definedName>
    <definedName name="PMELIGHTCONEFFW1">PMELIGHTCON[Eff Watt]</definedName>
    <definedName name="PMELIGHTCONEFFW2">PMELIGHTCON[Eff Watt 2]</definedName>
    <definedName name="PMELIGHTEFF1">INDEX(PMELIGHT[Eff Desc 1],MATCH('M03-S01'!XEW1,PMELIGHT[Base Desc 1],0),1):INDEX(PMELIGHT[Eff Desc 1],MATCH('M03-S01'!XEW1,PMELIGHT[Base Desc 1],1),1)</definedName>
    <definedName name="PMELIGHTEFFLIST">PMELIGHT[Eff Desc 1]</definedName>
    <definedName name="PMELIGHTEFFW1">PMELIGHT[Eff Watt]</definedName>
    <definedName name="PMELIGHTEFFW2">PMELIGHT[Eff Watt 2]</definedName>
    <definedName name="PMELIGHTOPHR1">PMELIGHT[Op Hr 1]</definedName>
    <definedName name="PMELIGHTOPHR2">PMELIGHT[Op Hr 2]</definedName>
    <definedName name="PMEMOTOREFF1">PMEMOTOR[Eff Desc 1]</definedName>
    <definedName name="PMEREFRIEFF1">PMEREFRI[Eff Desc 1]</definedName>
    <definedName name="PMGHVACEFF1">PMGHVAC[Eff Desc 1]</definedName>
    <definedName name="PMGKITCHENEFF1">PMGKITCHEN[Eff Desc 1]</definedName>
    <definedName name="PMGWATEREFF1">PMGWATER[Eff Desc 1]</definedName>
    <definedName name="PNAME">TEMPLATE!$B$2</definedName>
    <definedName name="_xlnm.Print_Area" localSheetId="9">'M01-S02'!$C$15:$AQ$107</definedName>
    <definedName name="_xlnm.Print_Area" localSheetId="10">'M01-S02-2'!$C$15:$AQ$135</definedName>
    <definedName name="_xlnm.Print_Area" localSheetId="15">'M02-S01'!$B$9:$AR$27</definedName>
    <definedName name="_xlnm.Print_Area" localSheetId="19">'M02-S05'!$B$9:$AR$121</definedName>
    <definedName name="_xlnm.Print_Area" localSheetId="21">'M03-S02'!$B$9:$AR$121</definedName>
    <definedName name="_xlnm.Print_Area" localSheetId="36">'M05-S02'!$J$15:$AJ$73</definedName>
    <definedName name="_xlnm.Print_Area" localSheetId="38">'M05-S04'!$J$14:$AJ$75</definedName>
    <definedName name="_xlnm.Print_Area" localSheetId="39">'M05-S05'!$J$15:$AJ$78</definedName>
    <definedName name="_xlnm.Print_Area" localSheetId="40">'M05-S06'!$J$14:$AJ$76</definedName>
    <definedName name="_xlnm.Print_Area" localSheetId="41">'M05-S07'!$C$10:$AQ$61</definedName>
    <definedName name="PROGRAM">PROGRAMS[Program]</definedName>
    <definedName name="PROGRAMECAT1">INDEX(PROGRAMECAT[Category 1],MATCH(#REF!,PROGRAMECAT[Program],0),1):INDEX(PROGRAMECAT[Category 1],MATCH(#REF!,PROGRAMECAT[Program],1),1)</definedName>
    <definedName name="PROGRAMGCAT1">INDEX(PROGRAMGCAT[Category 1],MATCH('M04-S04'!XFB1,PROGRAMGCAT[Program],0),1):INDEX(PROGRAMGCAT[Category 1],MATCH('M04-S04'!XFB1,PROGRAMGCAT[Program],1),1)</definedName>
    <definedName name="PROGRESSSTATUS">TEMPLATE!$F$5</definedName>
    <definedName name="PROJGP">'M05-S07'!$AN$14</definedName>
    <definedName name="PROJID">'M05-S07'!$AI$14</definedName>
    <definedName name="PROJSTATELI">'DATA TABLES'!$A$85</definedName>
    <definedName name="PROJSTATEXP">'DATA TABLES'!$A$84</definedName>
    <definedName name="PROJSTATFILLINITIAL">'DATA TABLES'!$A$80</definedName>
    <definedName name="PROJSTATMEASURE">'DATA TABLES'!$A$80</definedName>
    <definedName name="PROJSTATPREAPPROVE">'DATA TABLES'!$A$82</definedName>
    <definedName name="PROJSTATREVIEW">'DATA TABLES'!$A$83</definedName>
    <definedName name="PROJSTATSSUBMITINITIAL">'DATA TABLES'!$A$81</definedName>
    <definedName name="PROJSTATSTANDARD">'DATA TABLES'!$A$81</definedName>
    <definedName name="PROJSTATUNDER">'DATA TABLES'!$A$86</definedName>
    <definedName name="PROJSTATUS">TEMPLATE!$F$4</definedName>
    <definedName name="RATECAT">RATECLASS[Rate Schedules]</definedName>
    <definedName name="REDESIGNBASEDESC">REDESIGNBASE[Base Desc 1]</definedName>
    <definedName name="SHEAT">SPACEHEAT[Space Conditioning]</definedName>
    <definedName name="STATESABBREV">STATES[Abbrev]</definedName>
    <definedName name="TAX">TAXENTITY[Tax Entity]</definedName>
    <definedName name="THERMSTATUS">TEMPLATE!$F$2</definedName>
    <definedName name="THERMTOTAL">TEMPLATE!$H$47</definedName>
    <definedName name="THERMTOTALCUSG">TEMPLATE!$H$46</definedName>
    <definedName name="THERMTOTALPRESG">TEMPLATE!$H$44</definedName>
    <definedName name="VERSION">'M01-S01'!$W$202</definedName>
    <definedName name="WHEAT">WATERHEAT[Water Heating]</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O2" i="110" l="1"/>
  <c r="X37" i="9"/>
  <c r="BP2" i="110" s="1"/>
  <c r="BW2" i="110"/>
  <c r="E78" i="3"/>
  <c r="C78" i="3"/>
  <c r="C77" i="3"/>
  <c r="E77" i="3"/>
  <c r="B77" i="3"/>
  <c r="D77" i="3"/>
  <c r="J14" i="108" l="1"/>
  <c r="J15" i="108"/>
  <c r="J16" i="108"/>
  <c r="J17" i="108"/>
  <c r="J18" i="108"/>
  <c r="J19" i="108"/>
  <c r="J20" i="108"/>
  <c r="J21" i="108"/>
  <c r="J22" i="108"/>
  <c r="J23" i="108"/>
  <c r="J24" i="108"/>
  <c r="J25" i="108"/>
  <c r="J26" i="108"/>
  <c r="J27" i="108"/>
  <c r="J28" i="108"/>
  <c r="J29" i="108"/>
  <c r="J30" i="108"/>
  <c r="J31" i="108"/>
  <c r="J32" i="108"/>
  <c r="J33" i="108"/>
  <c r="J34" i="108"/>
  <c r="J35" i="108"/>
  <c r="J36" i="108"/>
  <c r="J37" i="108"/>
  <c r="J38" i="108"/>
  <c r="J39" i="108"/>
  <c r="J13" i="108"/>
  <c r="K14" i="108"/>
  <c r="K15" i="108"/>
  <c r="K16" i="108"/>
  <c r="K17" i="108"/>
  <c r="K18" i="108"/>
  <c r="K19" i="108"/>
  <c r="K20" i="108"/>
  <c r="K21" i="108"/>
  <c r="K22" i="108"/>
  <c r="K23" i="108"/>
  <c r="K24" i="108"/>
  <c r="K25" i="108"/>
  <c r="K26" i="108"/>
  <c r="K27" i="108"/>
  <c r="K28" i="108"/>
  <c r="K29" i="108"/>
  <c r="K30" i="108"/>
  <c r="K31" i="108"/>
  <c r="K32" i="108"/>
  <c r="K33" i="108"/>
  <c r="K34" i="108"/>
  <c r="K35" i="108"/>
  <c r="K36" i="108"/>
  <c r="K37" i="108"/>
  <c r="K38" i="108"/>
  <c r="K39" i="108"/>
  <c r="K13" i="108"/>
  <c r="K12" i="108"/>
  <c r="J12" i="108"/>
  <c r="BC18" i="74" l="1"/>
  <c r="BC20" i="74"/>
  <c r="BC22" i="74"/>
  <c r="BC24" i="74"/>
  <c r="BC26" i="74"/>
  <c r="BC28" i="74"/>
  <c r="BC30" i="74"/>
  <c r="BC32" i="74"/>
  <c r="BC34" i="74"/>
  <c r="BC16" i="74"/>
  <c r="BC18" i="73"/>
  <c r="BC20" i="73"/>
  <c r="BC22" i="73"/>
  <c r="BC24" i="73"/>
  <c r="BC26" i="73"/>
  <c r="BC28" i="73"/>
  <c r="BC30" i="73"/>
  <c r="BC32" i="73"/>
  <c r="BC34" i="73"/>
  <c r="BC16" i="73"/>
  <c r="BC18" i="72"/>
  <c r="BC20" i="72"/>
  <c r="BC22" i="72"/>
  <c r="BC24" i="72"/>
  <c r="BC26" i="72"/>
  <c r="BC28" i="72"/>
  <c r="BC30" i="72"/>
  <c r="BC32" i="72"/>
  <c r="BC34" i="72"/>
  <c r="BC16" i="72"/>
  <c r="BC18" i="71"/>
  <c r="BC20" i="71"/>
  <c r="BC22" i="71"/>
  <c r="BC24" i="71"/>
  <c r="BC26" i="71"/>
  <c r="BC28" i="71"/>
  <c r="BC30" i="71"/>
  <c r="BC32" i="71"/>
  <c r="BC34" i="71"/>
  <c r="BC16" i="71"/>
  <c r="BC18" i="70"/>
  <c r="BC20" i="70"/>
  <c r="BC22" i="70"/>
  <c r="BC24" i="70"/>
  <c r="BC26" i="70"/>
  <c r="BC28" i="70"/>
  <c r="BC30" i="70"/>
  <c r="BC32" i="70"/>
  <c r="BC34" i="70"/>
  <c r="BC16" i="70"/>
  <c r="AX16" i="13"/>
  <c r="BC18" i="13"/>
  <c r="BC20" i="13"/>
  <c r="BC22" i="13"/>
  <c r="BC24" i="13"/>
  <c r="BC26" i="13"/>
  <c r="BC28" i="13"/>
  <c r="BC30" i="13"/>
  <c r="BC32" i="13"/>
  <c r="BC34" i="13"/>
  <c r="E18" i="115" l="1"/>
  <c r="W31" i="115"/>
  <c r="AJ51" i="115"/>
  <c r="C12" i="62"/>
  <c r="D20" i="62"/>
  <c r="D23" i="62"/>
  <c r="C10" i="110"/>
  <c r="B10" i="110" s="1"/>
  <c r="A10" i="110"/>
  <c r="A80" i="110"/>
  <c r="U80" i="110"/>
  <c r="V80" i="110"/>
  <c r="W80" i="110"/>
  <c r="AA80" i="110"/>
  <c r="AB80" i="110"/>
  <c r="AD80" i="110"/>
  <c r="A81" i="110"/>
  <c r="U81" i="110"/>
  <c r="W81" i="110"/>
  <c r="AA81" i="110"/>
  <c r="AB81" i="110"/>
  <c r="AD81" i="110"/>
  <c r="A82" i="110"/>
  <c r="U82" i="110"/>
  <c r="W82" i="110"/>
  <c r="AA82" i="110"/>
  <c r="AB82" i="110"/>
  <c r="AD82" i="110"/>
  <c r="W79" i="110"/>
  <c r="U79" i="110"/>
  <c r="E79" i="110"/>
  <c r="AD79" i="110"/>
  <c r="AB79" i="110"/>
  <c r="AA79" i="110"/>
  <c r="A79" i="110"/>
  <c r="R9" i="115"/>
  <c r="H45" i="3"/>
  <c r="B28" i="3"/>
  <c r="E24" i="115"/>
  <c r="E22" i="115"/>
  <c r="V81" i="110"/>
  <c r="E20" i="115"/>
  <c r="V79" i="110"/>
  <c r="BA20" i="115"/>
  <c r="E80" i="110" s="1"/>
  <c r="BA22" i="115"/>
  <c r="E81" i="110" s="1"/>
  <c r="BA24" i="115"/>
  <c r="E82" i="110" s="1"/>
  <c r="BA18" i="115"/>
  <c r="W114" i="115"/>
  <c r="W116" i="115"/>
  <c r="W118" i="115"/>
  <c r="W120" i="115"/>
  <c r="W122" i="115"/>
  <c r="W124" i="115"/>
  <c r="W126" i="115"/>
  <c r="W128" i="115"/>
  <c r="W130" i="115"/>
  <c r="W112" i="115"/>
  <c r="W132" i="115" s="1"/>
  <c r="W87" i="115"/>
  <c r="W89" i="115"/>
  <c r="W91" i="115"/>
  <c r="W93" i="115"/>
  <c r="W95" i="115"/>
  <c r="W97" i="115"/>
  <c r="W99" i="115"/>
  <c r="W101" i="115"/>
  <c r="W103" i="115"/>
  <c r="W85" i="115"/>
  <c r="W60" i="115"/>
  <c r="W62" i="115"/>
  <c r="W64" i="115"/>
  <c r="W66" i="115"/>
  <c r="W68" i="115"/>
  <c r="W70" i="115"/>
  <c r="W72" i="115"/>
  <c r="W74" i="115"/>
  <c r="W76" i="115"/>
  <c r="W58" i="115"/>
  <c r="W33" i="115"/>
  <c r="W51" i="115" s="1"/>
  <c r="W35" i="115"/>
  <c r="W37" i="115"/>
  <c r="W39" i="115"/>
  <c r="W41" i="115"/>
  <c r="W43" i="115"/>
  <c r="W45" i="115"/>
  <c r="W47" i="115"/>
  <c r="W49" i="115"/>
  <c r="AJ132" i="115"/>
  <c r="AJ105" i="115"/>
  <c r="AJ78" i="115"/>
  <c r="AR202" i="115"/>
  <c r="W202" i="115"/>
  <c r="B202" i="115"/>
  <c r="B201" i="115"/>
  <c r="B200" i="115"/>
  <c r="O62" i="8"/>
  <c r="AE16" i="75"/>
  <c r="AE34" i="75"/>
  <c r="AN34" i="75" s="1"/>
  <c r="R34" i="75"/>
  <c r="AE32" i="75"/>
  <c r="R32" i="75"/>
  <c r="BC32" i="75" s="1"/>
  <c r="AE30" i="75"/>
  <c r="R30" i="75"/>
  <c r="BC30" i="75" s="1"/>
  <c r="AE28" i="75"/>
  <c r="R28" i="75"/>
  <c r="BC28" i="75" s="1"/>
  <c r="AE26" i="75"/>
  <c r="AU26" i="75" s="1"/>
  <c r="AM169" i="110" s="1"/>
  <c r="R26" i="75"/>
  <c r="AY26" i="75" s="1"/>
  <c r="AE24" i="75"/>
  <c r="AV24" i="75" s="1"/>
  <c r="R24" i="75"/>
  <c r="AE22" i="75"/>
  <c r="AX22" i="75" s="1"/>
  <c r="AG167" i="110" s="1"/>
  <c r="R22" i="75"/>
  <c r="AY22" i="75"/>
  <c r="AE20" i="75"/>
  <c r="R20" i="75"/>
  <c r="BC20" i="75" s="1"/>
  <c r="AE18" i="75"/>
  <c r="AV18" i="75" s="1"/>
  <c r="AU18" i="75"/>
  <c r="AM165" i="110" s="1"/>
  <c r="R18" i="75"/>
  <c r="R16" i="75"/>
  <c r="AV16" i="75"/>
  <c r="AY18" i="75"/>
  <c r="AN30" i="75"/>
  <c r="P171" i="110" s="1"/>
  <c r="AN18" i="75"/>
  <c r="AY32" i="75"/>
  <c r="AN24" i="75"/>
  <c r="AZ32" i="75"/>
  <c r="AW24" i="75"/>
  <c r="AW18" i="75"/>
  <c r="AX16" i="75"/>
  <c r="AK16" i="75"/>
  <c r="BA16" i="75"/>
  <c r="AX30" i="75"/>
  <c r="AK32" i="75"/>
  <c r="BA32" i="75"/>
  <c r="BA26" i="75"/>
  <c r="AX32" i="75"/>
  <c r="AZ20" i="75"/>
  <c r="AX18" i="75"/>
  <c r="AX26" i="75"/>
  <c r="AZ30" i="75"/>
  <c r="AK18" i="75"/>
  <c r="AU16" i="75"/>
  <c r="Q44" i="106"/>
  <c r="Q43" i="106"/>
  <c r="Q42" i="106"/>
  <c r="Q3" i="106"/>
  <c r="Q2" i="106"/>
  <c r="D129" i="106"/>
  <c r="D128" i="106"/>
  <c r="D127" i="106"/>
  <c r="D126" i="106"/>
  <c r="D4" i="106"/>
  <c r="D3" i="106"/>
  <c r="D2" i="106"/>
  <c r="A9" i="110"/>
  <c r="L37" i="81"/>
  <c r="G37" i="81"/>
  <c r="G36" i="81"/>
  <c r="AN28" i="81"/>
  <c r="AI28" i="81"/>
  <c r="AI27" i="81"/>
  <c r="AI24" i="81"/>
  <c r="AN23" i="81"/>
  <c r="AI23" i="81"/>
  <c r="AI22" i="81"/>
  <c r="L28" i="81"/>
  <c r="G28" i="81"/>
  <c r="G27" i="81"/>
  <c r="G24" i="81"/>
  <c r="U23" i="81" s="1"/>
  <c r="L23" i="81"/>
  <c r="Z22" i="81" s="1"/>
  <c r="G23" i="81"/>
  <c r="U22" i="81" s="1"/>
  <c r="G22" i="81"/>
  <c r="AA165" i="110"/>
  <c r="AB165" i="110"/>
  <c r="AC165" i="110"/>
  <c r="AD165" i="110"/>
  <c r="AG165" i="110"/>
  <c r="AO165" i="110"/>
  <c r="X45" i="55"/>
  <c r="AA166" i="110"/>
  <c r="AB166" i="110"/>
  <c r="AC166" i="110"/>
  <c r="AD166" i="110"/>
  <c r="AO166" i="110"/>
  <c r="AA167" i="110"/>
  <c r="AB167" i="110"/>
  <c r="AC167" i="110"/>
  <c r="AD167" i="110"/>
  <c r="AO167" i="110"/>
  <c r="AA168" i="110"/>
  <c r="AB168" i="110"/>
  <c r="AC168" i="110"/>
  <c r="AD168" i="110"/>
  <c r="AO168" i="110"/>
  <c r="AA169" i="110"/>
  <c r="AB169" i="110"/>
  <c r="AC169" i="110"/>
  <c r="AD169" i="110"/>
  <c r="AO169" i="110"/>
  <c r="AA170" i="110"/>
  <c r="AB170" i="110"/>
  <c r="AC170" i="110"/>
  <c r="AD170" i="110"/>
  <c r="AO170" i="110"/>
  <c r="AA171" i="110"/>
  <c r="AB171" i="110"/>
  <c r="AC171" i="110"/>
  <c r="AD171" i="110"/>
  <c r="AO171" i="110"/>
  <c r="AA172" i="110"/>
  <c r="AB172" i="110"/>
  <c r="AC172" i="110"/>
  <c r="AD172" i="110"/>
  <c r="AO172" i="110"/>
  <c r="AA173" i="110"/>
  <c r="AB173" i="110"/>
  <c r="AC173" i="110"/>
  <c r="AD173" i="110"/>
  <c r="AO173" i="110"/>
  <c r="AA174" i="110"/>
  <c r="AB174" i="110"/>
  <c r="AC174" i="110"/>
  <c r="AD174" i="110"/>
  <c r="AE174" i="110"/>
  <c r="AF174" i="110"/>
  <c r="AG174" i="110"/>
  <c r="AO174" i="110"/>
  <c r="AH174" i="110"/>
  <c r="L174" i="110"/>
  <c r="O174" i="110"/>
  <c r="M174" i="110"/>
  <c r="N174" i="110"/>
  <c r="AM174" i="110"/>
  <c r="AN174" i="110"/>
  <c r="AA175" i="110"/>
  <c r="AB175" i="110"/>
  <c r="AC175" i="110"/>
  <c r="AD175" i="110"/>
  <c r="AE175" i="110"/>
  <c r="AF175" i="110"/>
  <c r="AH175" i="110" s="1"/>
  <c r="AO175" i="110"/>
  <c r="AG175" i="110"/>
  <c r="L175" i="110"/>
  <c r="O175" i="110"/>
  <c r="M175" i="110"/>
  <c r="N175" i="110"/>
  <c r="AK175" i="110" s="1"/>
  <c r="AM175" i="110"/>
  <c r="AN175" i="110"/>
  <c r="AA176" i="110"/>
  <c r="AB176" i="110"/>
  <c r="AC176" i="110"/>
  <c r="AD176" i="110"/>
  <c r="AE176" i="110"/>
  <c r="AF176" i="110"/>
  <c r="AO176" i="110"/>
  <c r="AH176" i="110"/>
  <c r="AG176" i="110"/>
  <c r="L176" i="110"/>
  <c r="AI176" i="110" s="1"/>
  <c r="O176" i="110"/>
  <c r="AK176" i="110" s="1"/>
  <c r="M176" i="110"/>
  <c r="N176" i="110"/>
  <c r="AM176" i="110"/>
  <c r="AN176" i="110"/>
  <c r="AA177" i="110"/>
  <c r="AB177" i="110"/>
  <c r="AC177" i="110"/>
  <c r="AD177" i="110"/>
  <c r="AE177" i="110"/>
  <c r="AF177" i="110"/>
  <c r="AG177" i="110"/>
  <c r="AO177" i="110"/>
  <c r="L177" i="110"/>
  <c r="O177" i="110"/>
  <c r="M177" i="110"/>
  <c r="N177" i="110"/>
  <c r="AM177" i="110"/>
  <c r="AN177" i="110"/>
  <c r="AA178" i="110"/>
  <c r="AB178" i="110"/>
  <c r="AC178" i="110"/>
  <c r="AD178" i="110"/>
  <c r="AE178" i="110"/>
  <c r="AF178" i="110"/>
  <c r="AH178" i="110" s="1"/>
  <c r="AO178" i="110"/>
  <c r="AG178" i="110"/>
  <c r="L178" i="110"/>
  <c r="O178" i="110"/>
  <c r="M178" i="110"/>
  <c r="N178" i="110"/>
  <c r="AM178" i="110"/>
  <c r="AN178" i="110"/>
  <c r="AO164" i="110"/>
  <c r="AD164" i="110"/>
  <c r="AC164" i="110"/>
  <c r="AB164" i="110"/>
  <c r="AA164" i="110"/>
  <c r="Y165" i="110"/>
  <c r="Y166" i="110"/>
  <c r="Y167" i="110"/>
  <c r="Y168" i="110"/>
  <c r="Y169" i="110"/>
  <c r="Y170" i="110"/>
  <c r="Y171" i="110"/>
  <c r="Y172" i="110"/>
  <c r="Y173" i="110"/>
  <c r="Y174" i="110"/>
  <c r="Y175" i="110"/>
  <c r="Y176" i="110"/>
  <c r="Y177" i="110"/>
  <c r="Y178" i="110"/>
  <c r="X165" i="110"/>
  <c r="X166" i="110"/>
  <c r="X167" i="110"/>
  <c r="X168" i="110"/>
  <c r="X169" i="110"/>
  <c r="X170" i="110"/>
  <c r="X171" i="110"/>
  <c r="X172" i="110"/>
  <c r="X173" i="110"/>
  <c r="X174" i="110"/>
  <c r="X175" i="110"/>
  <c r="X176" i="110"/>
  <c r="X177" i="110"/>
  <c r="X178" i="110"/>
  <c r="V165" i="110"/>
  <c r="W165" i="110"/>
  <c r="V166" i="110"/>
  <c r="W166" i="110"/>
  <c r="V167" i="110"/>
  <c r="W167" i="110"/>
  <c r="V168" i="110"/>
  <c r="W168" i="110"/>
  <c r="V169" i="110"/>
  <c r="W169" i="110"/>
  <c r="V170" i="110"/>
  <c r="W170" i="110"/>
  <c r="V171" i="110"/>
  <c r="W171" i="110"/>
  <c r="V172" i="110"/>
  <c r="W172" i="110"/>
  <c r="V173" i="110"/>
  <c r="W173" i="110"/>
  <c r="V174" i="110"/>
  <c r="W174" i="110"/>
  <c r="V175" i="110"/>
  <c r="W175" i="110"/>
  <c r="V176" i="110"/>
  <c r="W176" i="110"/>
  <c r="V177" i="110"/>
  <c r="W177" i="110"/>
  <c r="V178" i="110"/>
  <c r="W178" i="110"/>
  <c r="U165" i="110"/>
  <c r="U166" i="110"/>
  <c r="U167" i="110"/>
  <c r="U168" i="110"/>
  <c r="U169" i="110"/>
  <c r="U170" i="110"/>
  <c r="U171" i="110"/>
  <c r="U172" i="110"/>
  <c r="U173" i="110"/>
  <c r="U174" i="110"/>
  <c r="U175" i="110"/>
  <c r="U176" i="110"/>
  <c r="U177" i="110"/>
  <c r="U178" i="110"/>
  <c r="T165" i="110"/>
  <c r="T166" i="110"/>
  <c r="T170" i="110"/>
  <c r="T173" i="110"/>
  <c r="T174" i="110"/>
  <c r="T175" i="110"/>
  <c r="T176" i="110"/>
  <c r="T177" i="110"/>
  <c r="T178" i="110"/>
  <c r="S173" i="110"/>
  <c r="S174" i="110"/>
  <c r="S175" i="110"/>
  <c r="S176" i="110"/>
  <c r="S177" i="110"/>
  <c r="S178" i="110"/>
  <c r="Q174" i="110"/>
  <c r="Q175" i="110"/>
  <c r="Q176" i="110"/>
  <c r="Q177" i="110"/>
  <c r="Q178" i="110"/>
  <c r="R174" i="110"/>
  <c r="R175" i="110"/>
  <c r="R176" i="110"/>
  <c r="R177" i="110"/>
  <c r="R178" i="110"/>
  <c r="P174" i="110"/>
  <c r="P175" i="110"/>
  <c r="P176" i="110"/>
  <c r="P177" i="110"/>
  <c r="P178" i="110"/>
  <c r="J174" i="110"/>
  <c r="K174" i="110"/>
  <c r="J175" i="110"/>
  <c r="J176" i="110"/>
  <c r="K176" i="110" s="1"/>
  <c r="J177" i="110"/>
  <c r="C177" i="110" s="1"/>
  <c r="B177" i="110" s="1"/>
  <c r="J178" i="110"/>
  <c r="F178" i="110"/>
  <c r="I165" i="110"/>
  <c r="I166" i="110"/>
  <c r="I167" i="110"/>
  <c r="I168" i="110"/>
  <c r="I169" i="110"/>
  <c r="I170" i="110"/>
  <c r="I171" i="110"/>
  <c r="I172" i="110"/>
  <c r="I173" i="110"/>
  <c r="I174" i="110"/>
  <c r="I175" i="110"/>
  <c r="I176" i="110"/>
  <c r="I177" i="110"/>
  <c r="I178" i="110"/>
  <c r="H165" i="110"/>
  <c r="H166" i="110"/>
  <c r="H167" i="110"/>
  <c r="H168" i="110"/>
  <c r="H169" i="110"/>
  <c r="H170" i="110"/>
  <c r="H171" i="110"/>
  <c r="H172" i="110"/>
  <c r="H173" i="110"/>
  <c r="H174" i="110"/>
  <c r="H175" i="110"/>
  <c r="H176" i="110"/>
  <c r="H177" i="110"/>
  <c r="H178" i="110"/>
  <c r="G165" i="110"/>
  <c r="G166" i="110"/>
  <c r="G167" i="110"/>
  <c r="G168" i="110"/>
  <c r="G169" i="110"/>
  <c r="G170" i="110"/>
  <c r="G171" i="110"/>
  <c r="G172" i="110"/>
  <c r="G173" i="110"/>
  <c r="G174" i="110"/>
  <c r="G175" i="110"/>
  <c r="G176" i="110"/>
  <c r="G177" i="110"/>
  <c r="G178" i="110"/>
  <c r="D165" i="110"/>
  <c r="D166" i="110"/>
  <c r="D167" i="110"/>
  <c r="D168" i="110"/>
  <c r="D169" i="110"/>
  <c r="D170" i="110"/>
  <c r="D171" i="110"/>
  <c r="D172" i="110"/>
  <c r="D173" i="110"/>
  <c r="D174" i="110"/>
  <c r="D175" i="110"/>
  <c r="D176" i="110"/>
  <c r="D177" i="110"/>
  <c r="D178" i="110"/>
  <c r="A165" i="110"/>
  <c r="A166" i="110"/>
  <c r="A167" i="110"/>
  <c r="A168" i="110"/>
  <c r="A169" i="110"/>
  <c r="A170" i="110"/>
  <c r="A171" i="110"/>
  <c r="A172" i="110"/>
  <c r="A173" i="110"/>
  <c r="A174" i="110"/>
  <c r="A175" i="110"/>
  <c r="A176" i="110"/>
  <c r="A177" i="110"/>
  <c r="A178" i="110"/>
  <c r="Y164" i="110"/>
  <c r="X164" i="110"/>
  <c r="W164" i="110"/>
  <c r="V164" i="110"/>
  <c r="U164" i="110"/>
  <c r="T164" i="110"/>
  <c r="K149" i="110"/>
  <c r="K150" i="110"/>
  <c r="K151" i="110"/>
  <c r="K152" i="110"/>
  <c r="K153" i="110"/>
  <c r="K154" i="110"/>
  <c r="K155" i="110"/>
  <c r="K156" i="110"/>
  <c r="K157" i="110"/>
  <c r="K158" i="110"/>
  <c r="K159" i="110"/>
  <c r="K160" i="110"/>
  <c r="K161" i="110"/>
  <c r="K162" i="110"/>
  <c r="K148" i="110"/>
  <c r="K133" i="110"/>
  <c r="K134" i="110"/>
  <c r="K135" i="110"/>
  <c r="K136" i="110"/>
  <c r="K137" i="110"/>
  <c r="K138" i="110"/>
  <c r="K139" i="110"/>
  <c r="K140" i="110"/>
  <c r="K141" i="110"/>
  <c r="K142" i="110"/>
  <c r="K143" i="110"/>
  <c r="K144" i="110"/>
  <c r="K145" i="110"/>
  <c r="K146" i="110"/>
  <c r="K132" i="110"/>
  <c r="K117" i="110"/>
  <c r="K118" i="110"/>
  <c r="K119" i="110"/>
  <c r="K120" i="110"/>
  <c r="K121" i="110"/>
  <c r="K122" i="110"/>
  <c r="K123" i="110"/>
  <c r="K124" i="110"/>
  <c r="K125" i="110"/>
  <c r="K126" i="110"/>
  <c r="K127" i="110"/>
  <c r="K128" i="110"/>
  <c r="K129" i="110"/>
  <c r="K130" i="110"/>
  <c r="K116" i="110"/>
  <c r="K101" i="110"/>
  <c r="K102" i="110"/>
  <c r="K103" i="110"/>
  <c r="K104" i="110"/>
  <c r="K105" i="110"/>
  <c r="K106" i="110"/>
  <c r="K107" i="110"/>
  <c r="K108" i="110"/>
  <c r="K109" i="110"/>
  <c r="K110" i="110"/>
  <c r="K111" i="110"/>
  <c r="K112" i="110"/>
  <c r="K113" i="110"/>
  <c r="K114" i="110"/>
  <c r="K100" i="110"/>
  <c r="K85" i="110"/>
  <c r="K86" i="110"/>
  <c r="K87" i="110"/>
  <c r="K88" i="110"/>
  <c r="K89" i="110"/>
  <c r="K90" i="110"/>
  <c r="K91" i="110"/>
  <c r="K92" i="110"/>
  <c r="K93" i="110"/>
  <c r="K94" i="110"/>
  <c r="K95" i="110"/>
  <c r="K96" i="110"/>
  <c r="K97" i="110"/>
  <c r="K98" i="110"/>
  <c r="K84" i="110"/>
  <c r="AH16" i="73"/>
  <c r="AO16" i="73"/>
  <c r="AX16" i="73"/>
  <c r="AW16" i="73"/>
  <c r="AV16" i="73"/>
  <c r="AU16" i="73"/>
  <c r="AM132" i="110" s="1"/>
  <c r="AW18" i="73"/>
  <c r="I164" i="110"/>
  <c r="H164" i="110"/>
  <c r="G164" i="110"/>
  <c r="D164" i="110"/>
  <c r="A164" i="110"/>
  <c r="AG169" i="110"/>
  <c r="T167" i="110"/>
  <c r="T168" i="110"/>
  <c r="T169" i="110"/>
  <c r="T171" i="110"/>
  <c r="T172" i="110"/>
  <c r="AF168" i="110"/>
  <c r="S169" i="110"/>
  <c r="S172" i="110"/>
  <c r="Y75" i="62"/>
  <c r="Y72" i="62"/>
  <c r="AF72" i="62"/>
  <c r="AX16" i="62" s="1"/>
  <c r="D75" i="62"/>
  <c r="D72" i="62"/>
  <c r="K72" i="62"/>
  <c r="Y23" i="62"/>
  <c r="Y20" i="62"/>
  <c r="AF20" i="62"/>
  <c r="R26" i="62"/>
  <c r="AH18" i="13"/>
  <c r="AH20" i="13"/>
  <c r="AH22" i="13"/>
  <c r="AH24" i="13"/>
  <c r="AH26" i="13"/>
  <c r="AH28" i="13"/>
  <c r="AH30" i="13"/>
  <c r="AH32" i="13"/>
  <c r="AH34" i="13"/>
  <c r="AK18" i="13"/>
  <c r="M64" i="110" s="1"/>
  <c r="AV18" i="13"/>
  <c r="AK20" i="13"/>
  <c r="M65" i="110" s="1"/>
  <c r="AK22" i="13"/>
  <c r="AK24" i="13"/>
  <c r="AE67" i="110" s="1"/>
  <c r="AK26" i="13"/>
  <c r="AK28" i="13"/>
  <c r="R69" i="110" s="1"/>
  <c r="AK30" i="13"/>
  <c r="R70" i="110" s="1"/>
  <c r="AK32" i="13"/>
  <c r="AK34" i="13"/>
  <c r="AE72" i="110" s="1"/>
  <c r="AO18" i="13"/>
  <c r="AO20" i="13"/>
  <c r="AO22" i="13"/>
  <c r="AO24" i="13"/>
  <c r="AO26" i="13"/>
  <c r="AO28" i="13"/>
  <c r="AO30" i="13"/>
  <c r="AO32" i="13"/>
  <c r="AO34" i="13"/>
  <c r="AU18" i="13"/>
  <c r="AM64" i="110" s="1"/>
  <c r="AU20" i="13"/>
  <c r="AM65" i="110" s="1"/>
  <c r="AU22" i="13"/>
  <c r="AM66" i="110" s="1"/>
  <c r="AU24" i="13"/>
  <c r="AM67" i="110" s="1"/>
  <c r="AU26" i="13"/>
  <c r="AM68" i="110" s="1"/>
  <c r="AU28" i="13"/>
  <c r="AM69" i="110" s="1"/>
  <c r="AU30" i="13"/>
  <c r="AM70" i="110" s="1"/>
  <c r="AU32" i="13"/>
  <c r="AM71" i="110" s="1"/>
  <c r="AU34" i="13"/>
  <c r="AM72" i="110" s="1"/>
  <c r="AV20" i="13"/>
  <c r="AV22" i="13"/>
  <c r="AV24" i="13"/>
  <c r="AV26" i="13"/>
  <c r="AV28" i="13"/>
  <c r="AV30" i="13"/>
  <c r="AV32" i="13"/>
  <c r="AV34" i="13"/>
  <c r="AW18" i="13"/>
  <c r="AW20" i="13"/>
  <c r="AW22" i="13"/>
  <c r="AW24" i="13"/>
  <c r="AW26" i="13"/>
  <c r="AW28" i="13"/>
  <c r="AW30" i="13"/>
  <c r="AW32" i="13"/>
  <c r="AW34" i="13"/>
  <c r="AX18" i="13"/>
  <c r="AX20" i="13"/>
  <c r="AX22" i="13"/>
  <c r="AX24" i="13"/>
  <c r="AX26" i="13"/>
  <c r="AX28" i="13"/>
  <c r="AX30" i="13"/>
  <c r="AX32" i="13"/>
  <c r="AX34" i="13"/>
  <c r="AY18" i="13"/>
  <c r="AY20" i="13"/>
  <c r="AY22" i="13"/>
  <c r="AY24" i="13"/>
  <c r="AY26" i="13"/>
  <c r="AY28" i="13"/>
  <c r="AY30" i="13"/>
  <c r="AY32" i="13"/>
  <c r="AY34" i="13"/>
  <c r="AY16" i="13"/>
  <c r="AW16" i="13"/>
  <c r="E63" i="110" s="1"/>
  <c r="AO16" i="13"/>
  <c r="AH16" i="13"/>
  <c r="AO16" i="72"/>
  <c r="AO16" i="71"/>
  <c r="K20" i="62"/>
  <c r="L6" i="110"/>
  <c r="X64" i="110"/>
  <c r="X65" i="110"/>
  <c r="X66" i="110"/>
  <c r="X67" i="110"/>
  <c r="X68" i="110"/>
  <c r="X69" i="110"/>
  <c r="X70" i="110"/>
  <c r="X71" i="110"/>
  <c r="X72" i="110"/>
  <c r="X73" i="110"/>
  <c r="X74" i="110"/>
  <c r="X75" i="110"/>
  <c r="X76" i="110"/>
  <c r="X77" i="110"/>
  <c r="X63" i="110"/>
  <c r="AL31" i="14"/>
  <c r="AL29" i="14"/>
  <c r="AL27" i="14"/>
  <c r="AL25" i="14"/>
  <c r="AL23" i="14"/>
  <c r="AL21" i="14"/>
  <c r="AL19" i="14"/>
  <c r="AL17" i="14"/>
  <c r="AE31" i="14"/>
  <c r="AE29" i="14"/>
  <c r="AE27" i="14"/>
  <c r="AE25" i="14"/>
  <c r="AE23" i="14"/>
  <c r="AE21" i="14"/>
  <c r="AE19" i="14"/>
  <c r="AE17" i="14"/>
  <c r="X31" i="14"/>
  <c r="X29" i="14"/>
  <c r="X27" i="14"/>
  <c r="X25" i="14"/>
  <c r="X23" i="14"/>
  <c r="X21" i="14"/>
  <c r="X19" i="14"/>
  <c r="X17" i="14"/>
  <c r="Q31" i="14"/>
  <c r="Q29" i="14"/>
  <c r="Q27" i="14"/>
  <c r="Q25" i="14"/>
  <c r="Q23" i="14"/>
  <c r="Q21" i="14"/>
  <c r="Q19" i="14"/>
  <c r="Q17" i="14"/>
  <c r="AH16" i="72"/>
  <c r="AH16" i="71"/>
  <c r="V12" i="62"/>
  <c r="I27" i="3"/>
  <c r="X19" i="77"/>
  <c r="AB38" i="81" s="1"/>
  <c r="G46" i="81"/>
  <c r="X18" i="51"/>
  <c r="X19" i="51"/>
  <c r="X20" i="51"/>
  <c r="X21" i="51"/>
  <c r="X22" i="51"/>
  <c r="X23" i="51"/>
  <c r="X24" i="51"/>
  <c r="X25" i="51"/>
  <c r="X26" i="51"/>
  <c r="X27" i="51"/>
  <c r="X28" i="51"/>
  <c r="AK16" i="70"/>
  <c r="AK18" i="70"/>
  <c r="L85" i="110" s="1"/>
  <c r="AI85" i="110" s="1"/>
  <c r="AK20" i="70"/>
  <c r="L86" i="110" s="1"/>
  <c r="AK22" i="70"/>
  <c r="P87" i="110" s="1"/>
  <c r="AK24" i="70"/>
  <c r="R88" i="110" s="1"/>
  <c r="AK26" i="70"/>
  <c r="M89" i="110" s="1"/>
  <c r="AK28" i="70"/>
  <c r="L90" i="110" s="1"/>
  <c r="AG90" i="110"/>
  <c r="AK30" i="70"/>
  <c r="N91" i="110" s="1"/>
  <c r="AK32" i="70"/>
  <c r="R92" i="110" s="1"/>
  <c r="AK34" i="70"/>
  <c r="AK16" i="71"/>
  <c r="AK18" i="71"/>
  <c r="AK20" i="71"/>
  <c r="N102" i="110" s="1"/>
  <c r="AK22" i="71"/>
  <c r="AK24" i="71"/>
  <c r="AV24" i="71"/>
  <c r="AK26" i="71"/>
  <c r="AK28" i="71"/>
  <c r="M106" i="110" s="1"/>
  <c r="AK30" i="71"/>
  <c r="R107" i="110" s="1"/>
  <c r="AK32" i="71"/>
  <c r="AE108" i="110" s="1"/>
  <c r="AK34" i="71"/>
  <c r="R109" i="110" s="1"/>
  <c r="AX16" i="72"/>
  <c r="AW16" i="72"/>
  <c r="AV16" i="72"/>
  <c r="AU16" i="72"/>
  <c r="AM116" i="110" s="1"/>
  <c r="AK16" i="72"/>
  <c r="M116" i="110" s="1"/>
  <c r="AK18" i="72"/>
  <c r="O117" i="110" s="1"/>
  <c r="AV18" i="72"/>
  <c r="AK20" i="72"/>
  <c r="AK22" i="72"/>
  <c r="N119" i="110" s="1"/>
  <c r="AK24" i="72"/>
  <c r="AK26" i="72"/>
  <c r="M121" i="110" s="1"/>
  <c r="AK28" i="72"/>
  <c r="AK30" i="72"/>
  <c r="AK32" i="72"/>
  <c r="AK34" i="72"/>
  <c r="M125" i="110" s="1"/>
  <c r="BA16" i="73"/>
  <c r="AK16" i="73"/>
  <c r="AK18" i="73"/>
  <c r="AK20" i="73"/>
  <c r="L134" i="110" s="1"/>
  <c r="AK22" i="73"/>
  <c r="AK24" i="73"/>
  <c r="AE136" i="110" s="1"/>
  <c r="AK26" i="73"/>
  <c r="N137" i="110" s="1"/>
  <c r="AK28" i="73"/>
  <c r="N138" i="110" s="1"/>
  <c r="AK30" i="73"/>
  <c r="AK32" i="73"/>
  <c r="M140" i="110" s="1"/>
  <c r="AK34" i="73"/>
  <c r="R141" i="110" s="1"/>
  <c r="AK16" i="74"/>
  <c r="AK18" i="74"/>
  <c r="N149" i="110" s="1"/>
  <c r="AK20" i="74"/>
  <c r="R150" i="110" s="1"/>
  <c r="AK22" i="74"/>
  <c r="O151" i="110" s="1"/>
  <c r="AK24" i="74"/>
  <c r="R152" i="110" s="1"/>
  <c r="AK26" i="74"/>
  <c r="M153" i="110" s="1"/>
  <c r="AK28" i="74"/>
  <c r="AK30" i="74"/>
  <c r="AK32" i="74"/>
  <c r="AE156" i="110" s="1"/>
  <c r="AK34" i="74"/>
  <c r="M157" i="110" s="1"/>
  <c r="R27" i="62"/>
  <c r="Z14" i="81"/>
  <c r="AL62" i="58"/>
  <c r="AL65" i="58" s="1"/>
  <c r="Q62" i="58"/>
  <c r="Q65" i="58" s="1"/>
  <c r="AL56" i="58"/>
  <c r="AL59" i="58" s="1"/>
  <c r="Q56" i="58"/>
  <c r="Q59" i="58" s="1"/>
  <c r="C6" i="110"/>
  <c r="B6" i="110" s="1"/>
  <c r="J33" i="76"/>
  <c r="G26" i="81"/>
  <c r="U25" i="81"/>
  <c r="G25" i="81"/>
  <c r="U24" i="81" s="1"/>
  <c r="G39" i="81"/>
  <c r="G43" i="81"/>
  <c r="EI2" i="110"/>
  <c r="EX2" i="110"/>
  <c r="EU2" i="110"/>
  <c r="EP2" i="110"/>
  <c r="EO2" i="110"/>
  <c r="EN2" i="110"/>
  <c r="EM2" i="110"/>
  <c r="EQ2" i="110"/>
  <c r="ER2" i="110"/>
  <c r="EL2" i="110"/>
  <c r="U32" i="81"/>
  <c r="U31" i="81"/>
  <c r="U30" i="81"/>
  <c r="U29" i="81"/>
  <c r="EH2" i="110"/>
  <c r="A6" i="110"/>
  <c r="CX2" i="110"/>
  <c r="CW2" i="110"/>
  <c r="CV2" i="110"/>
  <c r="CU2" i="110"/>
  <c r="CT2" i="110"/>
  <c r="CS2" i="110"/>
  <c r="CQ2" i="110"/>
  <c r="CP2" i="110"/>
  <c r="CO2" i="110"/>
  <c r="CC2" i="110"/>
  <c r="BZ2" i="110"/>
  <c r="T8" i="109"/>
  <c r="S8" i="109"/>
  <c r="R8" i="109"/>
  <c r="Q8" i="109"/>
  <c r="P8" i="109"/>
  <c r="T7" i="109"/>
  <c r="S7" i="109"/>
  <c r="R7" i="109"/>
  <c r="Q7" i="109"/>
  <c r="P7" i="109"/>
  <c r="W43" i="79"/>
  <c r="W42" i="78"/>
  <c r="AD24" i="78"/>
  <c r="AI45" i="81"/>
  <c r="S8" i="110"/>
  <c r="T8" i="110"/>
  <c r="J4" i="110"/>
  <c r="AN4" i="110"/>
  <c r="I4" i="110"/>
  <c r="E4" i="110"/>
  <c r="E5" i="110"/>
  <c r="I8" i="110"/>
  <c r="H8" i="110"/>
  <c r="E8" i="110"/>
  <c r="B155" i="3"/>
  <c r="A155" i="3"/>
  <c r="Q17" i="58"/>
  <c r="AE17" i="58"/>
  <c r="AL17" i="58"/>
  <c r="X17" i="58"/>
  <c r="C14" i="58"/>
  <c r="V12" i="12"/>
  <c r="C13" i="62"/>
  <c r="AL31" i="77"/>
  <c r="AN31" i="77"/>
  <c r="U53" i="81" s="1"/>
  <c r="AE31" i="77"/>
  <c r="U52" i="81" s="1"/>
  <c r="AY34" i="74"/>
  <c r="AX34" i="74"/>
  <c r="AW34" i="74"/>
  <c r="AV34" i="74"/>
  <c r="AU34" i="74"/>
  <c r="AM157" i="110" s="1"/>
  <c r="AO34" i="74"/>
  <c r="AH34" i="74"/>
  <c r="AZ34" i="74" s="1"/>
  <c r="AY32" i="74"/>
  <c r="AX32" i="74"/>
  <c r="AW32" i="74"/>
  <c r="E156" i="110" s="1"/>
  <c r="AV32" i="74"/>
  <c r="AU32" i="74"/>
  <c r="AM156" i="110" s="1"/>
  <c r="AO32" i="74"/>
  <c r="AH32" i="74"/>
  <c r="AY30" i="74"/>
  <c r="AX30" i="74"/>
  <c r="AW30" i="74"/>
  <c r="E155" i="110" s="1"/>
  <c r="AV30" i="74"/>
  <c r="AU30" i="74"/>
  <c r="AM155" i="110" s="1"/>
  <c r="AO30" i="74"/>
  <c r="AH30" i="74"/>
  <c r="AY28" i="74"/>
  <c r="AX28" i="74"/>
  <c r="AW28" i="74"/>
  <c r="E154" i="110"/>
  <c r="AV28" i="74"/>
  <c r="AU28" i="74"/>
  <c r="AM154" i="110" s="1"/>
  <c r="AO28" i="74"/>
  <c r="AH28" i="74"/>
  <c r="AY26" i="74"/>
  <c r="AX26" i="74"/>
  <c r="AW26" i="74"/>
  <c r="AV26" i="74"/>
  <c r="AU26" i="74"/>
  <c r="AM153" i="110" s="1"/>
  <c r="AO26" i="74"/>
  <c r="AH26" i="74"/>
  <c r="AZ26" i="74"/>
  <c r="AY24" i="74"/>
  <c r="AX24" i="74"/>
  <c r="AW24" i="74"/>
  <c r="AV24" i="74"/>
  <c r="AU24" i="74"/>
  <c r="AM152" i="110" s="1"/>
  <c r="AO24" i="74"/>
  <c r="AH24" i="74"/>
  <c r="AZ24" i="74" s="1"/>
  <c r="AY22" i="74"/>
  <c r="AX22" i="74"/>
  <c r="AW22" i="74"/>
  <c r="AV22" i="74"/>
  <c r="AU22" i="74"/>
  <c r="AM151" i="110" s="1"/>
  <c r="AO22" i="74"/>
  <c r="BA22" i="74" s="1"/>
  <c r="AH22" i="74"/>
  <c r="AY20" i="74"/>
  <c r="AX20" i="74"/>
  <c r="AW20" i="74"/>
  <c r="E150" i="110" s="1"/>
  <c r="AV20" i="74"/>
  <c r="AU20" i="74"/>
  <c r="AM150" i="110" s="1"/>
  <c r="AO20" i="74"/>
  <c r="AH20" i="74"/>
  <c r="AY18" i="74"/>
  <c r="AX18" i="74"/>
  <c r="AW18" i="74"/>
  <c r="E149" i="110" s="1"/>
  <c r="AV18" i="74"/>
  <c r="AU18" i="74"/>
  <c r="AM149" i="110" s="1"/>
  <c r="AO18" i="74"/>
  <c r="AH18" i="74"/>
  <c r="AY16" i="74"/>
  <c r="AX16" i="74"/>
  <c r="AW16" i="74"/>
  <c r="AV16" i="74"/>
  <c r="AU16" i="74"/>
  <c r="AM148" i="110" s="1"/>
  <c r="AO16" i="74"/>
  <c r="AH16" i="74"/>
  <c r="AY34" i="73"/>
  <c r="AX34" i="73"/>
  <c r="AW34" i="73"/>
  <c r="BA34" i="73"/>
  <c r="AV34" i="73"/>
  <c r="AU34" i="73"/>
  <c r="AM141" i="110" s="1"/>
  <c r="AO34" i="73"/>
  <c r="AH34" i="73"/>
  <c r="AZ34" i="73"/>
  <c r="AY32" i="73"/>
  <c r="AX32" i="73"/>
  <c r="AW32" i="73"/>
  <c r="AV32" i="73"/>
  <c r="AU32" i="73"/>
  <c r="AM140" i="110" s="1"/>
  <c r="AO32" i="73"/>
  <c r="AH32" i="73"/>
  <c r="AY30" i="73"/>
  <c r="AX30" i="73"/>
  <c r="AW30" i="73"/>
  <c r="E139" i="110" s="1"/>
  <c r="AV30" i="73"/>
  <c r="AU30" i="73"/>
  <c r="AM139" i="110" s="1"/>
  <c r="AO30" i="73"/>
  <c r="AH30" i="73"/>
  <c r="AY28" i="73"/>
  <c r="AX28" i="73"/>
  <c r="AW28" i="73"/>
  <c r="E138" i="110"/>
  <c r="AV28" i="73"/>
  <c r="AU28" i="73"/>
  <c r="AM138" i="110" s="1"/>
  <c r="AO28" i="73"/>
  <c r="AH28" i="73"/>
  <c r="AY26" i="73"/>
  <c r="AX26" i="73"/>
  <c r="AW26" i="73"/>
  <c r="E137" i="110"/>
  <c r="AV26" i="73"/>
  <c r="AU26" i="73"/>
  <c r="AM137" i="110" s="1"/>
  <c r="AO26" i="73"/>
  <c r="AH26" i="73"/>
  <c r="AY24" i="73"/>
  <c r="AX24" i="73"/>
  <c r="AW24" i="73"/>
  <c r="AV24" i="73"/>
  <c r="AU24" i="73"/>
  <c r="AM136" i="110" s="1"/>
  <c r="AO24" i="73"/>
  <c r="AH24" i="73"/>
  <c r="AZ24" i="73"/>
  <c r="AY22" i="73"/>
  <c r="AX22" i="73"/>
  <c r="AW22" i="73"/>
  <c r="E135" i="110"/>
  <c r="AV22" i="73"/>
  <c r="AU22" i="73"/>
  <c r="AM135" i="110" s="1"/>
  <c r="AO22" i="73"/>
  <c r="AH22" i="73"/>
  <c r="AY20" i="73"/>
  <c r="AX20" i="73"/>
  <c r="AW20" i="73"/>
  <c r="E134" i="110" s="1"/>
  <c r="AV20" i="73"/>
  <c r="AU20" i="73"/>
  <c r="AM134" i="110" s="1"/>
  <c r="AO20" i="73"/>
  <c r="AH20" i="73"/>
  <c r="AY18" i="73"/>
  <c r="AX18" i="73"/>
  <c r="AV18" i="73"/>
  <c r="AU18" i="73"/>
  <c r="AM133" i="110" s="1"/>
  <c r="AO18" i="73"/>
  <c r="AH18" i="73"/>
  <c r="AZ18" i="73"/>
  <c r="AY16" i="73"/>
  <c r="AY34" i="72"/>
  <c r="AX34" i="72"/>
  <c r="AW34" i="72"/>
  <c r="E125" i="110" s="1"/>
  <c r="AV34" i="72"/>
  <c r="AU34" i="72"/>
  <c r="AM125" i="110" s="1"/>
  <c r="AO34" i="72"/>
  <c r="AH34" i="72"/>
  <c r="AY32" i="72"/>
  <c r="AX32" i="72"/>
  <c r="AW32" i="72"/>
  <c r="E124" i="110" s="1"/>
  <c r="AV32" i="72"/>
  <c r="AU32" i="72"/>
  <c r="AM124" i="110" s="1"/>
  <c r="AO32" i="72"/>
  <c r="AH32" i="72"/>
  <c r="AY30" i="72"/>
  <c r="AX30" i="72"/>
  <c r="AW30" i="72"/>
  <c r="E123" i="110"/>
  <c r="AV30" i="72"/>
  <c r="AU30" i="72"/>
  <c r="AM123" i="110" s="1"/>
  <c r="AO30" i="72"/>
  <c r="AH30" i="72"/>
  <c r="AY28" i="72"/>
  <c r="AX28" i="72"/>
  <c r="AW28" i="72"/>
  <c r="AV28" i="72"/>
  <c r="AU28" i="72"/>
  <c r="AM122" i="110" s="1"/>
  <c r="AO28" i="72"/>
  <c r="AH28" i="72"/>
  <c r="AZ28" i="72"/>
  <c r="AY26" i="72"/>
  <c r="AX26" i="72"/>
  <c r="AW26" i="72"/>
  <c r="AV26" i="72"/>
  <c r="AU26" i="72"/>
  <c r="AM121" i="110" s="1"/>
  <c r="AO26" i="72"/>
  <c r="AH26" i="72"/>
  <c r="AY24" i="72"/>
  <c r="AX24" i="72"/>
  <c r="AW24" i="72"/>
  <c r="E120" i="110" s="1"/>
  <c r="AV24" i="72"/>
  <c r="Q120" i="110" s="1"/>
  <c r="AU24" i="72"/>
  <c r="AM120" i="110" s="1"/>
  <c r="AO24" i="72"/>
  <c r="AH24" i="72"/>
  <c r="AY22" i="72"/>
  <c r="AX22" i="72"/>
  <c r="AW22" i="72"/>
  <c r="E119" i="110"/>
  <c r="AV22" i="72"/>
  <c r="AU22" i="72"/>
  <c r="AM119" i="110" s="1"/>
  <c r="AO22" i="72"/>
  <c r="AH22" i="72"/>
  <c r="AY20" i="72"/>
  <c r="AX20" i="72"/>
  <c r="AW20" i="72"/>
  <c r="E118" i="110"/>
  <c r="AV20" i="72"/>
  <c r="AU20" i="72"/>
  <c r="AM118" i="110" s="1"/>
  <c r="AO20" i="72"/>
  <c r="AH20" i="72"/>
  <c r="AY18" i="72"/>
  <c r="AX18" i="72"/>
  <c r="AW18" i="72"/>
  <c r="AU18" i="72"/>
  <c r="AM117" i="110" s="1"/>
  <c r="AO18" i="72"/>
  <c r="BA18" i="72" s="1"/>
  <c r="AH18" i="72"/>
  <c r="AY16" i="72"/>
  <c r="AY34" i="71"/>
  <c r="AX34" i="71"/>
  <c r="AW34" i="71"/>
  <c r="E109" i="110"/>
  <c r="AV34" i="71"/>
  <c r="AU34" i="71"/>
  <c r="AM109" i="110" s="1"/>
  <c r="AO34" i="71"/>
  <c r="AH34" i="71"/>
  <c r="AY32" i="71"/>
  <c r="AX32" i="71"/>
  <c r="AW32" i="71"/>
  <c r="BA32" i="71" s="1"/>
  <c r="AV32" i="71"/>
  <c r="AU32" i="71"/>
  <c r="AM108" i="110" s="1"/>
  <c r="AO32" i="71"/>
  <c r="AH32" i="71"/>
  <c r="AY30" i="71"/>
  <c r="AX30" i="71"/>
  <c r="AW30" i="71"/>
  <c r="E107" i="110" s="1"/>
  <c r="AV30" i="71"/>
  <c r="Q107" i="110" s="1"/>
  <c r="AU30" i="71"/>
  <c r="AM107" i="110" s="1"/>
  <c r="AO30" i="71"/>
  <c r="AH30" i="71"/>
  <c r="AY28" i="71"/>
  <c r="AX28" i="71"/>
  <c r="AW28" i="71"/>
  <c r="AV28" i="71"/>
  <c r="AU28" i="71"/>
  <c r="AM106" i="110" s="1"/>
  <c r="AO28" i="71"/>
  <c r="BA28" i="71" s="1"/>
  <c r="AH28" i="71"/>
  <c r="AY26" i="71"/>
  <c r="AX26" i="71"/>
  <c r="AW26" i="71"/>
  <c r="BA26" i="71"/>
  <c r="AV26" i="71"/>
  <c r="AU26" i="71"/>
  <c r="AM105" i="110" s="1"/>
  <c r="AO26" i="71"/>
  <c r="AH26" i="71"/>
  <c r="AY24" i="71"/>
  <c r="AX24" i="71"/>
  <c r="AW24" i="71"/>
  <c r="E104" i="110" s="1"/>
  <c r="AU24" i="71"/>
  <c r="AM104" i="110" s="1"/>
  <c r="AO24" i="71"/>
  <c r="AH24" i="71"/>
  <c r="AY22" i="71"/>
  <c r="AX22" i="71"/>
  <c r="AW22" i="71"/>
  <c r="E103" i="110" s="1"/>
  <c r="AV22" i="71"/>
  <c r="Q103" i="110" s="1"/>
  <c r="AU22" i="71"/>
  <c r="AM103" i="110" s="1"/>
  <c r="AO22" i="71"/>
  <c r="AH22" i="71"/>
  <c r="AY20" i="71"/>
  <c r="AX20" i="71"/>
  <c r="AW20" i="71"/>
  <c r="E102" i="110" s="1"/>
  <c r="AV20" i="71"/>
  <c r="AU20" i="71"/>
  <c r="AM102" i="110" s="1"/>
  <c r="AO20" i="71"/>
  <c r="BA20" i="71" s="1"/>
  <c r="AH20" i="71"/>
  <c r="AY18" i="71"/>
  <c r="AX18" i="71"/>
  <c r="AW18" i="71"/>
  <c r="AV18" i="71"/>
  <c r="AU18" i="71"/>
  <c r="AM101" i="110" s="1"/>
  <c r="AO18" i="71"/>
  <c r="AZ18" i="71"/>
  <c r="AH18" i="71"/>
  <c r="AY16" i="71"/>
  <c r="AX16" i="71"/>
  <c r="AW16" i="71"/>
  <c r="E100" i="110" s="1"/>
  <c r="AV16" i="71"/>
  <c r="AU16" i="71"/>
  <c r="AM100" i="110" s="1"/>
  <c r="AY34" i="70"/>
  <c r="AX34" i="70"/>
  <c r="AW34" i="70"/>
  <c r="E93" i="110"/>
  <c r="AV34" i="70"/>
  <c r="AU34" i="70"/>
  <c r="AM93" i="110" s="1"/>
  <c r="AO34" i="70"/>
  <c r="AH34" i="70"/>
  <c r="AY32" i="70"/>
  <c r="AX32" i="70"/>
  <c r="AW32" i="70"/>
  <c r="E92" i="110" s="1"/>
  <c r="AV32" i="70"/>
  <c r="AU32" i="70"/>
  <c r="AM92" i="110" s="1"/>
  <c r="AO32" i="70"/>
  <c r="AH32" i="70"/>
  <c r="AY30" i="70"/>
  <c r="AX30" i="70"/>
  <c r="AW30" i="70"/>
  <c r="E91" i="110" s="1"/>
  <c r="AV30" i="70"/>
  <c r="AU30" i="70"/>
  <c r="AM91" i="110" s="1"/>
  <c r="AO30" i="70"/>
  <c r="AH30" i="70"/>
  <c r="AZ30" i="70" s="1"/>
  <c r="AY28" i="70"/>
  <c r="AX28" i="70"/>
  <c r="AW28" i="70"/>
  <c r="E90" i="110" s="1"/>
  <c r="AV28" i="70"/>
  <c r="AU28" i="70"/>
  <c r="AM90" i="110" s="1"/>
  <c r="AO28" i="70"/>
  <c r="AH28" i="70"/>
  <c r="AY26" i="70"/>
  <c r="AX26" i="70"/>
  <c r="AW26" i="70"/>
  <c r="AV26" i="70"/>
  <c r="AU26" i="70"/>
  <c r="AM89" i="110" s="1"/>
  <c r="AO26" i="70"/>
  <c r="AH26" i="70"/>
  <c r="AZ26" i="70" s="1"/>
  <c r="AY24" i="70"/>
  <c r="AX24" i="70"/>
  <c r="AW24" i="70"/>
  <c r="E88" i="110" s="1"/>
  <c r="AV24" i="70"/>
  <c r="AU24" i="70"/>
  <c r="AM88" i="110" s="1"/>
  <c r="AO24" i="70"/>
  <c r="AH24" i="70"/>
  <c r="AY22" i="70"/>
  <c r="AX22" i="70"/>
  <c r="AW22" i="70"/>
  <c r="BA22" i="70" s="1"/>
  <c r="AV22" i="70"/>
  <c r="AU22" i="70"/>
  <c r="AM87" i="110" s="1"/>
  <c r="AO22" i="70"/>
  <c r="AH22" i="70"/>
  <c r="AY20" i="70"/>
  <c r="AX20" i="70"/>
  <c r="AW20" i="70"/>
  <c r="E86" i="110"/>
  <c r="AV20" i="70"/>
  <c r="AU20" i="70"/>
  <c r="AM86" i="110" s="1"/>
  <c r="AO20" i="70"/>
  <c r="AH20" i="70"/>
  <c r="AY18" i="70"/>
  <c r="AX18" i="70"/>
  <c r="AW18" i="70"/>
  <c r="E85" i="110" s="1"/>
  <c r="AV18" i="70"/>
  <c r="AU18" i="70"/>
  <c r="AM85" i="110" s="1"/>
  <c r="AO18" i="70"/>
  <c r="AH18" i="70"/>
  <c r="AY16" i="70"/>
  <c r="AX16" i="70"/>
  <c r="AW16" i="70"/>
  <c r="E84" i="110"/>
  <c r="AV16" i="70"/>
  <c r="AU16" i="70"/>
  <c r="AM84" i="110" s="1"/>
  <c r="AO16" i="70"/>
  <c r="AH16" i="70"/>
  <c r="AZ16" i="73"/>
  <c r="C35" i="77"/>
  <c r="Q19" i="77"/>
  <c r="Z38" i="81" s="1"/>
  <c r="J19" i="77"/>
  <c r="U38" i="81" s="1"/>
  <c r="C19" i="77"/>
  <c r="U37" i="81" s="1"/>
  <c r="AE16" i="77"/>
  <c r="U40" i="81" s="1"/>
  <c r="X16" i="77"/>
  <c r="BE2" i="110" s="1"/>
  <c r="Q16" i="77"/>
  <c r="Z36" i="81" s="1"/>
  <c r="J16" i="77"/>
  <c r="C16" i="77"/>
  <c r="U35" i="81" s="1"/>
  <c r="J31" i="76"/>
  <c r="J28" i="76" s="1"/>
  <c r="X31" i="77"/>
  <c r="AB49" i="81" s="1"/>
  <c r="Q31" i="77"/>
  <c r="Z49" i="81" s="1"/>
  <c r="J31" i="77"/>
  <c r="U49" i="81" s="1"/>
  <c r="C31" i="77"/>
  <c r="U48" i="81" s="1"/>
  <c r="AE28" i="77"/>
  <c r="U51" i="81" s="1"/>
  <c r="X28" i="77"/>
  <c r="U50" i="81" s="1"/>
  <c r="Q28" i="77"/>
  <c r="Z47" i="81" s="1"/>
  <c r="J28" i="77"/>
  <c r="U47" i="81" s="1"/>
  <c r="C28" i="77"/>
  <c r="U46" i="81" s="1"/>
  <c r="AL16" i="77"/>
  <c r="J30" i="76"/>
  <c r="J29" i="76"/>
  <c r="J31" i="14"/>
  <c r="C31" i="14"/>
  <c r="J29" i="14"/>
  <c r="C29" i="14"/>
  <c r="J27" i="14"/>
  <c r="C27" i="14"/>
  <c r="J25" i="14"/>
  <c r="C25" i="14"/>
  <c r="J23" i="14"/>
  <c r="C23" i="14"/>
  <c r="J21" i="14"/>
  <c r="C21" i="14"/>
  <c r="J19" i="14"/>
  <c r="C19" i="14"/>
  <c r="J17" i="14"/>
  <c r="C17" i="14"/>
  <c r="F13" i="14"/>
  <c r="AM117" i="62"/>
  <c r="R117" i="62"/>
  <c r="AM116" i="62"/>
  <c r="R116" i="62"/>
  <c r="AM115" i="62"/>
  <c r="R115" i="62"/>
  <c r="AM114" i="62"/>
  <c r="R114" i="62"/>
  <c r="AM113" i="62"/>
  <c r="R113" i="62"/>
  <c r="AM112" i="62"/>
  <c r="R112" i="62"/>
  <c r="AM111" i="62"/>
  <c r="R111" i="62"/>
  <c r="AM110" i="62"/>
  <c r="R110" i="62"/>
  <c r="AM109" i="62"/>
  <c r="R109" i="62"/>
  <c r="AM108" i="62"/>
  <c r="R108" i="62"/>
  <c r="AM107" i="62"/>
  <c r="R107" i="62"/>
  <c r="AM106" i="62"/>
  <c r="R106" i="62"/>
  <c r="AM105" i="62"/>
  <c r="R105" i="62"/>
  <c r="AM104" i="62"/>
  <c r="R104" i="62"/>
  <c r="AM103" i="62"/>
  <c r="R103" i="62"/>
  <c r="AM102" i="62"/>
  <c r="R102" i="62"/>
  <c r="AM101" i="62"/>
  <c r="R101" i="62"/>
  <c r="AM100" i="62"/>
  <c r="R100" i="62"/>
  <c r="AM99" i="62"/>
  <c r="R99" i="62"/>
  <c r="AM98" i="62"/>
  <c r="R98" i="62"/>
  <c r="AM97" i="62"/>
  <c r="R97" i="62"/>
  <c r="AM96" i="62"/>
  <c r="R96" i="62"/>
  <c r="AM95" i="62"/>
  <c r="R95" i="62"/>
  <c r="AM94" i="62"/>
  <c r="R94" i="62"/>
  <c r="AM93" i="62"/>
  <c r="R93" i="62"/>
  <c r="AM92" i="62"/>
  <c r="R92" i="62"/>
  <c r="AM91" i="62"/>
  <c r="R91" i="62"/>
  <c r="AM90" i="62"/>
  <c r="R90" i="62"/>
  <c r="AM89" i="62"/>
  <c r="R89" i="62"/>
  <c r="AM88" i="62"/>
  <c r="R88" i="62"/>
  <c r="AM87" i="62"/>
  <c r="R87" i="62"/>
  <c r="AM86" i="62"/>
  <c r="R86" i="62"/>
  <c r="AM85" i="62"/>
  <c r="R85" i="62"/>
  <c r="AM84" i="62"/>
  <c r="R84" i="62"/>
  <c r="AM83" i="62"/>
  <c r="R83" i="62"/>
  <c r="AM82" i="62"/>
  <c r="R82" i="62"/>
  <c r="AM81" i="62"/>
  <c r="R81" i="62"/>
  <c r="AM80" i="62"/>
  <c r="R80" i="62"/>
  <c r="AM79" i="62"/>
  <c r="R79" i="62"/>
  <c r="AM78" i="62"/>
  <c r="AM118" i="62" s="1"/>
  <c r="AF75" i="62" s="1"/>
  <c r="R78" i="62"/>
  <c r="R118" i="62" s="1"/>
  <c r="AM65" i="62"/>
  <c r="R65" i="62"/>
  <c r="AM64" i="62"/>
  <c r="R64" i="62"/>
  <c r="AM63" i="62"/>
  <c r="R63" i="62"/>
  <c r="AM62" i="62"/>
  <c r="R62" i="62"/>
  <c r="AM61" i="62"/>
  <c r="R61" i="62"/>
  <c r="AM60" i="62"/>
  <c r="R60" i="62"/>
  <c r="AM59" i="62"/>
  <c r="R59" i="62"/>
  <c r="AM58" i="62"/>
  <c r="R58" i="62"/>
  <c r="AM57" i="62"/>
  <c r="R57" i="62"/>
  <c r="AM56" i="62"/>
  <c r="R56" i="62"/>
  <c r="AM55" i="62"/>
  <c r="R55" i="62"/>
  <c r="AM54" i="62"/>
  <c r="R54" i="62"/>
  <c r="AM53" i="62"/>
  <c r="R53" i="62"/>
  <c r="AM52" i="62"/>
  <c r="R52" i="62"/>
  <c r="AM51" i="62"/>
  <c r="R51" i="62"/>
  <c r="AM50" i="62"/>
  <c r="R50" i="62"/>
  <c r="AM49" i="62"/>
  <c r="R49" i="62"/>
  <c r="AM48" i="62"/>
  <c r="R48" i="62"/>
  <c r="AM47" i="62"/>
  <c r="R47" i="62"/>
  <c r="AM46" i="62"/>
  <c r="R46" i="62"/>
  <c r="AM45" i="62"/>
  <c r="R45" i="62"/>
  <c r="AM44" i="62"/>
  <c r="R44" i="62"/>
  <c r="AM43" i="62"/>
  <c r="R43" i="62"/>
  <c r="AM42" i="62"/>
  <c r="R42" i="62"/>
  <c r="AM41" i="62"/>
  <c r="R41" i="62"/>
  <c r="AM40" i="62"/>
  <c r="R40" i="62"/>
  <c r="AM39" i="62"/>
  <c r="R39" i="62"/>
  <c r="AM38" i="62"/>
  <c r="R38" i="62"/>
  <c r="AM37" i="62"/>
  <c r="R37" i="62"/>
  <c r="AM36" i="62"/>
  <c r="R36" i="62"/>
  <c r="AM35" i="62"/>
  <c r="R35" i="62"/>
  <c r="AM34" i="62"/>
  <c r="R34" i="62"/>
  <c r="AM33" i="62"/>
  <c r="R33" i="62"/>
  <c r="AM32" i="62"/>
  <c r="R32" i="62"/>
  <c r="AM31" i="62"/>
  <c r="R31" i="62"/>
  <c r="AM30" i="62"/>
  <c r="R30" i="62"/>
  <c r="AM29" i="62"/>
  <c r="R29" i="62"/>
  <c r="AM28" i="62"/>
  <c r="R28" i="62"/>
  <c r="AM27" i="62"/>
  <c r="AM26" i="62"/>
  <c r="AE63" i="12"/>
  <c r="AD43" i="79" s="1"/>
  <c r="X63" i="12"/>
  <c r="V70" i="12" s="1"/>
  <c r="Q63" i="12"/>
  <c r="J53" i="76"/>
  <c r="J51" i="55"/>
  <c r="AE47" i="55"/>
  <c r="AR202" i="114"/>
  <c r="W202" i="114"/>
  <c r="B202" i="114"/>
  <c r="B201" i="114"/>
  <c r="B200" i="114"/>
  <c r="B33" i="3"/>
  <c r="B32" i="3"/>
  <c r="B31" i="3"/>
  <c r="A46" i="110" s="1"/>
  <c r="B30" i="3"/>
  <c r="B29" i="3"/>
  <c r="A14" i="110" s="1"/>
  <c r="V52" i="78"/>
  <c r="N67" i="79"/>
  <c r="N66" i="79"/>
  <c r="N61" i="79"/>
  <c r="W37" i="79"/>
  <c r="AD36" i="79"/>
  <c r="W36" i="79"/>
  <c r="AD35" i="79"/>
  <c r="W35" i="79"/>
  <c r="P35" i="79"/>
  <c r="W32" i="79"/>
  <c r="W31" i="79"/>
  <c r="W30" i="79"/>
  <c r="P30" i="79"/>
  <c r="W27" i="79"/>
  <c r="W26" i="79"/>
  <c r="AD25" i="79"/>
  <c r="W25" i="79"/>
  <c r="P25" i="79"/>
  <c r="K21" i="79"/>
  <c r="AD35" i="78"/>
  <c r="AD34" i="78"/>
  <c r="W36" i="78"/>
  <c r="W35" i="78"/>
  <c r="W34" i="78"/>
  <c r="P34" i="78"/>
  <c r="W31" i="78"/>
  <c r="W30" i="78"/>
  <c r="W29" i="78"/>
  <c r="W26" i="78"/>
  <c r="W25" i="78"/>
  <c r="W24" i="78"/>
  <c r="K20" i="78"/>
  <c r="P29" i="78"/>
  <c r="P24" i="78"/>
  <c r="A163" i="110"/>
  <c r="A147" i="110"/>
  <c r="A131" i="110"/>
  <c r="A115" i="110"/>
  <c r="A99" i="110"/>
  <c r="A83" i="110"/>
  <c r="A78" i="110"/>
  <c r="A62" i="110"/>
  <c r="N36" i="66"/>
  <c r="T36" i="66"/>
  <c r="AI36" i="66"/>
  <c r="AK36" i="66"/>
  <c r="M57" i="110"/>
  <c r="AO36" i="66"/>
  <c r="O57" i="110"/>
  <c r="AU36" i="66"/>
  <c r="J57" i="110" s="1"/>
  <c r="AV36" i="66"/>
  <c r="N57" i="110" s="1"/>
  <c r="N38" i="66"/>
  <c r="T38" i="66"/>
  <c r="AI38" i="66"/>
  <c r="AK38" i="66"/>
  <c r="M58" i="110" s="1"/>
  <c r="AN58" i="110" s="1"/>
  <c r="AO38" i="66"/>
  <c r="O58" i="110" s="1"/>
  <c r="AL58" i="110" s="1"/>
  <c r="AU38" i="66"/>
  <c r="J58" i="110"/>
  <c r="AV38" i="66"/>
  <c r="N58" i="110"/>
  <c r="N40" i="66"/>
  <c r="T40" i="66"/>
  <c r="AI40" i="66"/>
  <c r="AK40" i="66"/>
  <c r="M59" i="110" s="1"/>
  <c r="AO40" i="66"/>
  <c r="O59" i="110"/>
  <c r="AU40" i="66"/>
  <c r="J59" i="110"/>
  <c r="AV40" i="66"/>
  <c r="N59" i="110" s="1"/>
  <c r="N42" i="66"/>
  <c r="T42" i="66"/>
  <c r="AI42" i="66"/>
  <c r="AK42" i="66"/>
  <c r="M60" i="110"/>
  <c r="AO42" i="66"/>
  <c r="O60" i="110" s="1"/>
  <c r="W60" i="110"/>
  <c r="E60" i="110" s="1"/>
  <c r="AU42" i="66"/>
  <c r="J60" i="110" s="1"/>
  <c r="AN60" i="110" s="1"/>
  <c r="AV42" i="66"/>
  <c r="N60" i="110" s="1"/>
  <c r="N44" i="66"/>
  <c r="T44" i="66"/>
  <c r="AI44" i="66"/>
  <c r="AK44" i="66"/>
  <c r="M61" i="110" s="1"/>
  <c r="AN61" i="110" s="1"/>
  <c r="AO44" i="66"/>
  <c r="O61" i="110" s="1"/>
  <c r="AJ61" i="110" s="1"/>
  <c r="AU44" i="66"/>
  <c r="J61" i="110"/>
  <c r="AV44" i="66"/>
  <c r="N61" i="110"/>
  <c r="A48" i="110"/>
  <c r="G48" i="110"/>
  <c r="H48" i="110"/>
  <c r="I48" i="110"/>
  <c r="L48" i="110"/>
  <c r="U48" i="110"/>
  <c r="W48" i="110"/>
  <c r="E48" i="110" s="1"/>
  <c r="Y48" i="110"/>
  <c r="A49" i="110"/>
  <c r="G49" i="110"/>
  <c r="H49" i="110"/>
  <c r="I49" i="110"/>
  <c r="L49" i="110"/>
  <c r="U49" i="110"/>
  <c r="W49" i="110"/>
  <c r="E49" i="110" s="1"/>
  <c r="Y49" i="110"/>
  <c r="A50" i="110"/>
  <c r="G50" i="110"/>
  <c r="H50" i="110"/>
  <c r="I50" i="110"/>
  <c r="L50" i="110"/>
  <c r="U50" i="110"/>
  <c r="W50" i="110"/>
  <c r="Y50" i="110"/>
  <c r="A51" i="110"/>
  <c r="G51" i="110"/>
  <c r="H51" i="110"/>
  <c r="I51" i="110"/>
  <c r="L51" i="110"/>
  <c r="U51" i="110"/>
  <c r="W51" i="110"/>
  <c r="E51" i="110"/>
  <c r="Y51" i="110"/>
  <c r="A52" i="110"/>
  <c r="G52" i="110"/>
  <c r="H52" i="110"/>
  <c r="I52" i="110"/>
  <c r="L52" i="110"/>
  <c r="U52" i="110"/>
  <c r="W52" i="110"/>
  <c r="Y52" i="110"/>
  <c r="A53" i="110"/>
  <c r="G53" i="110"/>
  <c r="H53" i="110"/>
  <c r="I53" i="110"/>
  <c r="L53" i="110"/>
  <c r="U53" i="110"/>
  <c r="W53" i="110"/>
  <c r="Y53" i="110"/>
  <c r="A54" i="110"/>
  <c r="G54" i="110"/>
  <c r="H54" i="110"/>
  <c r="I54" i="110"/>
  <c r="L54" i="110"/>
  <c r="U54" i="110"/>
  <c r="W54" i="110"/>
  <c r="K54" i="110" s="1"/>
  <c r="Y54" i="110"/>
  <c r="A55" i="110"/>
  <c r="G55" i="110"/>
  <c r="H55" i="110"/>
  <c r="I55" i="110"/>
  <c r="L55" i="110"/>
  <c r="U55" i="110"/>
  <c r="W55" i="110"/>
  <c r="Y55" i="110"/>
  <c r="A56" i="110"/>
  <c r="G56" i="110"/>
  <c r="H56" i="110"/>
  <c r="I56" i="110"/>
  <c r="L56" i="110"/>
  <c r="U56" i="110"/>
  <c r="W56" i="110"/>
  <c r="K56" i="110"/>
  <c r="Y56" i="110"/>
  <c r="A57" i="110"/>
  <c r="G57" i="110"/>
  <c r="H57" i="110"/>
  <c r="I57" i="110"/>
  <c r="L57" i="110"/>
  <c r="U57" i="110"/>
  <c r="W57" i="110"/>
  <c r="Y57" i="110"/>
  <c r="A58" i="110"/>
  <c r="G58" i="110"/>
  <c r="H58" i="110"/>
  <c r="I58" i="110"/>
  <c r="L58" i="110"/>
  <c r="U58" i="110"/>
  <c r="W58" i="110"/>
  <c r="Y58" i="110"/>
  <c r="A59" i="110"/>
  <c r="G59" i="110"/>
  <c r="H59" i="110"/>
  <c r="I59" i="110"/>
  <c r="L59" i="110"/>
  <c r="U59" i="110"/>
  <c r="W59" i="110"/>
  <c r="K59" i="110" s="1"/>
  <c r="Y59" i="110"/>
  <c r="A60" i="110"/>
  <c r="G60" i="110"/>
  <c r="H60" i="110"/>
  <c r="I60" i="110"/>
  <c r="L60" i="110"/>
  <c r="U60" i="110"/>
  <c r="Y60" i="110"/>
  <c r="A61" i="110"/>
  <c r="G61" i="110"/>
  <c r="H61" i="110"/>
  <c r="I61" i="110"/>
  <c r="L61" i="110"/>
  <c r="U61" i="110"/>
  <c r="W61" i="110"/>
  <c r="Y61" i="110"/>
  <c r="Y47" i="110"/>
  <c r="W47" i="110"/>
  <c r="U47" i="110"/>
  <c r="L47" i="110"/>
  <c r="I47" i="110"/>
  <c r="H47" i="110"/>
  <c r="G47" i="110"/>
  <c r="A32" i="110"/>
  <c r="G32" i="110"/>
  <c r="H32" i="110"/>
  <c r="I32" i="110"/>
  <c r="L32" i="110"/>
  <c r="A33" i="110"/>
  <c r="G33" i="110"/>
  <c r="H33" i="110"/>
  <c r="I33" i="110"/>
  <c r="L33" i="110"/>
  <c r="A34" i="110"/>
  <c r="G34" i="110"/>
  <c r="H34" i="110"/>
  <c r="I34" i="110"/>
  <c r="L34" i="110"/>
  <c r="A35" i="110"/>
  <c r="G35" i="110"/>
  <c r="H35" i="110"/>
  <c r="I35" i="110"/>
  <c r="L35" i="110"/>
  <c r="A36" i="110"/>
  <c r="G36" i="110"/>
  <c r="H36" i="110"/>
  <c r="I36" i="110"/>
  <c r="L36" i="110"/>
  <c r="A37" i="110"/>
  <c r="G37" i="110"/>
  <c r="H37" i="110"/>
  <c r="I37" i="110"/>
  <c r="L37" i="110"/>
  <c r="A38" i="110"/>
  <c r="G38" i="110"/>
  <c r="H38" i="110"/>
  <c r="I38" i="110"/>
  <c r="L38" i="110"/>
  <c r="A39" i="110"/>
  <c r="G39" i="110"/>
  <c r="H39" i="110"/>
  <c r="I39" i="110"/>
  <c r="L39" i="110"/>
  <c r="A40" i="110"/>
  <c r="G40" i="110"/>
  <c r="H40" i="110"/>
  <c r="I40" i="110"/>
  <c r="L40" i="110"/>
  <c r="A41" i="110"/>
  <c r="G41" i="110"/>
  <c r="H41" i="110"/>
  <c r="I41" i="110"/>
  <c r="L41" i="110"/>
  <c r="A42" i="110"/>
  <c r="G42" i="110"/>
  <c r="H42" i="110"/>
  <c r="I42" i="110"/>
  <c r="L42" i="110"/>
  <c r="A43" i="110"/>
  <c r="G43" i="110"/>
  <c r="H43" i="110"/>
  <c r="I43" i="110"/>
  <c r="L43" i="110"/>
  <c r="A44" i="110"/>
  <c r="G44" i="110"/>
  <c r="H44" i="110"/>
  <c r="I44" i="110"/>
  <c r="L44" i="110"/>
  <c r="A45" i="110"/>
  <c r="G45" i="110"/>
  <c r="H45" i="110"/>
  <c r="I45" i="110"/>
  <c r="L45" i="110"/>
  <c r="A16" i="110"/>
  <c r="G16" i="110"/>
  <c r="H16" i="110"/>
  <c r="I16" i="110"/>
  <c r="L16" i="110"/>
  <c r="A17" i="110"/>
  <c r="G17" i="110"/>
  <c r="H17" i="110"/>
  <c r="I17" i="110"/>
  <c r="L17" i="110"/>
  <c r="A18" i="110"/>
  <c r="G18" i="110"/>
  <c r="H18" i="110"/>
  <c r="I18" i="110"/>
  <c r="L18" i="110"/>
  <c r="A19" i="110"/>
  <c r="G19" i="110"/>
  <c r="H19" i="110"/>
  <c r="I19" i="110"/>
  <c r="L19" i="110"/>
  <c r="A20" i="110"/>
  <c r="G20" i="110"/>
  <c r="H20" i="110"/>
  <c r="I20" i="110"/>
  <c r="L20" i="110"/>
  <c r="A21" i="110"/>
  <c r="G21" i="110"/>
  <c r="H21" i="110"/>
  <c r="I21" i="110"/>
  <c r="L21" i="110"/>
  <c r="A22" i="110"/>
  <c r="G22" i="110"/>
  <c r="H22" i="110"/>
  <c r="I22" i="110"/>
  <c r="L22" i="110"/>
  <c r="A23" i="110"/>
  <c r="G23" i="110"/>
  <c r="H23" i="110"/>
  <c r="I23" i="110"/>
  <c r="L23" i="110"/>
  <c r="A24" i="110"/>
  <c r="G24" i="110"/>
  <c r="H24" i="110"/>
  <c r="I24" i="110"/>
  <c r="L24" i="110"/>
  <c r="A25" i="110"/>
  <c r="G25" i="110"/>
  <c r="H25" i="110"/>
  <c r="I25" i="110"/>
  <c r="L25" i="110"/>
  <c r="A26" i="110"/>
  <c r="G26" i="110"/>
  <c r="H26" i="110"/>
  <c r="I26" i="110"/>
  <c r="L26" i="110"/>
  <c r="A27" i="110"/>
  <c r="G27" i="110"/>
  <c r="H27" i="110"/>
  <c r="I27" i="110"/>
  <c r="L27" i="110"/>
  <c r="A28" i="110"/>
  <c r="G28" i="110"/>
  <c r="H28" i="110"/>
  <c r="I28" i="110"/>
  <c r="L28" i="110"/>
  <c r="A29" i="110"/>
  <c r="G29" i="110"/>
  <c r="H29" i="110"/>
  <c r="I29" i="110"/>
  <c r="L29" i="110"/>
  <c r="A8" i="110"/>
  <c r="A47" i="110"/>
  <c r="AL46" i="110"/>
  <c r="AK46" i="110"/>
  <c r="AJ46" i="110"/>
  <c r="A30" i="110"/>
  <c r="A7" i="110"/>
  <c r="E56" i="110"/>
  <c r="A3" i="110"/>
  <c r="AV34" i="64"/>
  <c r="N24" i="110" s="1"/>
  <c r="AU34" i="64"/>
  <c r="J24" i="110" s="1"/>
  <c r="AO34" i="64"/>
  <c r="O24" i="110" s="1"/>
  <c r="AJ24" i="110" s="1"/>
  <c r="AK34" i="64"/>
  <c r="M24" i="110"/>
  <c r="AI34" i="64"/>
  <c r="T34" i="64"/>
  <c r="N34" i="64"/>
  <c r="AV32" i="64"/>
  <c r="N23" i="110"/>
  <c r="AU32" i="64"/>
  <c r="J23" i="110"/>
  <c r="AO32" i="64"/>
  <c r="O23" i="110"/>
  <c r="AK32" i="64"/>
  <c r="M23" i="110" s="1"/>
  <c r="AN23" i="110" s="1"/>
  <c r="AI32" i="64"/>
  <c r="T32" i="64"/>
  <c r="N32" i="64"/>
  <c r="AV30" i="64"/>
  <c r="N22" i="110" s="1"/>
  <c r="AU30" i="64"/>
  <c r="J22" i="110" s="1"/>
  <c r="AO30" i="64"/>
  <c r="O22" i="110" s="1"/>
  <c r="AK22" i="110" s="1"/>
  <c r="AK30" i="64"/>
  <c r="M22" i="110" s="1"/>
  <c r="AI30" i="64"/>
  <c r="T30" i="64"/>
  <c r="N30" i="64"/>
  <c r="AV28" i="64"/>
  <c r="N21" i="110"/>
  <c r="AU28" i="64"/>
  <c r="J21" i="110"/>
  <c r="AO28" i="64"/>
  <c r="O21" i="110"/>
  <c r="AK28" i="64"/>
  <c r="M21" i="110"/>
  <c r="AI28" i="64"/>
  <c r="T28" i="64"/>
  <c r="N28" i="64"/>
  <c r="AV26" i="64"/>
  <c r="N20" i="110" s="1"/>
  <c r="AU26" i="64"/>
  <c r="J20" i="110" s="1"/>
  <c r="AO26" i="64"/>
  <c r="O20" i="110" s="1"/>
  <c r="AK20" i="110" s="1"/>
  <c r="AK26" i="64"/>
  <c r="M20" i="110" s="1"/>
  <c r="AI26" i="64"/>
  <c r="T26" i="64"/>
  <c r="N26" i="64"/>
  <c r="AV24" i="64"/>
  <c r="N19" i="110" s="1"/>
  <c r="AU24" i="64"/>
  <c r="J19" i="110"/>
  <c r="AO24" i="64"/>
  <c r="O19" i="110"/>
  <c r="AK24" i="64"/>
  <c r="M19" i="110"/>
  <c r="AI24" i="64"/>
  <c r="T24" i="64"/>
  <c r="N24" i="64"/>
  <c r="AV22" i="64"/>
  <c r="N18" i="110"/>
  <c r="AU22" i="64"/>
  <c r="J18" i="110" s="1"/>
  <c r="AO22" i="64"/>
  <c r="O18" i="110" s="1"/>
  <c r="AL18" i="110" s="1"/>
  <c r="AK22" i="64"/>
  <c r="M18" i="110" s="1"/>
  <c r="AI22" i="64"/>
  <c r="T22" i="64"/>
  <c r="N22" i="64"/>
  <c r="AV20" i="64"/>
  <c r="AU20" i="64"/>
  <c r="J17" i="110"/>
  <c r="AO20" i="64"/>
  <c r="AK20" i="64"/>
  <c r="M17" i="110"/>
  <c r="AI20" i="64"/>
  <c r="T20" i="64"/>
  <c r="N20" i="64"/>
  <c r="AV18" i="64"/>
  <c r="N16" i="110" s="1"/>
  <c r="AU18" i="64"/>
  <c r="J16" i="110" s="1"/>
  <c r="AO18" i="64"/>
  <c r="O16" i="110"/>
  <c r="AK18" i="64"/>
  <c r="M16" i="110" s="1"/>
  <c r="AJ16" i="110" s="1"/>
  <c r="AI18" i="64"/>
  <c r="T18" i="64"/>
  <c r="N18" i="64"/>
  <c r="AV16" i="64"/>
  <c r="N15" i="110"/>
  <c r="AU16" i="64"/>
  <c r="AO16" i="64"/>
  <c r="O15" i="110" s="1"/>
  <c r="C15" i="110" s="1"/>
  <c r="AK16" i="64"/>
  <c r="AI16" i="64"/>
  <c r="T16" i="64"/>
  <c r="N16" i="64"/>
  <c r="AV34" i="65"/>
  <c r="N40" i="110" s="1"/>
  <c r="AU34" i="65"/>
  <c r="J40" i="110" s="1"/>
  <c r="AO34" i="65"/>
  <c r="O40" i="110" s="1"/>
  <c r="AK34" i="65"/>
  <c r="M40" i="110" s="1"/>
  <c r="AI34" i="65"/>
  <c r="T34" i="65"/>
  <c r="N34" i="65"/>
  <c r="AV32" i="65"/>
  <c r="N39" i="110"/>
  <c r="AU32" i="65"/>
  <c r="J39" i="110"/>
  <c r="AO32" i="65"/>
  <c r="O39" i="110"/>
  <c r="AK32" i="65"/>
  <c r="M39" i="110" s="1"/>
  <c r="AI32" i="65"/>
  <c r="T32" i="65"/>
  <c r="N32" i="65"/>
  <c r="AV30" i="65"/>
  <c r="N38" i="110"/>
  <c r="AU30" i="65"/>
  <c r="J38" i="110"/>
  <c r="AO30" i="65"/>
  <c r="O38" i="110"/>
  <c r="AK30" i="65"/>
  <c r="M38" i="110" s="1"/>
  <c r="AN38" i="110" s="1"/>
  <c r="AI30" i="65"/>
  <c r="T30" i="65"/>
  <c r="N30" i="65"/>
  <c r="AV28" i="65"/>
  <c r="N37" i="110"/>
  <c r="AU28" i="65"/>
  <c r="J37" i="110"/>
  <c r="AO28" i="65"/>
  <c r="O37" i="110"/>
  <c r="AK28" i="65"/>
  <c r="M37" i="110" s="1"/>
  <c r="AN37" i="110" s="1"/>
  <c r="AI28" i="65"/>
  <c r="T28" i="65"/>
  <c r="N28" i="65"/>
  <c r="AV26" i="65"/>
  <c r="N36" i="110" s="1"/>
  <c r="AU26" i="65"/>
  <c r="J36" i="110" s="1"/>
  <c r="AO26" i="65"/>
  <c r="O36" i="110" s="1"/>
  <c r="C36" i="110" s="1"/>
  <c r="AK26" i="65"/>
  <c r="M36" i="110" s="1"/>
  <c r="AI26" i="65"/>
  <c r="T26" i="65"/>
  <c r="N26" i="65"/>
  <c r="AV24" i="65"/>
  <c r="N35" i="110"/>
  <c r="AU24" i="65"/>
  <c r="J35" i="110"/>
  <c r="AO24" i="65"/>
  <c r="O35" i="110" s="1"/>
  <c r="AK24" i="65"/>
  <c r="M35" i="110" s="1"/>
  <c r="AI24" i="65"/>
  <c r="T24" i="65"/>
  <c r="N24" i="65"/>
  <c r="AV22" i="65"/>
  <c r="N34" i="110"/>
  <c r="AU22" i="65"/>
  <c r="J34" i="110"/>
  <c r="AO22" i="65"/>
  <c r="O34" i="110"/>
  <c r="AK22" i="65"/>
  <c r="M34" i="110"/>
  <c r="AI22" i="65"/>
  <c r="T22" i="65"/>
  <c r="N22" i="65"/>
  <c r="AV20" i="65"/>
  <c r="N33" i="110"/>
  <c r="O33" i="110"/>
  <c r="AK33" i="110" s="1"/>
  <c r="AU20" i="65"/>
  <c r="J33" i="110" s="1"/>
  <c r="AO20" i="65"/>
  <c r="AK20" i="65"/>
  <c r="M33" i="110"/>
  <c r="AI20" i="65"/>
  <c r="T20" i="65"/>
  <c r="N20" i="65"/>
  <c r="AV18" i="65"/>
  <c r="N32" i="110"/>
  <c r="AU18" i="65"/>
  <c r="J32" i="110" s="1"/>
  <c r="AO18" i="65"/>
  <c r="O32" i="110" s="1"/>
  <c r="AK18" i="65"/>
  <c r="M32" i="110" s="1"/>
  <c r="AN32" i="110" s="1"/>
  <c r="AI18" i="65"/>
  <c r="T18" i="65"/>
  <c r="N18" i="65"/>
  <c r="AV16" i="65"/>
  <c r="N31" i="110" s="1"/>
  <c r="AU16" i="65"/>
  <c r="J31" i="110"/>
  <c r="AO16" i="65"/>
  <c r="AK16" i="65"/>
  <c r="M31" i="110" s="1"/>
  <c r="AN31" i="110" s="1"/>
  <c r="AI16" i="65"/>
  <c r="T16" i="65"/>
  <c r="N16" i="65"/>
  <c r="AV6" i="66"/>
  <c r="V12" i="66"/>
  <c r="AV34" i="66"/>
  <c r="N56" i="110" s="1"/>
  <c r="AU34" i="66"/>
  <c r="J56" i="110"/>
  <c r="AO34" i="66"/>
  <c r="O56" i="110"/>
  <c r="AK34" i="66"/>
  <c r="M56" i="110"/>
  <c r="AI34" i="66"/>
  <c r="T34" i="66"/>
  <c r="N34" i="66"/>
  <c r="AV32" i="66"/>
  <c r="N55" i="110"/>
  <c r="AU32" i="66"/>
  <c r="J55" i="110"/>
  <c r="AO32" i="66"/>
  <c r="O55" i="110" s="1"/>
  <c r="AK32" i="66"/>
  <c r="M55" i="110" s="1"/>
  <c r="AI32" i="66"/>
  <c r="T32" i="66"/>
  <c r="N32" i="66"/>
  <c r="AV30" i="66"/>
  <c r="N54" i="110" s="1"/>
  <c r="AU30" i="66"/>
  <c r="J54" i="110" s="1"/>
  <c r="AO30" i="66"/>
  <c r="O54" i="110"/>
  <c r="C54" i="110" s="1"/>
  <c r="B54" i="110" s="1"/>
  <c r="AK30" i="66"/>
  <c r="M54" i="110" s="1"/>
  <c r="AI30" i="66"/>
  <c r="T30" i="66"/>
  <c r="N30" i="66"/>
  <c r="AV28" i="66"/>
  <c r="N53" i="110" s="1"/>
  <c r="AU28" i="66"/>
  <c r="J53" i="110" s="1"/>
  <c r="AN53" i="110" s="1"/>
  <c r="AO28" i="66"/>
  <c r="O53" i="110"/>
  <c r="AK28" i="66"/>
  <c r="M53" i="110"/>
  <c r="AI28" i="66"/>
  <c r="T28" i="66"/>
  <c r="N28" i="66"/>
  <c r="AV26" i="66"/>
  <c r="N52" i="110" s="1"/>
  <c r="AU26" i="66"/>
  <c r="J52" i="110"/>
  <c r="AO26" i="66"/>
  <c r="O52" i="110"/>
  <c r="AK26" i="66"/>
  <c r="M52" i="110" s="1"/>
  <c r="AN52" i="110" s="1"/>
  <c r="AI26" i="66"/>
  <c r="T26" i="66"/>
  <c r="N26" i="66"/>
  <c r="AV24" i="66"/>
  <c r="N51" i="110"/>
  <c r="AU24" i="66"/>
  <c r="J51" i="110" s="1"/>
  <c r="AN51" i="110" s="1"/>
  <c r="AO24" i="66"/>
  <c r="O51" i="110" s="1"/>
  <c r="AK51" i="110" s="1"/>
  <c r="AK24" i="66"/>
  <c r="M51" i="110"/>
  <c r="AI24" i="66"/>
  <c r="T24" i="66"/>
  <c r="N24" i="66"/>
  <c r="AV22" i="66"/>
  <c r="N50" i="110"/>
  <c r="AU22" i="66"/>
  <c r="J50" i="110" s="1"/>
  <c r="AO22" i="66"/>
  <c r="O50" i="110" s="1"/>
  <c r="AK22" i="66"/>
  <c r="M50" i="110" s="1"/>
  <c r="AJ50" i="110" s="1"/>
  <c r="AI22" i="66"/>
  <c r="T22" i="66"/>
  <c r="N22" i="66"/>
  <c r="AV20" i="66"/>
  <c r="N49" i="110"/>
  <c r="AU20" i="66"/>
  <c r="J49" i="110" s="1"/>
  <c r="AN49" i="110" s="1"/>
  <c r="AO20" i="66"/>
  <c r="O49" i="110" s="1"/>
  <c r="AK20" i="66"/>
  <c r="M49" i="110"/>
  <c r="AI20" i="66"/>
  <c r="T20" i="66"/>
  <c r="N20" i="66"/>
  <c r="AV18" i="66"/>
  <c r="N48" i="110" s="1"/>
  <c r="AU18" i="66"/>
  <c r="J48" i="110" s="1"/>
  <c r="AO18" i="66"/>
  <c r="O48" i="110"/>
  <c r="AK18" i="66"/>
  <c r="M48" i="110"/>
  <c r="AI18" i="66"/>
  <c r="T18" i="66"/>
  <c r="N18" i="66"/>
  <c r="AV16" i="66"/>
  <c r="N47" i="110" s="1"/>
  <c r="AU16" i="66"/>
  <c r="J47" i="110"/>
  <c r="AO16" i="66"/>
  <c r="O47" i="110"/>
  <c r="C47" i="110"/>
  <c r="B47" i="110" s="1"/>
  <c r="AK16" i="66"/>
  <c r="M47" i="110" s="1"/>
  <c r="AJ47" i="110" s="1"/>
  <c r="AI16" i="66"/>
  <c r="T16" i="66"/>
  <c r="N16" i="66"/>
  <c r="AU46" i="67"/>
  <c r="AU200" i="67" s="1"/>
  <c r="V12" i="67" s="1"/>
  <c r="I32" i="3" s="1"/>
  <c r="N32" i="3" s="1"/>
  <c r="AO46" i="67"/>
  <c r="R12" i="67" s="1"/>
  <c r="J32" i="3" s="1"/>
  <c r="AK46" i="67"/>
  <c r="AI46" i="67"/>
  <c r="T46" i="67"/>
  <c r="N46" i="67"/>
  <c r="U44" i="81"/>
  <c r="M200" i="8"/>
  <c r="M200" i="115" s="1"/>
  <c r="M200" i="114"/>
  <c r="BY2" i="110"/>
  <c r="AV6" i="65"/>
  <c r="AV6" i="64"/>
  <c r="AV6" i="62"/>
  <c r="AV6" i="12"/>
  <c r="AV6" i="75"/>
  <c r="AV6" i="74"/>
  <c r="AV6" i="73"/>
  <c r="AV6" i="72"/>
  <c r="AV6" i="71"/>
  <c r="AV6" i="70"/>
  <c r="AV6" i="13"/>
  <c r="N34" i="3"/>
  <c r="AS2" i="110"/>
  <c r="EG2" i="110"/>
  <c r="EF2" i="110"/>
  <c r="EE2" i="110"/>
  <c r="ED2" i="110"/>
  <c r="EC2" i="110"/>
  <c r="AO23" i="104"/>
  <c r="U28" i="81"/>
  <c r="U27" i="81"/>
  <c r="L158" i="110"/>
  <c r="L159" i="110"/>
  <c r="L160" i="110"/>
  <c r="AI160" i="110" s="1"/>
  <c r="L161" i="110"/>
  <c r="L162" i="110"/>
  <c r="AI162" i="110" s="1"/>
  <c r="AG162" i="110"/>
  <c r="L142" i="110"/>
  <c r="L143" i="110"/>
  <c r="L144" i="110"/>
  <c r="L145" i="110"/>
  <c r="AI145" i="110" s="1"/>
  <c r="L146" i="110"/>
  <c r="L126" i="110"/>
  <c r="AI126" i="110" s="1"/>
  <c r="AG126" i="110"/>
  <c r="L127" i="110"/>
  <c r="L128" i="110"/>
  <c r="L129" i="110"/>
  <c r="AI129" i="110" s="1"/>
  <c r="L130" i="110"/>
  <c r="L110" i="110"/>
  <c r="L111" i="110"/>
  <c r="L112" i="110"/>
  <c r="L113" i="110"/>
  <c r="L114" i="110"/>
  <c r="L94" i="110"/>
  <c r="L95" i="110"/>
  <c r="L96" i="110"/>
  <c r="O96" i="110"/>
  <c r="L97" i="110"/>
  <c r="AI97" i="110" s="1"/>
  <c r="L98" i="110"/>
  <c r="L73" i="110"/>
  <c r="L74" i="110"/>
  <c r="L75" i="110"/>
  <c r="L76" i="110"/>
  <c r="L77" i="110"/>
  <c r="AN32" i="81"/>
  <c r="AI32" i="81"/>
  <c r="AI31" i="81"/>
  <c r="AI30" i="81"/>
  <c r="AI29" i="81"/>
  <c r="G31" i="81"/>
  <c r="G30" i="81"/>
  <c r="L32" i="81"/>
  <c r="G32" i="81"/>
  <c r="G29" i="81"/>
  <c r="U43" i="81"/>
  <c r="A4" i="110"/>
  <c r="BH2" i="110"/>
  <c r="W7" i="109"/>
  <c r="AR202" i="82"/>
  <c r="AR202" i="81"/>
  <c r="AR202" i="80"/>
  <c r="AR202" i="79"/>
  <c r="AR202" i="78"/>
  <c r="AR202" i="77"/>
  <c r="AR202" i="76"/>
  <c r="AR202" i="14"/>
  <c r="AR202" i="75"/>
  <c r="AR202" i="74"/>
  <c r="AR202" i="73"/>
  <c r="AR202" i="72"/>
  <c r="AR202" i="71"/>
  <c r="AR202" i="70"/>
  <c r="AR202" i="13"/>
  <c r="AR202" i="68"/>
  <c r="AR202" i="67"/>
  <c r="AR202" i="66"/>
  <c r="AR202" i="65"/>
  <c r="AR202" i="64"/>
  <c r="AR202" i="62"/>
  <c r="AR202" i="12"/>
  <c r="AR202" i="58"/>
  <c r="AR202" i="57"/>
  <c r="AR202" i="56"/>
  <c r="AR202" i="55"/>
  <c r="AR202" i="9"/>
  <c r="AR202" i="52"/>
  <c r="AR200" i="52"/>
  <c r="AR202" i="51"/>
  <c r="AR202" i="50"/>
  <c r="AR201" i="50"/>
  <c r="AR202" i="49"/>
  <c r="AR200" i="49"/>
  <c r="AR202" i="48"/>
  <c r="AR201" i="8"/>
  <c r="AR201" i="115" s="1"/>
  <c r="AR200" i="8"/>
  <c r="AR200" i="115" s="1"/>
  <c r="AR200" i="80"/>
  <c r="AR200" i="48"/>
  <c r="E158" i="110"/>
  <c r="E159" i="110"/>
  <c r="E160" i="110"/>
  <c r="E161" i="110"/>
  <c r="E162" i="110"/>
  <c r="E142" i="110"/>
  <c r="E143" i="110"/>
  <c r="E144" i="110"/>
  <c r="E145" i="110"/>
  <c r="E146" i="110"/>
  <c r="E126" i="110"/>
  <c r="E127" i="110"/>
  <c r="E128" i="110"/>
  <c r="E129" i="110"/>
  <c r="E130" i="110"/>
  <c r="E110" i="110"/>
  <c r="E111" i="110"/>
  <c r="E112" i="110"/>
  <c r="E113" i="110"/>
  <c r="E114" i="110"/>
  <c r="E94" i="110"/>
  <c r="E95" i="110"/>
  <c r="E96" i="110"/>
  <c r="E97" i="110"/>
  <c r="E98" i="110"/>
  <c r="E73" i="110"/>
  <c r="E74" i="110"/>
  <c r="E75" i="110"/>
  <c r="E76" i="110"/>
  <c r="E77" i="110"/>
  <c r="L35" i="81"/>
  <c r="V12" i="74"/>
  <c r="I41" i="3" s="1"/>
  <c r="N41" i="3" s="1"/>
  <c r="C56" i="81"/>
  <c r="CJ2" i="110"/>
  <c r="CI2" i="110"/>
  <c r="P158" i="110"/>
  <c r="Q158" i="110"/>
  <c r="P159" i="110"/>
  <c r="Q159" i="110"/>
  <c r="P160" i="110"/>
  <c r="Q160" i="110"/>
  <c r="P161" i="110"/>
  <c r="Q161" i="110"/>
  <c r="P162" i="110"/>
  <c r="Q162" i="110"/>
  <c r="P142" i="110"/>
  <c r="Q142" i="110"/>
  <c r="P143" i="110"/>
  <c r="Q143" i="110"/>
  <c r="P144" i="110"/>
  <c r="Q144" i="110"/>
  <c r="P145" i="110"/>
  <c r="Q145" i="110"/>
  <c r="P146" i="110"/>
  <c r="Q146" i="110"/>
  <c r="P126" i="110"/>
  <c r="Q126" i="110"/>
  <c r="P127" i="110"/>
  <c r="Q127" i="110"/>
  <c r="P128" i="110"/>
  <c r="Q128" i="110"/>
  <c r="P129" i="110"/>
  <c r="Q129" i="110"/>
  <c r="P130" i="110"/>
  <c r="Q130" i="110"/>
  <c r="P110" i="110"/>
  <c r="Q110" i="110"/>
  <c r="P111" i="110"/>
  <c r="Q111" i="110"/>
  <c r="P112" i="110"/>
  <c r="Q112" i="110"/>
  <c r="P113" i="110"/>
  <c r="Q113" i="110"/>
  <c r="P114" i="110"/>
  <c r="Q114" i="110"/>
  <c r="P94" i="110"/>
  <c r="Q94" i="110"/>
  <c r="P95" i="110"/>
  <c r="Q95" i="110"/>
  <c r="P96" i="110"/>
  <c r="Q96" i="110"/>
  <c r="P97" i="110"/>
  <c r="Q97" i="110"/>
  <c r="P98" i="110"/>
  <c r="Q98" i="110"/>
  <c r="M158" i="110"/>
  <c r="N158" i="110"/>
  <c r="M159" i="110"/>
  <c r="N159" i="110"/>
  <c r="M160" i="110"/>
  <c r="N160" i="110"/>
  <c r="M161" i="110"/>
  <c r="N161" i="110"/>
  <c r="M162" i="110"/>
  <c r="N162" i="110"/>
  <c r="N142" i="110"/>
  <c r="N143" i="110"/>
  <c r="N144" i="110"/>
  <c r="N145" i="110"/>
  <c r="N146" i="110"/>
  <c r="M142" i="110"/>
  <c r="M143" i="110"/>
  <c r="M144" i="110"/>
  <c r="M145" i="110"/>
  <c r="M146" i="110"/>
  <c r="M126" i="110"/>
  <c r="O126" i="110"/>
  <c r="N126" i="110"/>
  <c r="M127" i="110"/>
  <c r="N127" i="110"/>
  <c r="M128" i="110"/>
  <c r="O128" i="110"/>
  <c r="N128" i="110"/>
  <c r="M129" i="110"/>
  <c r="N129" i="110"/>
  <c r="M130" i="110"/>
  <c r="N130" i="110"/>
  <c r="N110" i="110"/>
  <c r="N111" i="110"/>
  <c r="N112" i="110"/>
  <c r="O112" i="110"/>
  <c r="N113" i="110"/>
  <c r="N114" i="110"/>
  <c r="M110" i="110"/>
  <c r="M111" i="110"/>
  <c r="O111" i="110"/>
  <c r="AL111" i="110" s="1"/>
  <c r="M112" i="110"/>
  <c r="M113" i="110"/>
  <c r="M114" i="110"/>
  <c r="N94" i="110"/>
  <c r="N95" i="110"/>
  <c r="N96" i="110"/>
  <c r="N97" i="110"/>
  <c r="N98" i="110"/>
  <c r="M94" i="110"/>
  <c r="M95" i="110"/>
  <c r="M96" i="110"/>
  <c r="M97" i="110"/>
  <c r="M98" i="110"/>
  <c r="M73" i="110"/>
  <c r="M74" i="110"/>
  <c r="M75" i="110"/>
  <c r="M76" i="110"/>
  <c r="M77" i="110"/>
  <c r="N73" i="110"/>
  <c r="N74" i="110"/>
  <c r="N75" i="110"/>
  <c r="N76" i="110"/>
  <c r="N77" i="110"/>
  <c r="P73" i="110"/>
  <c r="P74" i="110"/>
  <c r="P75" i="110"/>
  <c r="P76" i="110"/>
  <c r="P77" i="110"/>
  <c r="Q73" i="110"/>
  <c r="Q74" i="110"/>
  <c r="Q75" i="110"/>
  <c r="Q76" i="110"/>
  <c r="Q77" i="110"/>
  <c r="A149" i="110"/>
  <c r="H149" i="110"/>
  <c r="I149" i="110"/>
  <c r="J149" i="110"/>
  <c r="U149" i="110"/>
  <c r="W149" i="110"/>
  <c r="X149" i="110"/>
  <c r="Y149" i="110"/>
  <c r="AF149" i="110"/>
  <c r="AO149" i="110"/>
  <c r="AH149" i="110" s="1"/>
  <c r="AG149" i="110"/>
  <c r="A150" i="110"/>
  <c r="H150" i="110"/>
  <c r="I150" i="110"/>
  <c r="J150" i="110"/>
  <c r="C150" i="110"/>
  <c r="B150" i="110" s="1"/>
  <c r="U150" i="110"/>
  <c r="W150" i="110"/>
  <c r="X150" i="110"/>
  <c r="Y150" i="110"/>
  <c r="AF150" i="110"/>
  <c r="AG150" i="110"/>
  <c r="AO150" i="110"/>
  <c r="AH150" i="110"/>
  <c r="A151" i="110"/>
  <c r="H151" i="110"/>
  <c r="I151" i="110"/>
  <c r="J151" i="110"/>
  <c r="C151" i="110"/>
  <c r="B151" i="110"/>
  <c r="U151" i="110"/>
  <c r="W151" i="110"/>
  <c r="X151" i="110"/>
  <c r="Y151" i="110"/>
  <c r="AF151" i="110"/>
  <c r="AH151" i="110" s="1"/>
  <c r="AG151" i="110"/>
  <c r="AO151" i="110"/>
  <c r="A152" i="110"/>
  <c r="H152" i="110"/>
  <c r="I152" i="110"/>
  <c r="J152" i="110"/>
  <c r="C152" i="110" s="1"/>
  <c r="B152" i="110" s="1"/>
  <c r="U152" i="110"/>
  <c r="W152" i="110"/>
  <c r="X152" i="110"/>
  <c r="Y152" i="110"/>
  <c r="AF152" i="110"/>
  <c r="AO152" i="110"/>
  <c r="AH152" i="110"/>
  <c r="AG152" i="110"/>
  <c r="A153" i="110"/>
  <c r="H153" i="110"/>
  <c r="I153" i="110"/>
  <c r="J153" i="110"/>
  <c r="C153" i="110" s="1"/>
  <c r="B153" i="110" s="1"/>
  <c r="U153" i="110"/>
  <c r="W153" i="110"/>
  <c r="X153" i="110"/>
  <c r="Y153" i="110"/>
  <c r="AF153" i="110"/>
  <c r="AG153" i="110"/>
  <c r="AO153" i="110"/>
  <c r="A154" i="110"/>
  <c r="H154" i="110"/>
  <c r="I154" i="110"/>
  <c r="J154" i="110"/>
  <c r="U154" i="110"/>
  <c r="W154" i="110"/>
  <c r="X154" i="110"/>
  <c r="Y154" i="110"/>
  <c r="AF154" i="110"/>
  <c r="AG154" i="110"/>
  <c r="AO154" i="110"/>
  <c r="AH154" i="110"/>
  <c r="A155" i="110"/>
  <c r="H155" i="110"/>
  <c r="I155" i="110"/>
  <c r="J155" i="110"/>
  <c r="C155" i="110"/>
  <c r="B155" i="110" s="1"/>
  <c r="U155" i="110"/>
  <c r="W155" i="110"/>
  <c r="X155" i="110"/>
  <c r="Y155" i="110"/>
  <c r="AF155" i="110"/>
  <c r="AG155" i="110"/>
  <c r="AO155" i="110"/>
  <c r="A156" i="110"/>
  <c r="H156" i="110"/>
  <c r="I156" i="110"/>
  <c r="J156" i="110"/>
  <c r="C156" i="110" s="1"/>
  <c r="B156" i="110" s="1"/>
  <c r="U156" i="110"/>
  <c r="W156" i="110"/>
  <c r="X156" i="110"/>
  <c r="Y156" i="110"/>
  <c r="AF156" i="110"/>
  <c r="AH156" i="110" s="1"/>
  <c r="AO156" i="110"/>
  <c r="AG156" i="110"/>
  <c r="A157" i="110"/>
  <c r="H157" i="110"/>
  <c r="I157" i="110"/>
  <c r="J157" i="110"/>
  <c r="U157" i="110"/>
  <c r="W157" i="110"/>
  <c r="X157" i="110"/>
  <c r="Y157" i="110"/>
  <c r="AF157" i="110"/>
  <c r="AH157" i="110" s="1"/>
  <c r="AO157" i="110"/>
  <c r="AG157" i="110"/>
  <c r="A158" i="110"/>
  <c r="H158" i="110"/>
  <c r="I158" i="110"/>
  <c r="J158" i="110"/>
  <c r="C158" i="110"/>
  <c r="B158" i="110" s="1"/>
  <c r="O158" i="110"/>
  <c r="R158" i="110"/>
  <c r="U158" i="110"/>
  <c r="W158" i="110"/>
  <c r="X158" i="110"/>
  <c r="Y158" i="110"/>
  <c r="AE158" i="110"/>
  <c r="AF158" i="110"/>
  <c r="AG158" i="110"/>
  <c r="AM158" i="110"/>
  <c r="AN158" i="110"/>
  <c r="AO158" i="110"/>
  <c r="A159" i="110"/>
  <c r="H159" i="110"/>
  <c r="I159" i="110"/>
  <c r="J159" i="110"/>
  <c r="C159" i="110" s="1"/>
  <c r="B159" i="110" s="1"/>
  <c r="O159" i="110"/>
  <c r="R159" i="110"/>
  <c r="U159" i="110"/>
  <c r="W159" i="110"/>
  <c r="X159" i="110"/>
  <c r="Y159" i="110"/>
  <c r="AE159" i="110"/>
  <c r="AF159" i="110"/>
  <c r="AG159" i="110"/>
  <c r="AM159" i="110"/>
  <c r="AN159" i="110"/>
  <c r="AO159" i="110"/>
  <c r="A160" i="110"/>
  <c r="H160" i="110"/>
  <c r="I160" i="110"/>
  <c r="J160" i="110"/>
  <c r="C160" i="110"/>
  <c r="B160" i="110" s="1"/>
  <c r="O160" i="110"/>
  <c r="R160" i="110"/>
  <c r="U160" i="110"/>
  <c r="W160" i="110"/>
  <c r="X160" i="110"/>
  <c r="Y160" i="110"/>
  <c r="AE160" i="110"/>
  <c r="AF160" i="110"/>
  <c r="AG160" i="110"/>
  <c r="AM160" i="110"/>
  <c r="AN160" i="110"/>
  <c r="AO160" i="110"/>
  <c r="A161" i="110"/>
  <c r="H161" i="110"/>
  <c r="I161" i="110"/>
  <c r="J161" i="110"/>
  <c r="C161" i="110" s="1"/>
  <c r="B161" i="110" s="1"/>
  <c r="O161" i="110"/>
  <c r="R161" i="110"/>
  <c r="U161" i="110"/>
  <c r="W161" i="110"/>
  <c r="X161" i="110"/>
  <c r="Y161" i="110"/>
  <c r="AE161" i="110"/>
  <c r="AF161" i="110"/>
  <c r="AG161" i="110"/>
  <c r="AM161" i="110"/>
  <c r="AN161" i="110"/>
  <c r="AO161" i="110"/>
  <c r="A162" i="110"/>
  <c r="H162" i="110"/>
  <c r="I162" i="110"/>
  <c r="J162" i="110"/>
  <c r="C162" i="110"/>
  <c r="B162" i="110" s="1"/>
  <c r="O162" i="110"/>
  <c r="R162" i="110"/>
  <c r="U162" i="110"/>
  <c r="W162" i="110"/>
  <c r="X162" i="110"/>
  <c r="Y162" i="110"/>
  <c r="AE162" i="110"/>
  <c r="AF162" i="110"/>
  <c r="AM162" i="110"/>
  <c r="AN162" i="110"/>
  <c r="AO162" i="110"/>
  <c r="A133" i="110"/>
  <c r="H133" i="110"/>
  <c r="I133" i="110"/>
  <c r="J133" i="110"/>
  <c r="C133" i="110"/>
  <c r="B133" i="110" s="1"/>
  <c r="U133" i="110"/>
  <c r="W133" i="110"/>
  <c r="X133" i="110"/>
  <c r="Y133" i="110"/>
  <c r="AF133" i="110"/>
  <c r="AH133" i="110" s="1"/>
  <c r="AO133" i="110"/>
  <c r="AG133" i="110"/>
  <c r="A134" i="110"/>
  <c r="H134" i="110"/>
  <c r="I134" i="110"/>
  <c r="J134" i="110"/>
  <c r="C134" i="110"/>
  <c r="B134" i="110" s="1"/>
  <c r="U134" i="110"/>
  <c r="W134" i="110"/>
  <c r="X134" i="110"/>
  <c r="Y134" i="110"/>
  <c r="AF134" i="110"/>
  <c r="AG134" i="110"/>
  <c r="AO134" i="110"/>
  <c r="A135" i="110"/>
  <c r="H135" i="110"/>
  <c r="I135" i="110"/>
  <c r="J135" i="110"/>
  <c r="U135" i="110"/>
  <c r="W135" i="110"/>
  <c r="X135" i="110"/>
  <c r="Y135" i="110"/>
  <c r="AF135" i="110"/>
  <c r="AG135" i="110"/>
  <c r="AO135" i="110"/>
  <c r="A136" i="110"/>
  <c r="H136" i="110"/>
  <c r="I136" i="110"/>
  <c r="J136" i="110"/>
  <c r="C136" i="110"/>
  <c r="B136" i="110" s="1"/>
  <c r="U136" i="110"/>
  <c r="W136" i="110"/>
  <c r="X136" i="110"/>
  <c r="Y136" i="110"/>
  <c r="AF136" i="110"/>
  <c r="AG136" i="110"/>
  <c r="AO136" i="110"/>
  <c r="A137" i="110"/>
  <c r="H137" i="110"/>
  <c r="I137" i="110"/>
  <c r="J137" i="110"/>
  <c r="C137" i="110" s="1"/>
  <c r="B137" i="110" s="1"/>
  <c r="U137" i="110"/>
  <c r="W137" i="110"/>
  <c r="X137" i="110"/>
  <c r="Y137" i="110"/>
  <c r="AF137" i="110"/>
  <c r="AH137" i="110" s="1"/>
  <c r="AO137" i="110"/>
  <c r="AG137" i="110"/>
  <c r="A138" i="110"/>
  <c r="H138" i="110"/>
  <c r="I138" i="110"/>
  <c r="J138" i="110"/>
  <c r="C138" i="110" s="1"/>
  <c r="B138" i="110" s="1"/>
  <c r="U138" i="110"/>
  <c r="W138" i="110"/>
  <c r="X138" i="110"/>
  <c r="Y138" i="110"/>
  <c r="AF138" i="110"/>
  <c r="AG138" i="110"/>
  <c r="AO138" i="110"/>
  <c r="AH138" i="110"/>
  <c r="A139" i="110"/>
  <c r="H139" i="110"/>
  <c r="I139" i="110"/>
  <c r="J139" i="110"/>
  <c r="C139" i="110"/>
  <c r="B139" i="110" s="1"/>
  <c r="U139" i="110"/>
  <c r="W139" i="110"/>
  <c r="X139" i="110"/>
  <c r="Y139" i="110"/>
  <c r="AF139" i="110"/>
  <c r="AG139" i="110"/>
  <c r="AO139" i="110"/>
  <c r="A140" i="110"/>
  <c r="H140" i="110"/>
  <c r="I140" i="110"/>
  <c r="J140" i="110"/>
  <c r="U140" i="110"/>
  <c r="W140" i="110"/>
  <c r="X140" i="110"/>
  <c r="Y140" i="110"/>
  <c r="AF140" i="110"/>
  <c r="AH140" i="110" s="1"/>
  <c r="AO140" i="110"/>
  <c r="AG140" i="110"/>
  <c r="A141" i="110"/>
  <c r="H141" i="110"/>
  <c r="I141" i="110"/>
  <c r="J141" i="110"/>
  <c r="C141" i="110" s="1"/>
  <c r="B141" i="110" s="1"/>
  <c r="U141" i="110"/>
  <c r="W141" i="110"/>
  <c r="X141" i="110"/>
  <c r="Y141" i="110"/>
  <c r="AF141" i="110"/>
  <c r="AG141" i="110"/>
  <c r="AO141" i="110"/>
  <c r="A142" i="110"/>
  <c r="H142" i="110"/>
  <c r="I142" i="110"/>
  <c r="J142" i="110"/>
  <c r="C142" i="110"/>
  <c r="B142" i="110" s="1"/>
  <c r="O142" i="110"/>
  <c r="AL142" i="110" s="1"/>
  <c r="R142" i="110"/>
  <c r="U142" i="110"/>
  <c r="W142" i="110"/>
  <c r="X142" i="110"/>
  <c r="Y142" i="110"/>
  <c r="AE142" i="110"/>
  <c r="AF142" i="110"/>
  <c r="AG142" i="110"/>
  <c r="AM142" i="110"/>
  <c r="AN142" i="110"/>
  <c r="AO142" i="110"/>
  <c r="A143" i="110"/>
  <c r="H143" i="110"/>
  <c r="I143" i="110"/>
  <c r="J143" i="110"/>
  <c r="C143" i="110"/>
  <c r="B143" i="110" s="1"/>
  <c r="O143" i="110"/>
  <c r="R143" i="110"/>
  <c r="U143" i="110"/>
  <c r="W143" i="110"/>
  <c r="X143" i="110"/>
  <c r="Y143" i="110"/>
  <c r="AE143" i="110"/>
  <c r="AF143" i="110"/>
  <c r="AG143" i="110"/>
  <c r="AM143" i="110"/>
  <c r="AN143" i="110"/>
  <c r="AO143" i="110"/>
  <c r="A144" i="110"/>
  <c r="H144" i="110"/>
  <c r="I144" i="110"/>
  <c r="J144" i="110"/>
  <c r="C144" i="110" s="1"/>
  <c r="B144" i="110" s="1"/>
  <c r="O144" i="110"/>
  <c r="R144" i="110"/>
  <c r="U144" i="110"/>
  <c r="W144" i="110"/>
  <c r="X144" i="110"/>
  <c r="Y144" i="110"/>
  <c r="AE144" i="110"/>
  <c r="AF144" i="110"/>
  <c r="AG144" i="110"/>
  <c r="AM144" i="110"/>
  <c r="AN144" i="110"/>
  <c r="AO144" i="110"/>
  <c r="A145" i="110"/>
  <c r="H145" i="110"/>
  <c r="I145" i="110"/>
  <c r="J145" i="110"/>
  <c r="C145" i="110" s="1"/>
  <c r="B145" i="110" s="1"/>
  <c r="O145" i="110"/>
  <c r="R145" i="110"/>
  <c r="U145" i="110"/>
  <c r="W145" i="110"/>
  <c r="X145" i="110"/>
  <c r="Y145" i="110"/>
  <c r="AE145" i="110"/>
  <c r="AF145" i="110"/>
  <c r="AG145" i="110"/>
  <c r="AM145" i="110"/>
  <c r="AN145" i="110"/>
  <c r="AO145" i="110"/>
  <c r="A146" i="110"/>
  <c r="H146" i="110"/>
  <c r="I146" i="110"/>
  <c r="J146" i="110"/>
  <c r="C146" i="110" s="1"/>
  <c r="B146" i="110" s="1"/>
  <c r="O146" i="110"/>
  <c r="AL146" i="110" s="1"/>
  <c r="R146" i="110"/>
  <c r="U146" i="110"/>
  <c r="W146" i="110"/>
  <c r="X146" i="110"/>
  <c r="Y146" i="110"/>
  <c r="AE146" i="110"/>
  <c r="AF146" i="110"/>
  <c r="AG146" i="110"/>
  <c r="AM146" i="110"/>
  <c r="AN146" i="110"/>
  <c r="AO146" i="110"/>
  <c r="AO148" i="110"/>
  <c r="AG148" i="110"/>
  <c r="AF148" i="110"/>
  <c r="Y148" i="110"/>
  <c r="X148" i="110"/>
  <c r="W148" i="110"/>
  <c r="U148" i="110"/>
  <c r="J148" i="110"/>
  <c r="C148" i="110"/>
  <c r="B148" i="110" s="1"/>
  <c r="I148" i="110"/>
  <c r="H148" i="110"/>
  <c r="AO132" i="110"/>
  <c r="AG132" i="110"/>
  <c r="AF132" i="110"/>
  <c r="AH132" i="110"/>
  <c r="Y132" i="110"/>
  <c r="X132" i="110"/>
  <c r="W132" i="110"/>
  <c r="U132" i="110"/>
  <c r="J132" i="110"/>
  <c r="C132" i="110" s="1"/>
  <c r="B132" i="110" s="1"/>
  <c r="I132" i="110"/>
  <c r="H132" i="110"/>
  <c r="A132" i="110"/>
  <c r="A117" i="110"/>
  <c r="H117" i="110"/>
  <c r="I117" i="110"/>
  <c r="J117" i="110"/>
  <c r="C117" i="110"/>
  <c r="B117" i="110" s="1"/>
  <c r="U117" i="110"/>
  <c r="W117" i="110"/>
  <c r="X117" i="110"/>
  <c r="Y117" i="110"/>
  <c r="AF117" i="110"/>
  <c r="AO117" i="110"/>
  <c r="AH117" i="110" s="1"/>
  <c r="AG117" i="110"/>
  <c r="A118" i="110"/>
  <c r="H118" i="110"/>
  <c r="I118" i="110"/>
  <c r="J118" i="110"/>
  <c r="U118" i="110"/>
  <c r="W118" i="110"/>
  <c r="X118" i="110"/>
  <c r="Y118" i="110"/>
  <c r="AF118" i="110"/>
  <c r="AG118" i="110"/>
  <c r="AO118" i="110"/>
  <c r="A119" i="110"/>
  <c r="H119" i="110"/>
  <c r="I119" i="110"/>
  <c r="J119" i="110"/>
  <c r="U119" i="110"/>
  <c r="W119" i="110"/>
  <c r="X119" i="110"/>
  <c r="Y119" i="110"/>
  <c r="AF119" i="110"/>
  <c r="AH119" i="110" s="1"/>
  <c r="AG119" i="110"/>
  <c r="AO119" i="110"/>
  <c r="A120" i="110"/>
  <c r="H120" i="110"/>
  <c r="I120" i="110"/>
  <c r="J120" i="110"/>
  <c r="U120" i="110"/>
  <c r="W120" i="110"/>
  <c r="X120" i="110"/>
  <c r="Y120" i="110"/>
  <c r="AF120" i="110"/>
  <c r="AG120" i="110"/>
  <c r="AO120" i="110"/>
  <c r="A121" i="110"/>
  <c r="H121" i="110"/>
  <c r="I121" i="110"/>
  <c r="J121" i="110"/>
  <c r="C121" i="110"/>
  <c r="B121" i="110" s="1"/>
  <c r="U121" i="110"/>
  <c r="W121" i="110"/>
  <c r="X121" i="110"/>
  <c r="Y121" i="110"/>
  <c r="AF121" i="110"/>
  <c r="AG121" i="110"/>
  <c r="AO121" i="110"/>
  <c r="A122" i="110"/>
  <c r="H122" i="110"/>
  <c r="I122" i="110"/>
  <c r="J122" i="110"/>
  <c r="C122" i="110" s="1"/>
  <c r="B122" i="110" s="1"/>
  <c r="U122" i="110"/>
  <c r="W122" i="110"/>
  <c r="X122" i="110"/>
  <c r="Y122" i="110"/>
  <c r="AF122" i="110"/>
  <c r="AG122" i="110"/>
  <c r="AO122" i="110"/>
  <c r="A123" i="110"/>
  <c r="H123" i="110"/>
  <c r="I123" i="110"/>
  <c r="J123" i="110"/>
  <c r="U123" i="110"/>
  <c r="W123" i="110"/>
  <c r="X123" i="110"/>
  <c r="Y123" i="110"/>
  <c r="AF123" i="110"/>
  <c r="AO123" i="110"/>
  <c r="AH123" i="110" s="1"/>
  <c r="AG123" i="110"/>
  <c r="A124" i="110"/>
  <c r="H124" i="110"/>
  <c r="I124" i="110"/>
  <c r="J124" i="110"/>
  <c r="C124" i="110"/>
  <c r="B124" i="110" s="1"/>
  <c r="U124" i="110"/>
  <c r="W124" i="110"/>
  <c r="X124" i="110"/>
  <c r="Y124" i="110"/>
  <c r="AF124" i="110"/>
  <c r="AG124" i="110"/>
  <c r="AO124" i="110"/>
  <c r="A125" i="110"/>
  <c r="H125" i="110"/>
  <c r="I125" i="110"/>
  <c r="J125" i="110"/>
  <c r="C125" i="110" s="1"/>
  <c r="B125" i="110" s="1"/>
  <c r="U125" i="110"/>
  <c r="W125" i="110"/>
  <c r="X125" i="110"/>
  <c r="Y125" i="110"/>
  <c r="AF125" i="110"/>
  <c r="AG125" i="110"/>
  <c r="AO125" i="110"/>
  <c r="AH125" i="110"/>
  <c r="A126" i="110"/>
  <c r="H126" i="110"/>
  <c r="I126" i="110"/>
  <c r="J126" i="110"/>
  <c r="C126" i="110" s="1"/>
  <c r="B126" i="110" s="1"/>
  <c r="R126" i="110"/>
  <c r="U126" i="110"/>
  <c r="W126" i="110"/>
  <c r="X126" i="110"/>
  <c r="Y126" i="110"/>
  <c r="AE126" i="110"/>
  <c r="AF126" i="110"/>
  <c r="AO126" i="110"/>
  <c r="AH126" i="110"/>
  <c r="AM126" i="110"/>
  <c r="AN126" i="110"/>
  <c r="A127" i="110"/>
  <c r="H127" i="110"/>
  <c r="I127" i="110"/>
  <c r="J127" i="110"/>
  <c r="C127" i="110"/>
  <c r="B127" i="110" s="1"/>
  <c r="O127" i="110"/>
  <c r="R127" i="110"/>
  <c r="U127" i="110"/>
  <c r="W127" i="110"/>
  <c r="X127" i="110"/>
  <c r="Y127" i="110"/>
  <c r="AE127" i="110"/>
  <c r="AF127" i="110"/>
  <c r="AG127" i="110"/>
  <c r="AM127" i="110"/>
  <c r="AN127" i="110"/>
  <c r="AO127" i="110"/>
  <c r="A128" i="110"/>
  <c r="H128" i="110"/>
  <c r="I128" i="110"/>
  <c r="J128" i="110"/>
  <c r="C128" i="110" s="1"/>
  <c r="B128" i="110" s="1"/>
  <c r="R128" i="110"/>
  <c r="U128" i="110"/>
  <c r="W128" i="110"/>
  <c r="X128" i="110"/>
  <c r="Y128" i="110"/>
  <c r="AE128" i="110"/>
  <c r="AF128" i="110"/>
  <c r="AG128" i="110"/>
  <c r="AM128" i="110"/>
  <c r="AN128" i="110"/>
  <c r="AO128" i="110"/>
  <c r="A129" i="110"/>
  <c r="H129" i="110"/>
  <c r="I129" i="110"/>
  <c r="J129" i="110"/>
  <c r="C129" i="110" s="1"/>
  <c r="B129" i="110" s="1"/>
  <c r="O129" i="110"/>
  <c r="R129" i="110"/>
  <c r="U129" i="110"/>
  <c r="W129" i="110"/>
  <c r="X129" i="110"/>
  <c r="Y129" i="110"/>
  <c r="AE129" i="110"/>
  <c r="AF129" i="110"/>
  <c r="AG129" i="110"/>
  <c r="AM129" i="110"/>
  <c r="AN129" i="110"/>
  <c r="AO129" i="110"/>
  <c r="A130" i="110"/>
  <c r="H130" i="110"/>
  <c r="I130" i="110"/>
  <c r="J130" i="110"/>
  <c r="C130" i="110" s="1"/>
  <c r="B130" i="110" s="1"/>
  <c r="O130" i="110"/>
  <c r="AJ130" i="110" s="1"/>
  <c r="R130" i="110"/>
  <c r="U130" i="110"/>
  <c r="W130" i="110"/>
  <c r="X130" i="110"/>
  <c r="Y130" i="110"/>
  <c r="AE130" i="110"/>
  <c r="AF130" i="110"/>
  <c r="AG130" i="110"/>
  <c r="AM130" i="110"/>
  <c r="AN130" i="110"/>
  <c r="AO130" i="110"/>
  <c r="AO116" i="110"/>
  <c r="AG116" i="110"/>
  <c r="AF116" i="110"/>
  <c r="Y116" i="110"/>
  <c r="X116" i="110"/>
  <c r="W116" i="110"/>
  <c r="U116" i="110"/>
  <c r="J116" i="110"/>
  <c r="I116" i="110"/>
  <c r="H116" i="110"/>
  <c r="A101" i="110"/>
  <c r="H101" i="110"/>
  <c r="I101" i="110"/>
  <c r="J101" i="110"/>
  <c r="U101" i="110"/>
  <c r="W101" i="110"/>
  <c r="X101" i="110"/>
  <c r="Y101" i="110"/>
  <c r="AF101" i="110"/>
  <c r="AG101" i="110"/>
  <c r="AO101" i="110"/>
  <c r="A102" i="110"/>
  <c r="H102" i="110"/>
  <c r="I102" i="110"/>
  <c r="J102" i="110"/>
  <c r="C102" i="110" s="1"/>
  <c r="B102" i="110" s="1"/>
  <c r="U102" i="110"/>
  <c r="W102" i="110"/>
  <c r="X102" i="110"/>
  <c r="Y102" i="110"/>
  <c r="AF102" i="110"/>
  <c r="AG102" i="110"/>
  <c r="AO102" i="110"/>
  <c r="A103" i="110"/>
  <c r="H103" i="110"/>
  <c r="I103" i="110"/>
  <c r="J103" i="110"/>
  <c r="C103" i="110"/>
  <c r="B103" i="110" s="1"/>
  <c r="U103" i="110"/>
  <c r="W103" i="110"/>
  <c r="X103" i="110"/>
  <c r="Y103" i="110"/>
  <c r="AF103" i="110"/>
  <c r="AG103" i="110"/>
  <c r="AO103" i="110"/>
  <c r="A104" i="110"/>
  <c r="H104" i="110"/>
  <c r="I104" i="110"/>
  <c r="J104" i="110"/>
  <c r="U104" i="110"/>
  <c r="W104" i="110"/>
  <c r="X104" i="110"/>
  <c r="Y104" i="110"/>
  <c r="AF104" i="110"/>
  <c r="AG104" i="110"/>
  <c r="AO104" i="110"/>
  <c r="A105" i="110"/>
  <c r="H105" i="110"/>
  <c r="I105" i="110"/>
  <c r="J105" i="110"/>
  <c r="C105" i="110"/>
  <c r="B105" i="110" s="1"/>
  <c r="U105" i="110"/>
  <c r="W105" i="110"/>
  <c r="X105" i="110"/>
  <c r="Y105" i="110"/>
  <c r="AF105" i="110"/>
  <c r="AG105" i="110"/>
  <c r="AO105" i="110"/>
  <c r="A106" i="110"/>
  <c r="H106" i="110"/>
  <c r="I106" i="110"/>
  <c r="J106" i="110"/>
  <c r="C106" i="110" s="1"/>
  <c r="B106" i="110" s="1"/>
  <c r="U106" i="110"/>
  <c r="W106" i="110"/>
  <c r="X106" i="110"/>
  <c r="Y106" i="110"/>
  <c r="AF106" i="110"/>
  <c r="AG106" i="110"/>
  <c r="AO106" i="110"/>
  <c r="A107" i="110"/>
  <c r="H107" i="110"/>
  <c r="I107" i="110"/>
  <c r="J107" i="110"/>
  <c r="C107" i="110" s="1"/>
  <c r="B107" i="110" s="1"/>
  <c r="U107" i="110"/>
  <c r="W107" i="110"/>
  <c r="X107" i="110"/>
  <c r="Y107" i="110"/>
  <c r="AF107" i="110"/>
  <c r="AG107" i="110"/>
  <c r="AO107" i="110"/>
  <c r="A108" i="110"/>
  <c r="H108" i="110"/>
  <c r="I108" i="110"/>
  <c r="J108" i="110"/>
  <c r="U108" i="110"/>
  <c r="W108" i="110"/>
  <c r="X108" i="110"/>
  <c r="Y108" i="110"/>
  <c r="AF108" i="110"/>
  <c r="AG108" i="110"/>
  <c r="AO108" i="110"/>
  <c r="A109" i="110"/>
  <c r="H109" i="110"/>
  <c r="I109" i="110"/>
  <c r="J109" i="110"/>
  <c r="U109" i="110"/>
  <c r="W109" i="110"/>
  <c r="X109" i="110"/>
  <c r="Y109" i="110"/>
  <c r="AF109" i="110"/>
  <c r="AG109" i="110"/>
  <c r="AO109" i="110"/>
  <c r="A110" i="110"/>
  <c r="H110" i="110"/>
  <c r="I110" i="110"/>
  <c r="J110" i="110"/>
  <c r="C110" i="110"/>
  <c r="B110" i="110" s="1"/>
  <c r="O110" i="110"/>
  <c r="R110" i="110"/>
  <c r="U110" i="110"/>
  <c r="W110" i="110"/>
  <c r="X110" i="110"/>
  <c r="Y110" i="110"/>
  <c r="AE110" i="110"/>
  <c r="AF110" i="110"/>
  <c r="AG110" i="110"/>
  <c r="AM110" i="110"/>
  <c r="AN110" i="110"/>
  <c r="AO110" i="110"/>
  <c r="AH110" i="110"/>
  <c r="A111" i="110"/>
  <c r="H111" i="110"/>
  <c r="I111" i="110"/>
  <c r="J111" i="110"/>
  <c r="C111" i="110"/>
  <c r="B111" i="110" s="1"/>
  <c r="R111" i="110"/>
  <c r="U111" i="110"/>
  <c r="W111" i="110"/>
  <c r="X111" i="110"/>
  <c r="Y111" i="110"/>
  <c r="AE111" i="110"/>
  <c r="AF111" i="110"/>
  <c r="AG111" i="110"/>
  <c r="AM111" i="110"/>
  <c r="AN111" i="110"/>
  <c r="AO111" i="110"/>
  <c r="A112" i="110"/>
  <c r="H112" i="110"/>
  <c r="I112" i="110"/>
  <c r="J112" i="110"/>
  <c r="C112" i="110"/>
  <c r="B112" i="110" s="1"/>
  <c r="R112" i="110"/>
  <c r="U112" i="110"/>
  <c r="W112" i="110"/>
  <c r="X112" i="110"/>
  <c r="Y112" i="110"/>
  <c r="AE112" i="110"/>
  <c r="AF112" i="110"/>
  <c r="AH112" i="110" s="1"/>
  <c r="AG112" i="110"/>
  <c r="AM112" i="110"/>
  <c r="AN112" i="110"/>
  <c r="AO112" i="110"/>
  <c r="A113" i="110"/>
  <c r="H113" i="110"/>
  <c r="I113" i="110"/>
  <c r="J113" i="110"/>
  <c r="C113" i="110" s="1"/>
  <c r="B113" i="110" s="1"/>
  <c r="O113" i="110"/>
  <c r="R113" i="110"/>
  <c r="U113" i="110"/>
  <c r="W113" i="110"/>
  <c r="X113" i="110"/>
  <c r="Y113" i="110"/>
  <c r="AE113" i="110"/>
  <c r="AF113" i="110"/>
  <c r="AG113" i="110"/>
  <c r="AM113" i="110"/>
  <c r="AN113" i="110"/>
  <c r="AO113" i="110"/>
  <c r="AH113" i="110" s="1"/>
  <c r="A114" i="110"/>
  <c r="H114" i="110"/>
  <c r="I114" i="110"/>
  <c r="J114" i="110"/>
  <c r="C114" i="110" s="1"/>
  <c r="B114" i="110" s="1"/>
  <c r="O114" i="110"/>
  <c r="R114" i="110"/>
  <c r="U114" i="110"/>
  <c r="W114" i="110"/>
  <c r="X114" i="110"/>
  <c r="Y114" i="110"/>
  <c r="AE114" i="110"/>
  <c r="AF114" i="110"/>
  <c r="AG114" i="110"/>
  <c r="AM114" i="110"/>
  <c r="AN114" i="110"/>
  <c r="AO114" i="110"/>
  <c r="AO100" i="110"/>
  <c r="AG100" i="110"/>
  <c r="AF100" i="110"/>
  <c r="AH100" i="110" s="1"/>
  <c r="Y100" i="110"/>
  <c r="X100" i="110"/>
  <c r="W100" i="110"/>
  <c r="U100" i="110"/>
  <c r="J100" i="110"/>
  <c r="C100" i="110"/>
  <c r="B100" i="110" s="1"/>
  <c r="I100" i="110"/>
  <c r="H100" i="110"/>
  <c r="AO85" i="110"/>
  <c r="AO86" i="110"/>
  <c r="AO87" i="110"/>
  <c r="AO88" i="110"/>
  <c r="AO89" i="110"/>
  <c r="AO90" i="110"/>
  <c r="AO91" i="110"/>
  <c r="AO92" i="110"/>
  <c r="AO93" i="110"/>
  <c r="AM94" i="110"/>
  <c r="AN94" i="110"/>
  <c r="AO94" i="110"/>
  <c r="AF94" i="110"/>
  <c r="AH94" i="110"/>
  <c r="AM95" i="110"/>
  <c r="AN95" i="110"/>
  <c r="AO95" i="110"/>
  <c r="AM96" i="110"/>
  <c r="AN96" i="110"/>
  <c r="AO96" i="110"/>
  <c r="AM97" i="110"/>
  <c r="AN97" i="110"/>
  <c r="AO97" i="110"/>
  <c r="AM98" i="110"/>
  <c r="AN98" i="110"/>
  <c r="AO98" i="110"/>
  <c r="AO84" i="110"/>
  <c r="AG85" i="110"/>
  <c r="AG86" i="110"/>
  <c r="AG87" i="110"/>
  <c r="AG88" i="110"/>
  <c r="AG89" i="110"/>
  <c r="AG91" i="110"/>
  <c r="AG92" i="110"/>
  <c r="AG93" i="110"/>
  <c r="AG94" i="110"/>
  <c r="AG95" i="110"/>
  <c r="AG96" i="110"/>
  <c r="AG97" i="110"/>
  <c r="AG98" i="110"/>
  <c r="AG84" i="110"/>
  <c r="AF85" i="110"/>
  <c r="AH85" i="110"/>
  <c r="AF86" i="110"/>
  <c r="AH86" i="110"/>
  <c r="AF87" i="110"/>
  <c r="AF88" i="110"/>
  <c r="AH88" i="110" s="1"/>
  <c r="AF89" i="110"/>
  <c r="AF90" i="110"/>
  <c r="AH90" i="110" s="1"/>
  <c r="AF91" i="110"/>
  <c r="AH91" i="110" s="1"/>
  <c r="AF92" i="110"/>
  <c r="AF93" i="110"/>
  <c r="AF95" i="110"/>
  <c r="AH95" i="110"/>
  <c r="AF96" i="110"/>
  <c r="AF97" i="110"/>
  <c r="AF98" i="110"/>
  <c r="AF84" i="110"/>
  <c r="AE94" i="110"/>
  <c r="AE95" i="110"/>
  <c r="AE96" i="110"/>
  <c r="AE97" i="110"/>
  <c r="AE98" i="110"/>
  <c r="Y85" i="110"/>
  <c r="Y86" i="110"/>
  <c r="Y87" i="110"/>
  <c r="Y88" i="110"/>
  <c r="Y89" i="110"/>
  <c r="Y90" i="110"/>
  <c r="Y91" i="110"/>
  <c r="Y92" i="110"/>
  <c r="Y93" i="110"/>
  <c r="Y94" i="110"/>
  <c r="Y95" i="110"/>
  <c r="Y96" i="110"/>
  <c r="Y97" i="110"/>
  <c r="Y98" i="110"/>
  <c r="Y84" i="110"/>
  <c r="X85" i="110"/>
  <c r="X86" i="110"/>
  <c r="X87" i="110"/>
  <c r="X88" i="110"/>
  <c r="X89" i="110"/>
  <c r="X90" i="110"/>
  <c r="X91" i="110"/>
  <c r="X92" i="110"/>
  <c r="X93" i="110"/>
  <c r="X94" i="110"/>
  <c r="X95" i="110"/>
  <c r="X96" i="110"/>
  <c r="X97" i="110"/>
  <c r="X98" i="110"/>
  <c r="X84" i="110"/>
  <c r="W85" i="110"/>
  <c r="W86" i="110"/>
  <c r="W87" i="110"/>
  <c r="W88" i="110"/>
  <c r="W89" i="110"/>
  <c r="W90" i="110"/>
  <c r="W91" i="110"/>
  <c r="W92" i="110"/>
  <c r="W93" i="110"/>
  <c r="W94" i="110"/>
  <c r="W95" i="110"/>
  <c r="W96" i="110"/>
  <c r="W97" i="110"/>
  <c r="W98" i="110"/>
  <c r="W84" i="110"/>
  <c r="U85" i="110"/>
  <c r="U86" i="110"/>
  <c r="U87" i="110"/>
  <c r="U88" i="110"/>
  <c r="U89" i="110"/>
  <c r="U90" i="110"/>
  <c r="U91" i="110"/>
  <c r="U92" i="110"/>
  <c r="U93" i="110"/>
  <c r="U94" i="110"/>
  <c r="U95" i="110"/>
  <c r="U96" i="110"/>
  <c r="U97" i="110"/>
  <c r="U98" i="110"/>
  <c r="U84" i="110"/>
  <c r="R94" i="110"/>
  <c r="R95" i="110"/>
  <c r="R96" i="110"/>
  <c r="R97" i="110"/>
  <c r="R98" i="110"/>
  <c r="O94" i="110"/>
  <c r="AL94" i="110" s="1"/>
  <c r="O95" i="110"/>
  <c r="O97" i="110"/>
  <c r="O98" i="110"/>
  <c r="J85" i="110"/>
  <c r="C85" i="110" s="1"/>
  <c r="B85" i="110" s="1"/>
  <c r="J86" i="110"/>
  <c r="C86" i="110" s="1"/>
  <c r="B86" i="110" s="1"/>
  <c r="J87" i="110"/>
  <c r="C87" i="110"/>
  <c r="B87" i="110" s="1"/>
  <c r="J88" i="110"/>
  <c r="J89" i="110"/>
  <c r="C89" i="110"/>
  <c r="B89" i="110"/>
  <c r="J90" i="110"/>
  <c r="C90" i="110"/>
  <c r="B90" i="110" s="1"/>
  <c r="J91" i="110"/>
  <c r="J93" i="110"/>
  <c r="C93" i="110" s="1"/>
  <c r="B93" i="110" s="1"/>
  <c r="J94" i="110"/>
  <c r="C94" i="110"/>
  <c r="B94" i="110" s="1"/>
  <c r="J95" i="110"/>
  <c r="C95" i="110"/>
  <c r="B95" i="110" s="1"/>
  <c r="J96" i="110"/>
  <c r="C96" i="110" s="1"/>
  <c r="B96" i="110" s="1"/>
  <c r="J97" i="110"/>
  <c r="C97" i="110" s="1"/>
  <c r="B97" i="110" s="1"/>
  <c r="J98" i="110"/>
  <c r="C98" i="110"/>
  <c r="B98" i="110" s="1"/>
  <c r="I85" i="110"/>
  <c r="I86" i="110"/>
  <c r="I87" i="110"/>
  <c r="I88" i="110"/>
  <c r="I89" i="110"/>
  <c r="I90" i="110"/>
  <c r="I91" i="110"/>
  <c r="I92" i="110"/>
  <c r="I93" i="110"/>
  <c r="I94" i="110"/>
  <c r="I95" i="110"/>
  <c r="I96" i="110"/>
  <c r="I97" i="110"/>
  <c r="I98" i="110"/>
  <c r="I84" i="110"/>
  <c r="H85" i="110"/>
  <c r="H86" i="110"/>
  <c r="H87" i="110"/>
  <c r="H88" i="110"/>
  <c r="H89" i="110"/>
  <c r="H90" i="110"/>
  <c r="H91" i="110"/>
  <c r="H92" i="110"/>
  <c r="H93" i="110"/>
  <c r="H94" i="110"/>
  <c r="H95" i="110"/>
  <c r="H96" i="110"/>
  <c r="H97" i="110"/>
  <c r="H98" i="110"/>
  <c r="H84" i="110"/>
  <c r="A148" i="110"/>
  <c r="A116" i="110"/>
  <c r="A100" i="110"/>
  <c r="A98" i="110"/>
  <c r="A97" i="110"/>
  <c r="A96" i="110"/>
  <c r="A95" i="110"/>
  <c r="A94" i="110"/>
  <c r="A93" i="110"/>
  <c r="A92" i="110"/>
  <c r="A91" i="110"/>
  <c r="A90" i="110"/>
  <c r="A89" i="110"/>
  <c r="A88" i="110"/>
  <c r="A87" i="110"/>
  <c r="A86" i="110"/>
  <c r="A85" i="110"/>
  <c r="A84" i="110"/>
  <c r="AM73" i="110"/>
  <c r="AM74" i="110"/>
  <c r="AM75" i="110"/>
  <c r="AM76" i="110"/>
  <c r="AM77" i="110"/>
  <c r="AN73" i="110"/>
  <c r="AN74" i="110"/>
  <c r="AN75" i="110"/>
  <c r="AN76" i="110"/>
  <c r="AN77" i="110"/>
  <c r="AO64" i="110"/>
  <c r="AO65" i="110"/>
  <c r="AO66" i="110"/>
  <c r="AO67" i="110"/>
  <c r="AO68" i="110"/>
  <c r="AO69" i="110"/>
  <c r="AO70" i="110"/>
  <c r="AO71" i="110"/>
  <c r="AO72" i="110"/>
  <c r="AO73" i="110"/>
  <c r="AO74" i="110"/>
  <c r="AO75" i="110"/>
  <c r="AO76" i="110"/>
  <c r="AO77" i="110"/>
  <c r="AO63" i="110"/>
  <c r="AG64" i="110"/>
  <c r="AG65" i="110"/>
  <c r="AG66" i="110"/>
  <c r="AG67" i="110"/>
  <c r="AG68" i="110"/>
  <c r="AG69" i="110"/>
  <c r="AG70" i="110"/>
  <c r="AG71" i="110"/>
  <c r="AG72" i="110"/>
  <c r="AG73" i="110"/>
  <c r="AG74" i="110"/>
  <c r="AG75" i="110"/>
  <c r="AG76" i="110"/>
  <c r="AG77" i="110"/>
  <c r="AG63" i="110"/>
  <c r="AF64" i="110"/>
  <c r="AF65" i="110"/>
  <c r="AF66" i="110"/>
  <c r="AF67" i="110"/>
  <c r="AF68" i="110"/>
  <c r="AF69" i="110"/>
  <c r="AF70" i="110"/>
  <c r="AH70" i="110" s="1"/>
  <c r="AF71" i="110"/>
  <c r="AF72" i="110"/>
  <c r="AF73" i="110"/>
  <c r="AF74" i="110"/>
  <c r="AF75" i="110"/>
  <c r="AF76" i="110"/>
  <c r="AF77" i="110"/>
  <c r="AF63" i="110"/>
  <c r="AE73" i="110"/>
  <c r="AE74" i="110"/>
  <c r="AE75" i="110"/>
  <c r="AE76" i="110"/>
  <c r="AE77" i="110"/>
  <c r="Y77" i="110"/>
  <c r="Y76" i="110"/>
  <c r="Y75" i="110"/>
  <c r="Y74" i="110"/>
  <c r="Y73" i="110"/>
  <c r="Y72" i="110"/>
  <c r="Y71" i="110"/>
  <c r="Y70" i="110"/>
  <c r="Y69" i="110"/>
  <c r="Y68" i="110"/>
  <c r="Y67" i="110"/>
  <c r="Y66" i="110"/>
  <c r="Y65" i="110"/>
  <c r="Y64" i="110"/>
  <c r="Y63" i="110"/>
  <c r="W64" i="110"/>
  <c r="W65" i="110"/>
  <c r="W66" i="110"/>
  <c r="W67" i="110"/>
  <c r="W68" i="110"/>
  <c r="W69" i="110"/>
  <c r="W70" i="110"/>
  <c r="W71" i="110"/>
  <c r="W72" i="110"/>
  <c r="W73" i="110"/>
  <c r="W74" i="110"/>
  <c r="W75" i="110"/>
  <c r="W76" i="110"/>
  <c r="W77" i="110"/>
  <c r="W63" i="110"/>
  <c r="R73" i="110"/>
  <c r="R74" i="110"/>
  <c r="R75" i="110"/>
  <c r="R76" i="110"/>
  <c r="R77" i="110"/>
  <c r="O73" i="110"/>
  <c r="O74" i="110"/>
  <c r="O75" i="110"/>
  <c r="O76" i="110"/>
  <c r="AK76" i="110" s="1"/>
  <c r="O77" i="110"/>
  <c r="K64" i="110"/>
  <c r="K65" i="110"/>
  <c r="K66" i="110"/>
  <c r="K67" i="110"/>
  <c r="K68" i="110"/>
  <c r="K69" i="110"/>
  <c r="K70" i="110"/>
  <c r="K71" i="110"/>
  <c r="K72" i="110"/>
  <c r="K73" i="110"/>
  <c r="K74" i="110"/>
  <c r="K75" i="110"/>
  <c r="K76" i="110"/>
  <c r="K77" i="110"/>
  <c r="K63" i="110"/>
  <c r="J65" i="110"/>
  <c r="C65" i="110" s="1"/>
  <c r="B65" i="110" s="1"/>
  <c r="J66" i="110"/>
  <c r="C66" i="110" s="1"/>
  <c r="B66" i="110" s="1"/>
  <c r="J67" i="110"/>
  <c r="C67" i="110" s="1"/>
  <c r="B67" i="110" s="1"/>
  <c r="J68" i="110"/>
  <c r="C68" i="110" s="1"/>
  <c r="B68" i="110" s="1"/>
  <c r="J69" i="110"/>
  <c r="C69" i="110" s="1"/>
  <c r="B69" i="110" s="1"/>
  <c r="J70" i="110"/>
  <c r="C70" i="110" s="1"/>
  <c r="B70" i="110" s="1"/>
  <c r="J71" i="110"/>
  <c r="C71" i="110" s="1"/>
  <c r="B71" i="110" s="1"/>
  <c r="J72" i="110"/>
  <c r="C72" i="110" s="1"/>
  <c r="B72" i="110" s="1"/>
  <c r="J73" i="110"/>
  <c r="C73" i="110" s="1"/>
  <c r="B73" i="110" s="1"/>
  <c r="J74" i="110"/>
  <c r="C74" i="110" s="1"/>
  <c r="B74" i="110" s="1"/>
  <c r="J75" i="110"/>
  <c r="C75" i="110" s="1"/>
  <c r="B75" i="110" s="1"/>
  <c r="J76" i="110"/>
  <c r="C76" i="110" s="1"/>
  <c r="B76" i="110" s="1"/>
  <c r="J77" i="110"/>
  <c r="C77" i="110" s="1"/>
  <c r="B77" i="110" s="1"/>
  <c r="I64" i="110"/>
  <c r="I65" i="110"/>
  <c r="I66" i="110"/>
  <c r="I67" i="110"/>
  <c r="I68" i="110"/>
  <c r="I69" i="110"/>
  <c r="I70" i="110"/>
  <c r="I71" i="110"/>
  <c r="I72" i="110"/>
  <c r="I73" i="110"/>
  <c r="I74" i="110"/>
  <c r="I75" i="110"/>
  <c r="I76" i="110"/>
  <c r="I77" i="110"/>
  <c r="I63" i="110"/>
  <c r="H64" i="110"/>
  <c r="H65" i="110"/>
  <c r="H66" i="110"/>
  <c r="H67" i="110"/>
  <c r="H68" i="110"/>
  <c r="H69" i="110"/>
  <c r="H70" i="110"/>
  <c r="H71" i="110"/>
  <c r="H72" i="110"/>
  <c r="H73" i="110"/>
  <c r="H74" i="110"/>
  <c r="H75" i="110"/>
  <c r="H76" i="110"/>
  <c r="H77" i="110"/>
  <c r="H63" i="110"/>
  <c r="AH130" i="110"/>
  <c r="AH106" i="110"/>
  <c r="AH118" i="110"/>
  <c r="AH96" i="110"/>
  <c r="AH146" i="110"/>
  <c r="AH148" i="110"/>
  <c r="BT2" i="110"/>
  <c r="BS2" i="110"/>
  <c r="BL2" i="110"/>
  <c r="BK2" i="110"/>
  <c r="CN2" i="110"/>
  <c r="R68" i="110"/>
  <c r="R71" i="110"/>
  <c r="R72" i="110"/>
  <c r="AL7" i="110"/>
  <c r="AL9" i="110"/>
  <c r="AL14" i="110"/>
  <c r="AL30" i="110"/>
  <c r="AL62" i="110"/>
  <c r="AL78" i="110"/>
  <c r="AL83" i="110"/>
  <c r="AL99" i="110"/>
  <c r="AL115" i="110"/>
  <c r="AL131" i="110"/>
  <c r="AL147" i="110"/>
  <c r="AL163" i="110"/>
  <c r="AJ7" i="110"/>
  <c r="AJ9" i="110"/>
  <c r="AJ14" i="110"/>
  <c r="AJ30" i="110"/>
  <c r="AJ62" i="110"/>
  <c r="AJ78" i="110"/>
  <c r="AJ83" i="110"/>
  <c r="AJ99" i="110"/>
  <c r="AJ115" i="110"/>
  <c r="AJ131" i="110"/>
  <c r="AJ147" i="110"/>
  <c r="AJ163" i="110"/>
  <c r="AK7" i="110"/>
  <c r="AK9" i="110"/>
  <c r="AK14" i="110"/>
  <c r="AK30" i="110"/>
  <c r="AK62" i="110"/>
  <c r="AK78" i="110"/>
  <c r="AK83" i="110"/>
  <c r="AK99" i="110"/>
  <c r="AK115" i="110"/>
  <c r="AK131" i="110"/>
  <c r="AK147" i="110"/>
  <c r="AK163" i="110"/>
  <c r="CG2" i="110"/>
  <c r="CF2" i="110"/>
  <c r="CE2" i="110"/>
  <c r="CD2" i="110"/>
  <c r="BV2" i="110"/>
  <c r="BU2" i="110"/>
  <c r="BR2" i="110"/>
  <c r="BN2" i="110"/>
  <c r="BM2" i="110"/>
  <c r="BJ2" i="110"/>
  <c r="BF2" i="110"/>
  <c r="AU2" i="110"/>
  <c r="AT2" i="110"/>
  <c r="AV36" i="65"/>
  <c r="N41" i="110" s="1"/>
  <c r="AV38" i="65"/>
  <c r="N42" i="110" s="1"/>
  <c r="AV40" i="65"/>
  <c r="N43" i="110"/>
  <c r="AV42" i="65"/>
  <c r="N44" i="110"/>
  <c r="AV44" i="65"/>
  <c r="N45" i="110" s="1"/>
  <c r="AU36" i="65"/>
  <c r="J41" i="110" s="1"/>
  <c r="AU38" i="65"/>
  <c r="J42" i="110" s="1"/>
  <c r="AN42" i="110" s="1"/>
  <c r="AU40" i="65"/>
  <c r="J43" i="110" s="1"/>
  <c r="AN43" i="110" s="1"/>
  <c r="AU42" i="65"/>
  <c r="J44" i="110"/>
  <c r="AU44" i="65"/>
  <c r="J45" i="110"/>
  <c r="AN45" i="110" s="1"/>
  <c r="AK36" i="65"/>
  <c r="M41" i="110" s="1"/>
  <c r="AK38" i="65"/>
  <c r="M42" i="110"/>
  <c r="AK40" i="65"/>
  <c r="M43" i="110" s="1"/>
  <c r="AK42" i="65"/>
  <c r="M44" i="110"/>
  <c r="AK44" i="65"/>
  <c r="M45" i="110"/>
  <c r="AI36" i="65"/>
  <c r="AI38" i="65"/>
  <c r="AI40" i="65"/>
  <c r="AI42" i="65"/>
  <c r="AI44" i="65"/>
  <c r="T36" i="65"/>
  <c r="T38" i="65"/>
  <c r="T40" i="65"/>
  <c r="T42" i="65"/>
  <c r="T44" i="65"/>
  <c r="AV36" i="64"/>
  <c r="N25" i="110" s="1"/>
  <c r="AV38" i="64"/>
  <c r="N26" i="110"/>
  <c r="AV40" i="64"/>
  <c r="N27" i="110"/>
  <c r="AV42" i="64"/>
  <c r="N28" i="110"/>
  <c r="AV44" i="64"/>
  <c r="N29" i="110"/>
  <c r="AU36" i="64"/>
  <c r="J25" i="110" s="1"/>
  <c r="AU38" i="64"/>
  <c r="J26" i="110" s="1"/>
  <c r="AU40" i="64"/>
  <c r="J27" i="110"/>
  <c r="AU42" i="64"/>
  <c r="J28" i="110"/>
  <c r="AU44" i="64"/>
  <c r="J29" i="110"/>
  <c r="AK36" i="64"/>
  <c r="M25" i="110"/>
  <c r="AK38" i="64"/>
  <c r="M26" i="110" s="1"/>
  <c r="AK40" i="64"/>
  <c r="M27" i="110" s="1"/>
  <c r="AK42" i="64"/>
  <c r="M28" i="110" s="1"/>
  <c r="AK44" i="64"/>
  <c r="M29" i="110" s="1"/>
  <c r="AI36" i="64"/>
  <c r="AI38" i="64"/>
  <c r="AI40" i="64"/>
  <c r="AI42" i="64"/>
  <c r="AI44" i="64"/>
  <c r="T36" i="64"/>
  <c r="T38" i="64"/>
  <c r="T40" i="64"/>
  <c r="T42" i="64"/>
  <c r="T44" i="64"/>
  <c r="C157" i="110"/>
  <c r="B157" i="110" s="1"/>
  <c r="C154" i="110"/>
  <c r="B154" i="110" s="1"/>
  <c r="C149" i="110"/>
  <c r="B149" i="110"/>
  <c r="C123" i="110"/>
  <c r="B123" i="110" s="1"/>
  <c r="C120" i="110"/>
  <c r="B120" i="110"/>
  <c r="C119" i="110"/>
  <c r="B119" i="110"/>
  <c r="E133" i="110"/>
  <c r="E132" i="110"/>
  <c r="E116" i="110"/>
  <c r="V12" i="70"/>
  <c r="I37" i="3"/>
  <c r="N37" i="3" s="1"/>
  <c r="J84" i="110"/>
  <c r="C84" i="110" s="1"/>
  <c r="B84" i="110" s="1"/>
  <c r="K44" i="109"/>
  <c r="E64" i="110"/>
  <c r="E68" i="110"/>
  <c r="AZ26" i="13"/>
  <c r="BA26" i="13"/>
  <c r="E71" i="110"/>
  <c r="BA32" i="13"/>
  <c r="AZ32" i="13"/>
  <c r="E67" i="110"/>
  <c r="BA24" i="13"/>
  <c r="AZ24" i="13"/>
  <c r="E70" i="110"/>
  <c r="BA30" i="13"/>
  <c r="AZ30" i="13"/>
  <c r="E66" i="110"/>
  <c r="BA22" i="13"/>
  <c r="AZ22" i="13"/>
  <c r="E72" i="110"/>
  <c r="BA34" i="13"/>
  <c r="AZ34" i="13"/>
  <c r="E69" i="110"/>
  <c r="BA28" i="13"/>
  <c r="AZ28" i="13"/>
  <c r="E65" i="110"/>
  <c r="BA20" i="13"/>
  <c r="AZ20" i="13"/>
  <c r="BA18" i="13"/>
  <c r="J64" i="110"/>
  <c r="C64" i="110" s="1"/>
  <c r="B64" i="110" s="1"/>
  <c r="AZ18" i="13"/>
  <c r="J28" i="51"/>
  <c r="J27" i="51"/>
  <c r="J26" i="51"/>
  <c r="F26" i="51"/>
  <c r="J25" i="51"/>
  <c r="J24" i="51"/>
  <c r="J23" i="51"/>
  <c r="J22" i="51"/>
  <c r="J21" i="51"/>
  <c r="J20" i="51"/>
  <c r="J19" i="51"/>
  <c r="J18" i="51"/>
  <c r="AU56" i="13"/>
  <c r="AU54" i="13"/>
  <c r="AX56" i="13"/>
  <c r="AX54" i="13"/>
  <c r="AW56" i="13"/>
  <c r="AW54" i="13"/>
  <c r="AV56" i="13"/>
  <c r="AV54" i="13"/>
  <c r="E38" i="3"/>
  <c r="E39" i="3"/>
  <c r="E40" i="3"/>
  <c r="E41" i="3"/>
  <c r="E42" i="3"/>
  <c r="R9" i="75"/>
  <c r="R9" i="74"/>
  <c r="R9" i="73"/>
  <c r="R9" i="72"/>
  <c r="Q9" i="71"/>
  <c r="Q9" i="70"/>
  <c r="Z12" i="70"/>
  <c r="A64" i="110"/>
  <c r="U64" i="110"/>
  <c r="A65" i="110"/>
  <c r="U65" i="110"/>
  <c r="A66" i="110"/>
  <c r="U66" i="110"/>
  <c r="A67" i="110"/>
  <c r="U67" i="110"/>
  <c r="A68" i="110"/>
  <c r="U68" i="110"/>
  <c r="A69" i="110"/>
  <c r="U69" i="110"/>
  <c r="A70" i="110"/>
  <c r="U70" i="110"/>
  <c r="A71" i="110"/>
  <c r="U71" i="110"/>
  <c r="A72" i="110"/>
  <c r="U72" i="110"/>
  <c r="A73" i="110"/>
  <c r="U73" i="110"/>
  <c r="A74" i="110"/>
  <c r="U74" i="110"/>
  <c r="A75" i="110"/>
  <c r="U75" i="110"/>
  <c r="A76" i="110"/>
  <c r="U76" i="110"/>
  <c r="A77" i="110"/>
  <c r="U77" i="110"/>
  <c r="G18" i="81"/>
  <c r="A2" i="110"/>
  <c r="AV2" i="110"/>
  <c r="BG2" i="110"/>
  <c r="DR2" i="110"/>
  <c r="DQ2" i="110"/>
  <c r="DP2" i="110"/>
  <c r="DO2" i="110"/>
  <c r="DN2" i="110"/>
  <c r="DM2" i="110"/>
  <c r="DL2" i="110"/>
  <c r="DK2" i="110"/>
  <c r="DJ2" i="110"/>
  <c r="DI2" i="110"/>
  <c r="DH2" i="110"/>
  <c r="DG2" i="110"/>
  <c r="DF2" i="110"/>
  <c r="DE2" i="110"/>
  <c r="DD2" i="110"/>
  <c r="DC2" i="110"/>
  <c r="DB2" i="110"/>
  <c r="DA2" i="110"/>
  <c r="CZ2" i="110"/>
  <c r="CY2" i="110"/>
  <c r="CR2" i="110"/>
  <c r="CM2" i="110"/>
  <c r="J52" i="78"/>
  <c r="U63" i="110"/>
  <c r="A63" i="110"/>
  <c r="U32" i="110"/>
  <c r="W32" i="110"/>
  <c r="K32" i="110"/>
  <c r="Y32" i="110"/>
  <c r="U33" i="110"/>
  <c r="W33" i="110"/>
  <c r="E33" i="110"/>
  <c r="Y33" i="110"/>
  <c r="U34" i="110"/>
  <c r="W34" i="110"/>
  <c r="Y34" i="110"/>
  <c r="U35" i="110"/>
  <c r="W35" i="110"/>
  <c r="E35" i="110" s="1"/>
  <c r="Y35" i="110"/>
  <c r="U36" i="110"/>
  <c r="W36" i="110"/>
  <c r="K36" i="110" s="1"/>
  <c r="Y36" i="110"/>
  <c r="U37" i="110"/>
  <c r="W37" i="110"/>
  <c r="K37" i="110"/>
  <c r="Y37" i="110"/>
  <c r="U38" i="110"/>
  <c r="W38" i="110"/>
  <c r="E38" i="110" s="1"/>
  <c r="Y38" i="110"/>
  <c r="U39" i="110"/>
  <c r="W39" i="110"/>
  <c r="E39" i="110" s="1"/>
  <c r="Y39" i="110"/>
  <c r="U40" i="110"/>
  <c r="W40" i="110"/>
  <c r="Y40" i="110"/>
  <c r="U41" i="110"/>
  <c r="W41" i="110"/>
  <c r="E41" i="110"/>
  <c r="Y41" i="110"/>
  <c r="U42" i="110"/>
  <c r="W42" i="110"/>
  <c r="Y42" i="110"/>
  <c r="U43" i="110"/>
  <c r="W43" i="110"/>
  <c r="K43" i="110"/>
  <c r="Y43" i="110"/>
  <c r="U44" i="110"/>
  <c r="W44" i="110"/>
  <c r="Y44" i="110"/>
  <c r="U45" i="110"/>
  <c r="W45" i="110"/>
  <c r="E45" i="110"/>
  <c r="Y45" i="110"/>
  <c r="L31" i="110"/>
  <c r="G31" i="110"/>
  <c r="H31" i="110"/>
  <c r="I31" i="110"/>
  <c r="Y31" i="110"/>
  <c r="W31" i="110"/>
  <c r="K31" i="110" s="1"/>
  <c r="U31" i="110"/>
  <c r="A31" i="110"/>
  <c r="U16" i="110"/>
  <c r="W16" i="110"/>
  <c r="K16" i="110" s="1"/>
  <c r="Y16" i="110"/>
  <c r="U17" i="110"/>
  <c r="W17" i="110"/>
  <c r="K17" i="110"/>
  <c r="Y17" i="110"/>
  <c r="U18" i="110"/>
  <c r="W18" i="110"/>
  <c r="E18" i="110"/>
  <c r="Y18" i="110"/>
  <c r="U19" i="110"/>
  <c r="W19" i="110"/>
  <c r="E19" i="110" s="1"/>
  <c r="Y19" i="110"/>
  <c r="U20" i="110"/>
  <c r="W20" i="110"/>
  <c r="E20" i="110"/>
  <c r="Y20" i="110"/>
  <c r="U21" i="110"/>
  <c r="W21" i="110"/>
  <c r="Y21" i="110"/>
  <c r="U22" i="110"/>
  <c r="W22" i="110"/>
  <c r="Y22" i="110"/>
  <c r="U23" i="110"/>
  <c r="W23" i="110"/>
  <c r="K23" i="110" s="1"/>
  <c r="Y23" i="110"/>
  <c r="U24" i="110"/>
  <c r="W24" i="110"/>
  <c r="Y24" i="110"/>
  <c r="U25" i="110"/>
  <c r="W25" i="110"/>
  <c r="Y25" i="110"/>
  <c r="U26" i="110"/>
  <c r="W26" i="110"/>
  <c r="E26" i="110" s="1"/>
  <c r="Y26" i="110"/>
  <c r="U27" i="110"/>
  <c r="W27" i="110"/>
  <c r="Y27" i="110"/>
  <c r="U28" i="110"/>
  <c r="W28" i="110"/>
  <c r="K28" i="110" s="1"/>
  <c r="Y28" i="110"/>
  <c r="U29" i="110"/>
  <c r="W29" i="110"/>
  <c r="Y29" i="110"/>
  <c r="L15" i="110"/>
  <c r="G15" i="110"/>
  <c r="H15" i="110"/>
  <c r="I15" i="110"/>
  <c r="Y15" i="110"/>
  <c r="W15" i="110"/>
  <c r="E15" i="110" s="1"/>
  <c r="K15" i="110"/>
  <c r="U15" i="110"/>
  <c r="A15" i="110"/>
  <c r="A5" i="110"/>
  <c r="E32" i="110"/>
  <c r="E31" i="110"/>
  <c r="J73" i="80"/>
  <c r="AH39" i="80"/>
  <c r="AE39" i="80"/>
  <c r="V39" i="80"/>
  <c r="J39" i="80"/>
  <c r="AB37" i="80"/>
  <c r="S37" i="80"/>
  <c r="J37" i="80"/>
  <c r="AD35" i="80"/>
  <c r="W35" i="80"/>
  <c r="J35" i="80"/>
  <c r="AH25" i="80"/>
  <c r="AE25" i="80"/>
  <c r="V25" i="80"/>
  <c r="J25" i="80"/>
  <c r="AB23" i="80"/>
  <c r="S23" i="80"/>
  <c r="J23" i="80"/>
  <c r="AD21" i="80"/>
  <c r="W21" i="80"/>
  <c r="J21" i="80"/>
  <c r="J19" i="80"/>
  <c r="N17" i="80"/>
  <c r="E25" i="3"/>
  <c r="U42" i="81"/>
  <c r="U41" i="81"/>
  <c r="AP28" i="81"/>
  <c r="AI26" i="81"/>
  <c r="AN25" i="81"/>
  <c r="AI25" i="81"/>
  <c r="N28" i="81"/>
  <c r="L25" i="81"/>
  <c r="Z24" i="81"/>
  <c r="G45" i="81"/>
  <c r="G44" i="81"/>
  <c r="G40" i="81"/>
  <c r="G38" i="81"/>
  <c r="G35" i="81"/>
  <c r="G19" i="81"/>
  <c r="G17" i="81"/>
  <c r="L16" i="81"/>
  <c r="G16" i="81"/>
  <c r="L15" i="81"/>
  <c r="G15" i="81"/>
  <c r="G14" i="81"/>
  <c r="X6" i="109"/>
  <c r="W6" i="109"/>
  <c r="V6" i="109"/>
  <c r="U6" i="109"/>
  <c r="T6" i="109"/>
  <c r="S6" i="109"/>
  <c r="R6" i="109"/>
  <c r="Q6" i="109"/>
  <c r="P6" i="109"/>
  <c r="B72" i="3"/>
  <c r="B182" i="3"/>
  <c r="R9" i="13"/>
  <c r="R9" i="67"/>
  <c r="R9" i="66"/>
  <c r="R9" i="65"/>
  <c r="R9" i="62"/>
  <c r="R9" i="12"/>
  <c r="F37" i="3"/>
  <c r="T2" i="3"/>
  <c r="X9" i="109"/>
  <c r="W9" i="109"/>
  <c r="V9" i="109"/>
  <c r="U9" i="109"/>
  <c r="T9" i="109"/>
  <c r="S9" i="109"/>
  <c r="R9" i="109"/>
  <c r="Q9" i="109"/>
  <c r="P9" i="109"/>
  <c r="X5" i="109"/>
  <c r="W5" i="109"/>
  <c r="V5" i="109"/>
  <c r="U5" i="109"/>
  <c r="T5" i="109"/>
  <c r="S5" i="109"/>
  <c r="R5" i="109"/>
  <c r="Q5" i="109"/>
  <c r="P5" i="109"/>
  <c r="X7" i="109"/>
  <c r="V7" i="109"/>
  <c r="AD27" i="79"/>
  <c r="AD26" i="78"/>
  <c r="U7" i="109"/>
  <c r="AD26" i="79"/>
  <c r="AD25" i="78"/>
  <c r="AD32" i="79"/>
  <c r="AD31" i="79"/>
  <c r="AD30" i="79"/>
  <c r="S29" i="80"/>
  <c r="V31" i="80"/>
  <c r="AB29" i="80"/>
  <c r="AH31" i="80"/>
  <c r="J31" i="80"/>
  <c r="J29" i="80"/>
  <c r="AE31" i="80"/>
  <c r="N37" i="81"/>
  <c r="U8" i="109"/>
  <c r="V8" i="109"/>
  <c r="X8" i="109"/>
  <c r="W8" i="109"/>
  <c r="B135" i="3"/>
  <c r="B81" i="3"/>
  <c r="E34" i="3"/>
  <c r="E35" i="3"/>
  <c r="E36" i="3"/>
  <c r="E37" i="3"/>
  <c r="E27" i="3"/>
  <c r="E28" i="3"/>
  <c r="E30" i="3"/>
  <c r="E31" i="3"/>
  <c r="E32" i="3"/>
  <c r="E26" i="3"/>
  <c r="B1" i="3"/>
  <c r="AU44" i="68"/>
  <c r="AO44" i="68"/>
  <c r="AK44" i="68"/>
  <c r="AI44" i="68"/>
  <c r="T44" i="68"/>
  <c r="N44" i="68"/>
  <c r="AU42" i="68"/>
  <c r="AO42" i="68"/>
  <c r="AK42" i="68"/>
  <c r="AI42" i="68"/>
  <c r="T42" i="68"/>
  <c r="N42" i="68"/>
  <c r="AU40" i="68"/>
  <c r="AO40" i="68"/>
  <c r="AK40" i="68"/>
  <c r="AI40" i="68"/>
  <c r="T40" i="68"/>
  <c r="N40" i="68"/>
  <c r="AU38" i="68"/>
  <c r="AO38" i="68"/>
  <c r="AK38" i="68"/>
  <c r="AI38" i="68"/>
  <c r="T38" i="68"/>
  <c r="N38" i="68"/>
  <c r="AU36" i="68"/>
  <c r="AO36" i="68"/>
  <c r="AK36" i="68"/>
  <c r="AI36" i="68"/>
  <c r="T36" i="68"/>
  <c r="N36" i="68"/>
  <c r="AU34" i="68"/>
  <c r="AO34" i="68"/>
  <c r="AK34" i="68"/>
  <c r="AI34" i="68"/>
  <c r="T34" i="68"/>
  <c r="N34" i="68"/>
  <c r="AU32" i="68"/>
  <c r="AO32" i="68"/>
  <c r="AK32" i="68"/>
  <c r="AI32" i="68"/>
  <c r="T32" i="68"/>
  <c r="N32" i="68"/>
  <c r="AU30" i="68"/>
  <c r="AK30" i="68"/>
  <c r="AI30" i="68"/>
  <c r="T30" i="68"/>
  <c r="N30" i="68"/>
  <c r="AU28" i="68"/>
  <c r="AO28" i="68"/>
  <c r="AK28" i="68"/>
  <c r="AI28" i="68"/>
  <c r="T28" i="68"/>
  <c r="N28" i="68"/>
  <c r="AU26" i="68"/>
  <c r="AO26" i="68"/>
  <c r="AK26" i="68"/>
  <c r="AI26" i="68"/>
  <c r="T26" i="68"/>
  <c r="N26" i="68"/>
  <c r="AU24" i="68"/>
  <c r="AO24" i="68"/>
  <c r="AK24" i="68"/>
  <c r="AI24" i="68"/>
  <c r="T24" i="68"/>
  <c r="N24" i="68"/>
  <c r="AU22" i="68"/>
  <c r="AO22" i="68"/>
  <c r="AK22" i="68"/>
  <c r="AI22" i="68"/>
  <c r="T22" i="68"/>
  <c r="N22" i="68"/>
  <c r="AU20" i="68"/>
  <c r="AO20" i="68"/>
  <c r="AK20" i="68"/>
  <c r="AI20" i="68"/>
  <c r="T20" i="68"/>
  <c r="N20" i="68"/>
  <c r="AU18" i="68"/>
  <c r="AO18" i="68"/>
  <c r="AK18" i="68"/>
  <c r="AI18" i="68"/>
  <c r="T18" i="68"/>
  <c r="N18" i="68"/>
  <c r="AU16" i="68"/>
  <c r="AU200" i="68"/>
  <c r="V12" i="68" s="1"/>
  <c r="I33" i="3" s="1"/>
  <c r="N33" i="3" s="1"/>
  <c r="AO16" i="68"/>
  <c r="AK16" i="68"/>
  <c r="AI16" i="68"/>
  <c r="T16" i="68"/>
  <c r="N16" i="68"/>
  <c r="AO44" i="65"/>
  <c r="O45" i="110" s="1"/>
  <c r="AJ45" i="110" s="1"/>
  <c r="N44" i="65"/>
  <c r="AO42" i="65"/>
  <c r="O44" i="110"/>
  <c r="N42" i="65"/>
  <c r="AO40" i="65"/>
  <c r="O43" i="110" s="1"/>
  <c r="AK43" i="110" s="1"/>
  <c r="N40" i="65"/>
  <c r="AO38" i="65"/>
  <c r="O42" i="110" s="1"/>
  <c r="N38" i="65"/>
  <c r="AO36" i="65"/>
  <c r="O41" i="110" s="1"/>
  <c r="N36" i="65"/>
  <c r="AO44" i="64"/>
  <c r="O29" i="110" s="1"/>
  <c r="C29" i="110" s="1"/>
  <c r="B29" i="110" s="1"/>
  <c r="N44" i="64"/>
  <c r="AO42" i="64"/>
  <c r="O28" i="110" s="1"/>
  <c r="AK28" i="110" s="1"/>
  <c r="N42" i="64"/>
  <c r="AO40" i="64"/>
  <c r="O27" i="110"/>
  <c r="N40" i="64"/>
  <c r="AO38" i="64"/>
  <c r="O26" i="110" s="1"/>
  <c r="C26" i="110" s="1"/>
  <c r="B26" i="110" s="1"/>
  <c r="N38" i="64"/>
  <c r="AO36" i="64"/>
  <c r="O25" i="110" s="1"/>
  <c r="AL25" i="110" s="1"/>
  <c r="N36" i="64"/>
  <c r="J15" i="110"/>
  <c r="P46" i="3"/>
  <c r="AO30" i="68"/>
  <c r="R12" i="108"/>
  <c r="R13" i="108" s="1"/>
  <c r="R14" i="108" s="1"/>
  <c r="R15" i="108" s="1"/>
  <c r="R16" i="108" s="1"/>
  <c r="R17" i="108" s="1"/>
  <c r="R18" i="108" s="1"/>
  <c r="R19" i="108" s="1"/>
  <c r="R20" i="108" s="1"/>
  <c r="R21" i="108" s="1"/>
  <c r="G26" i="3"/>
  <c r="I26" i="3"/>
  <c r="N26" i="3" s="1"/>
  <c r="Z12" i="67"/>
  <c r="H32" i="3"/>
  <c r="AU200" i="62"/>
  <c r="AV200" i="62"/>
  <c r="G27" i="3" s="1"/>
  <c r="I31" i="3"/>
  <c r="N31" i="3" s="1"/>
  <c r="P44" i="3"/>
  <c r="W202" i="82"/>
  <c r="B202" i="82"/>
  <c r="B201" i="82"/>
  <c r="B200" i="82"/>
  <c r="W202" i="81"/>
  <c r="B202" i="81"/>
  <c r="B201" i="81"/>
  <c r="M200" i="81"/>
  <c r="B200" i="81"/>
  <c r="W202" i="80"/>
  <c r="B202" i="80"/>
  <c r="B201" i="80"/>
  <c r="M200" i="80"/>
  <c r="B200" i="80"/>
  <c r="W202" i="79"/>
  <c r="B202" i="79"/>
  <c r="B201" i="79"/>
  <c r="M200" i="79"/>
  <c r="B200" i="79"/>
  <c r="W202" i="78"/>
  <c r="B202" i="78"/>
  <c r="B201" i="78"/>
  <c r="B200" i="78"/>
  <c r="W202" i="77"/>
  <c r="B202" i="77"/>
  <c r="B201" i="77"/>
  <c r="M200" i="77"/>
  <c r="B200" i="77"/>
  <c r="W202" i="76"/>
  <c r="B202" i="76"/>
  <c r="B201" i="76"/>
  <c r="M200" i="76"/>
  <c r="B200" i="76"/>
  <c r="W202" i="14"/>
  <c r="B202" i="14"/>
  <c r="B201" i="14"/>
  <c r="M200" i="14"/>
  <c r="B200" i="14"/>
  <c r="W202" i="75"/>
  <c r="B202" i="75"/>
  <c r="B201" i="75"/>
  <c r="B200" i="75"/>
  <c r="W202" i="74"/>
  <c r="B202" i="74"/>
  <c r="B201" i="74"/>
  <c r="M200" i="74"/>
  <c r="B200" i="74"/>
  <c r="W202" i="73"/>
  <c r="B202" i="73"/>
  <c r="B201" i="73"/>
  <c r="M200" i="73"/>
  <c r="B200" i="73"/>
  <c r="W202" i="72"/>
  <c r="B202" i="72"/>
  <c r="B201" i="72"/>
  <c r="M200" i="72"/>
  <c r="B200" i="72"/>
  <c r="W202" i="71"/>
  <c r="B202" i="71"/>
  <c r="B201" i="71"/>
  <c r="B200" i="71"/>
  <c r="W202" i="70"/>
  <c r="B202" i="70"/>
  <c r="B201" i="70"/>
  <c r="M200" i="70"/>
  <c r="B200" i="70"/>
  <c r="W202" i="13"/>
  <c r="B202" i="13"/>
  <c r="B201" i="13"/>
  <c r="M200" i="13"/>
  <c r="B200" i="13"/>
  <c r="W202" i="68"/>
  <c r="B202" i="68"/>
  <c r="B201" i="68"/>
  <c r="B200" i="68"/>
  <c r="W202" i="67"/>
  <c r="B202" i="67"/>
  <c r="B201" i="67"/>
  <c r="M200" i="67"/>
  <c r="B200" i="67"/>
  <c r="W202" i="66"/>
  <c r="B202" i="66"/>
  <c r="B201" i="66"/>
  <c r="M200" i="66"/>
  <c r="B200" i="66"/>
  <c r="W202" i="65"/>
  <c r="B202" i="65"/>
  <c r="B201" i="65"/>
  <c r="M200" i="65"/>
  <c r="B200" i="65"/>
  <c r="W202" i="64"/>
  <c r="B202" i="64"/>
  <c r="B201" i="64"/>
  <c r="B200" i="64"/>
  <c r="W202" i="62"/>
  <c r="B202" i="62"/>
  <c r="B201" i="62"/>
  <c r="M200" i="62"/>
  <c r="B200" i="62"/>
  <c r="W202" i="12"/>
  <c r="B202" i="12"/>
  <c r="B201" i="12"/>
  <c r="M200" i="12"/>
  <c r="B200" i="12"/>
  <c r="W202" i="58"/>
  <c r="B202" i="58"/>
  <c r="B201" i="58"/>
  <c r="B200" i="58"/>
  <c r="W202" i="57"/>
  <c r="B202" i="57"/>
  <c r="B201" i="57"/>
  <c r="M200" i="57"/>
  <c r="B200" i="57"/>
  <c r="W202" i="56"/>
  <c r="B202" i="56"/>
  <c r="B201" i="56"/>
  <c r="M200" i="56"/>
  <c r="B200" i="56"/>
  <c r="W202" i="55"/>
  <c r="B202" i="55"/>
  <c r="B201" i="55"/>
  <c r="M200" i="55"/>
  <c r="B200" i="55"/>
  <c r="W202" i="9"/>
  <c r="B202" i="9"/>
  <c r="B201" i="9"/>
  <c r="B200" i="9"/>
  <c r="W202" i="52"/>
  <c r="B202" i="52"/>
  <c r="B201" i="52"/>
  <c r="M200" i="52"/>
  <c r="B200" i="52"/>
  <c r="W202" i="51"/>
  <c r="B202" i="51"/>
  <c r="B201" i="51"/>
  <c r="M200" i="51"/>
  <c r="B200" i="51"/>
  <c r="W202" i="50"/>
  <c r="B202" i="50"/>
  <c r="B201" i="50"/>
  <c r="M200" i="50"/>
  <c r="B200" i="50"/>
  <c r="W202" i="49"/>
  <c r="B202" i="49"/>
  <c r="B201" i="49"/>
  <c r="B200" i="49"/>
  <c r="W202" i="48"/>
  <c r="M200" i="48"/>
  <c r="B202" i="48"/>
  <c r="B201" i="48"/>
  <c r="B200" i="48"/>
  <c r="R9" i="82"/>
  <c r="BB30" i="74"/>
  <c r="AN155" i="110" s="1"/>
  <c r="BB32" i="75"/>
  <c r="AN172" i="110" s="1"/>
  <c r="BB20" i="73"/>
  <c r="AN134" i="110" s="1"/>
  <c r="BB34" i="13"/>
  <c r="AN72" i="110" s="1"/>
  <c r="BB22" i="13"/>
  <c r="AN66" i="110" s="1"/>
  <c r="C174" i="110"/>
  <c r="B174" i="110" s="1"/>
  <c r="AH122" i="110"/>
  <c r="C178" i="110"/>
  <c r="B178" i="110" s="1"/>
  <c r="K49" i="110"/>
  <c r="K34" i="110"/>
  <c r="BA30" i="74"/>
  <c r="AV16" i="13"/>
  <c r="AZ16" i="74"/>
  <c r="K51" i="110"/>
  <c r="C101" i="110"/>
  <c r="B101" i="110"/>
  <c r="C104" i="110"/>
  <c r="B104" i="110" s="1"/>
  <c r="C108" i="110"/>
  <c r="B108" i="110"/>
  <c r="C109" i="110"/>
  <c r="B109" i="110" s="1"/>
  <c r="C118" i="110"/>
  <c r="B118" i="110"/>
  <c r="C135" i="110"/>
  <c r="B135" i="110" s="1"/>
  <c r="C140" i="110"/>
  <c r="B140" i="110"/>
  <c r="C88" i="110"/>
  <c r="B88" i="110"/>
  <c r="C91" i="110"/>
  <c r="B91" i="110"/>
  <c r="AZ22" i="72"/>
  <c r="AZ20" i="72"/>
  <c r="BA20" i="73"/>
  <c r="E136" i="110"/>
  <c r="E89" i="110"/>
  <c r="AZ26" i="73"/>
  <c r="BA26" i="73"/>
  <c r="AZ22" i="74"/>
  <c r="BA24" i="73"/>
  <c r="BA22" i="73"/>
  <c r="E106" i="110"/>
  <c r="AZ20" i="73"/>
  <c r="AZ26" i="71"/>
  <c r="AZ34" i="72"/>
  <c r="AZ30" i="71"/>
  <c r="AZ24" i="70"/>
  <c r="BA34" i="72"/>
  <c r="E148" i="110"/>
  <c r="BA16" i="74"/>
  <c r="BA28" i="73"/>
  <c r="AZ32" i="71"/>
  <c r="BA24" i="70"/>
  <c r="E141" i="110"/>
  <c r="AZ18" i="74"/>
  <c r="BA30" i="73"/>
  <c r="BA18" i="74"/>
  <c r="E157" i="110"/>
  <c r="E117" i="110"/>
  <c r="C116" i="110"/>
  <c r="B116" i="110" s="1"/>
  <c r="AZ32" i="74"/>
  <c r="AZ32" i="73"/>
  <c r="BA20" i="72"/>
  <c r="BA22" i="72"/>
  <c r="E140" i="110"/>
  <c r="E108" i="110"/>
  <c r="AZ26" i="72"/>
  <c r="AZ30" i="74"/>
  <c r="AZ28" i="71"/>
  <c r="AZ34" i="71"/>
  <c r="BA28" i="72"/>
  <c r="BA30" i="72"/>
  <c r="BA24" i="74"/>
  <c r="E152" i="110"/>
  <c r="E122" i="110"/>
  <c r="E153" i="110"/>
  <c r="E105" i="110"/>
  <c r="AZ30" i="72"/>
  <c r="AZ34" i="70"/>
  <c r="AZ28" i="70"/>
  <c r="BA26" i="70"/>
  <c r="BA28" i="70"/>
  <c r="BA30" i="70"/>
  <c r="BA32" i="70"/>
  <c r="BA34" i="70"/>
  <c r="BA30" i="71"/>
  <c r="AZ28" i="73"/>
  <c r="BA32" i="74"/>
  <c r="BA34" i="74"/>
  <c r="AZ20" i="71"/>
  <c r="E87" i="110"/>
  <c r="BA18" i="71"/>
  <c r="BA26" i="74"/>
  <c r="E121" i="110"/>
  <c r="E151" i="110"/>
  <c r="E101" i="110"/>
  <c r="AN14" i="110"/>
  <c r="BB24" i="74"/>
  <c r="AN152" i="110" s="1"/>
  <c r="BB28" i="71"/>
  <c r="AN106" i="110" s="1"/>
  <c r="BB26" i="13"/>
  <c r="AN68" i="110" s="1"/>
  <c r="BB32" i="74"/>
  <c r="AN156" i="110" s="1"/>
  <c r="AN46" i="110"/>
  <c r="BB32" i="73"/>
  <c r="AN140" i="110" s="1"/>
  <c r="BB26" i="70"/>
  <c r="AN89" i="110" s="1"/>
  <c r="BB34" i="70"/>
  <c r="AN93" i="110" s="1"/>
  <c r="BB24" i="72"/>
  <c r="AN120" i="110" s="1"/>
  <c r="BB26" i="74"/>
  <c r="AN153" i="110" s="1"/>
  <c r="BB24" i="13"/>
  <c r="AN67" i="110" s="1"/>
  <c r="BB32" i="13"/>
  <c r="AN71" i="110" s="1"/>
  <c r="AN9" i="110"/>
  <c r="BB22" i="72"/>
  <c r="AN119" i="110" s="1"/>
  <c r="BB16" i="74"/>
  <c r="AN148" i="110" s="1"/>
  <c r="BB30" i="70"/>
  <c r="AN91" i="110" s="1"/>
  <c r="BB24" i="70"/>
  <c r="AN88" i="110" s="1"/>
  <c r="BB28" i="73"/>
  <c r="AN138" i="110" s="1"/>
  <c r="BB34" i="74"/>
  <c r="AN157" i="110" s="1"/>
  <c r="BB26" i="71"/>
  <c r="AN105" i="110" s="1"/>
  <c r="BB34" i="73"/>
  <c r="AN141" i="110" s="1"/>
  <c r="BB18" i="73"/>
  <c r="AN133" i="110" s="1"/>
  <c r="L46" i="81"/>
  <c r="BB30" i="13"/>
  <c r="AN70" i="110" s="1"/>
  <c r="BB34" i="72"/>
  <c r="AN125" i="110" s="1"/>
  <c r="BB16" i="73"/>
  <c r="AN132" i="110" s="1"/>
  <c r="BB18" i="74"/>
  <c r="AN149" i="110" s="1"/>
  <c r="BB28" i="72"/>
  <c r="AN122" i="110" s="1"/>
  <c r="BB16" i="71"/>
  <c r="AN100" i="110" s="1"/>
  <c r="BB30" i="72"/>
  <c r="AN123" i="110" s="1"/>
  <c r="BB18" i="71"/>
  <c r="AN101" i="110" s="1"/>
  <c r="BB20" i="71"/>
  <c r="AN102" i="110" s="1"/>
  <c r="BB18" i="13"/>
  <c r="AN64" i="110" s="1"/>
  <c r="AN7" i="110"/>
  <c r="BB20" i="13"/>
  <c r="AN65" i="110" s="1"/>
  <c r="BB28" i="13"/>
  <c r="AN69" i="110" s="1"/>
  <c r="AN30" i="110"/>
  <c r="BB32" i="71"/>
  <c r="AN108" i="110" s="1"/>
  <c r="BB24" i="73"/>
  <c r="AN136" i="110" s="1"/>
  <c r="BB28" i="70"/>
  <c r="AN90" i="110" s="1"/>
  <c r="BB30" i="71"/>
  <c r="AN107" i="110" s="1"/>
  <c r="BB26" i="73"/>
  <c r="AN137" i="110" s="1"/>
  <c r="BB20" i="72"/>
  <c r="AN118" i="110" s="1"/>
  <c r="BB26" i="72"/>
  <c r="AN121" i="110" s="1"/>
  <c r="BB22" i="74"/>
  <c r="AN151" i="110" s="1"/>
  <c r="AH168" i="110"/>
  <c r="F174" i="110"/>
  <c r="K178" i="110"/>
  <c r="AE154" i="110"/>
  <c r="Q150" i="110"/>
  <c r="Q154" i="110"/>
  <c r="M200" i="49"/>
  <c r="M200" i="9"/>
  <c r="M200" i="58"/>
  <c r="M200" i="64"/>
  <c r="M200" i="68"/>
  <c r="M200" i="71"/>
  <c r="M200" i="75"/>
  <c r="M200" i="78"/>
  <c r="M200" i="82"/>
  <c r="S164" i="110"/>
  <c r="AG164" i="110"/>
  <c r="AM164" i="110"/>
  <c r="E43" i="110"/>
  <c r="Z12" i="12"/>
  <c r="AV18" i="12"/>
  <c r="BA16" i="70"/>
  <c r="BB16" i="70"/>
  <c r="AN84" i="110" s="1"/>
  <c r="AZ16" i="70"/>
  <c r="BA18" i="70"/>
  <c r="AZ18" i="70"/>
  <c r="BB18" i="70"/>
  <c r="AN85" i="110" s="1"/>
  <c r="BA20" i="70"/>
  <c r="BB20" i="70"/>
  <c r="AN86" i="110" s="1"/>
  <c r="AZ32" i="70"/>
  <c r="BB32" i="70"/>
  <c r="AN92" i="110" s="1"/>
  <c r="J92" i="110"/>
  <c r="C92" i="110" s="1"/>
  <c r="B92" i="110" s="1"/>
  <c r="BA22" i="71"/>
  <c r="BB22" i="71"/>
  <c r="AN103" i="110" s="1"/>
  <c r="AZ22" i="71"/>
  <c r="AZ24" i="71"/>
  <c r="BA24" i="71"/>
  <c r="BB24" i="71"/>
  <c r="AN104" i="110" s="1"/>
  <c r="BA32" i="72"/>
  <c r="AZ32" i="72"/>
  <c r="BB32" i="72"/>
  <c r="AN124" i="110" s="1"/>
  <c r="BA28" i="74"/>
  <c r="BB28" i="74"/>
  <c r="AN154" i="110" s="1"/>
  <c r="AZ28" i="74"/>
  <c r="Z12" i="74"/>
  <c r="F41" i="3"/>
  <c r="AU200" i="64"/>
  <c r="V12" i="64"/>
  <c r="I29" i="3" s="1"/>
  <c r="AU200" i="65"/>
  <c r="V12" i="65"/>
  <c r="I30" i="3" s="1"/>
  <c r="N30" i="3" s="1"/>
  <c r="K35" i="110"/>
  <c r="AH128" i="110"/>
  <c r="AH162" i="110"/>
  <c r="AH155" i="110"/>
  <c r="E58" i="110"/>
  <c r="K58" i="110"/>
  <c r="K50" i="110"/>
  <c r="E50" i="110"/>
  <c r="R9" i="64"/>
  <c r="R9" i="68"/>
  <c r="E33" i="3"/>
  <c r="BB34" i="71"/>
  <c r="AN109" i="110" s="1"/>
  <c r="BA34" i="71"/>
  <c r="V12" i="72"/>
  <c r="I39" i="3" s="1"/>
  <c r="N39" i="3" s="1"/>
  <c r="AZ18" i="72"/>
  <c r="BB18" i="72"/>
  <c r="AN117" i="110" s="1"/>
  <c r="AZ22" i="73"/>
  <c r="BB22" i="73"/>
  <c r="AN135" i="110" s="1"/>
  <c r="R66" i="62"/>
  <c r="K23" i="62" s="1"/>
  <c r="AH143" i="110"/>
  <c r="AU200" i="66"/>
  <c r="AH102" i="110"/>
  <c r="AH124" i="110"/>
  <c r="AR200" i="79"/>
  <c r="AR200" i="14"/>
  <c r="AR200" i="72"/>
  <c r="AR200" i="66"/>
  <c r="AR200" i="62"/>
  <c r="AR200" i="78"/>
  <c r="AR200" i="71"/>
  <c r="AR200" i="65"/>
  <c r="AR200" i="56"/>
  <c r="AR200" i="51"/>
  <c r="AR200" i="114"/>
  <c r="AR200" i="81"/>
  <c r="AR200" i="76"/>
  <c r="AR200" i="74"/>
  <c r="AR200" i="68"/>
  <c r="AR200" i="12"/>
  <c r="AR200" i="55"/>
  <c r="K55" i="110"/>
  <c r="E55" i="110"/>
  <c r="AM66" i="62"/>
  <c r="AF23" i="62"/>
  <c r="Z12" i="72"/>
  <c r="F39" i="3" s="1"/>
  <c r="BA16" i="72"/>
  <c r="AZ16" i="72"/>
  <c r="BB16" i="72"/>
  <c r="AN116" i="110" s="1"/>
  <c r="AD42" i="78"/>
  <c r="R12" i="12"/>
  <c r="AZ16" i="71"/>
  <c r="BA16" i="71"/>
  <c r="Z12" i="73"/>
  <c r="F40" i="3"/>
  <c r="BA18" i="73"/>
  <c r="AZ30" i="73"/>
  <c r="BB30" i="73"/>
  <c r="AN139" i="110" s="1"/>
  <c r="AH141" i="110"/>
  <c r="AR201" i="80"/>
  <c r="AR201" i="76"/>
  <c r="AR201" i="73"/>
  <c r="AR201" i="67"/>
  <c r="AR201" i="52"/>
  <c r="AR201" i="57"/>
  <c r="AR201" i="12"/>
  <c r="AR201" i="68"/>
  <c r="AR201" i="74"/>
  <c r="AR201" i="81"/>
  <c r="AZ20" i="70"/>
  <c r="AZ22" i="70"/>
  <c r="BB22" i="70"/>
  <c r="AN87" i="110" s="1"/>
  <c r="BA24" i="72"/>
  <c r="AZ24" i="72"/>
  <c r="BA20" i="74"/>
  <c r="BB20" i="74"/>
  <c r="AN150" i="110" s="1"/>
  <c r="AZ20" i="74"/>
  <c r="AL54" i="110"/>
  <c r="V12" i="71"/>
  <c r="I38" i="3"/>
  <c r="N38" i="3" s="1"/>
  <c r="P135" i="110"/>
  <c r="AE165" i="110"/>
  <c r="M165" i="110"/>
  <c r="V12" i="73"/>
  <c r="I40" i="3"/>
  <c r="N40" i="3" s="1"/>
  <c r="AG172" i="110"/>
  <c r="F177" i="110"/>
  <c r="K177" i="110"/>
  <c r="S168" i="110"/>
  <c r="S171" i="110"/>
  <c r="S167" i="110"/>
  <c r="AG171" i="110"/>
  <c r="S170" i="110"/>
  <c r="S166" i="110"/>
  <c r="AH177" i="110"/>
  <c r="AF165" i="110"/>
  <c r="AH165" i="110" s="1"/>
  <c r="P68" i="110"/>
  <c r="S165" i="110"/>
  <c r="J165" i="110"/>
  <c r="K165" i="110" s="1"/>
  <c r="E34" i="110"/>
  <c r="K38" i="110"/>
  <c r="K41" i="110"/>
  <c r="K48" i="110"/>
  <c r="K52" i="110"/>
  <c r="E52" i="110"/>
  <c r="K33" i="110"/>
  <c r="E37" i="110"/>
  <c r="K45" i="110"/>
  <c r="AL53" i="110"/>
  <c r="K60" i="110"/>
  <c r="AI146" i="110"/>
  <c r="O150" i="110"/>
  <c r="O136" i="110"/>
  <c r="M154" i="110"/>
  <c r="L150" i="110"/>
  <c r="AI150" i="110" s="1"/>
  <c r="O85" i="110"/>
  <c r="P136" i="110"/>
  <c r="O154" i="110"/>
  <c r="O165" i="110"/>
  <c r="N165" i="110"/>
  <c r="AE118" i="110"/>
  <c r="L165" i="110"/>
  <c r="AI165" i="110" s="1"/>
  <c r="P102" i="110"/>
  <c r="AE109" i="110"/>
  <c r="N101" i="110"/>
  <c r="L101" i="110"/>
  <c r="AI101" i="110" s="1"/>
  <c r="AE84" i="110"/>
  <c r="BD2" i="110"/>
  <c r="O101" i="110"/>
  <c r="P107" i="110"/>
  <c r="N107" i="110"/>
  <c r="O107" i="110"/>
  <c r="M72" i="110"/>
  <c r="O64" i="110"/>
  <c r="N89" i="110"/>
  <c r="O105" i="110"/>
  <c r="P89" i="110"/>
  <c r="Q124" i="110"/>
  <c r="AE124" i="110"/>
  <c r="N124" i="110"/>
  <c r="L120" i="110"/>
  <c r="AI120" i="110" s="1"/>
  <c r="M120" i="110"/>
  <c r="AE120" i="110"/>
  <c r="N140" i="110"/>
  <c r="N136" i="110"/>
  <c r="R136" i="110"/>
  <c r="L132" i="110"/>
  <c r="AI132" i="110" s="1"/>
  <c r="P132" i="110"/>
  <c r="L123" i="110"/>
  <c r="AI123" i="110" s="1"/>
  <c r="M123" i="110"/>
  <c r="O123" i="110"/>
  <c r="L119" i="110"/>
  <c r="AI119" i="110" s="1"/>
  <c r="M119" i="110"/>
  <c r="O119" i="110"/>
  <c r="N72" i="110"/>
  <c r="N68" i="110"/>
  <c r="AE68" i="110"/>
  <c r="O72" i="110"/>
  <c r="L72" i="110"/>
  <c r="AI72" i="110" s="1"/>
  <c r="O140" i="110"/>
  <c r="P140" i="110"/>
  <c r="N132" i="110"/>
  <c r="AE119" i="110"/>
  <c r="L140" i="110"/>
  <c r="AI140" i="110" s="1"/>
  <c r="Q155" i="110"/>
  <c r="L135" i="110"/>
  <c r="AI135" i="110" s="1"/>
  <c r="Q135" i="110"/>
  <c r="O135" i="110"/>
  <c r="L118" i="110"/>
  <c r="AI118" i="110" s="1"/>
  <c r="N118" i="110"/>
  <c r="N93" i="110"/>
  <c r="O68" i="110"/>
  <c r="M68" i="110"/>
  <c r="P72" i="110"/>
  <c r="L68" i="110"/>
  <c r="AI68" i="110" s="1"/>
  <c r="AE140" i="110"/>
  <c r="M136" i="110"/>
  <c r="M132" i="110"/>
  <c r="N123" i="110"/>
  <c r="R119" i="110"/>
  <c r="P119" i="110"/>
  <c r="L136" i="110"/>
  <c r="AI136" i="110" s="1"/>
  <c r="P105" i="110"/>
  <c r="L89" i="110"/>
  <c r="AI89" i="110" s="1"/>
  <c r="AN16" i="75"/>
  <c r="L164" i="110" s="1"/>
  <c r="AI164" i="110" s="1"/>
  <c r="F165" i="110"/>
  <c r="C165" i="110"/>
  <c r="B165" i="110"/>
  <c r="J37" i="76"/>
  <c r="L39" i="14"/>
  <c r="J26" i="3"/>
  <c r="J172" i="110"/>
  <c r="C172" i="110"/>
  <c r="B172" i="110" s="1"/>
  <c r="J164" i="110"/>
  <c r="F164" i="110"/>
  <c r="F4" i="110"/>
  <c r="EV2" i="110"/>
  <c r="G41" i="81"/>
  <c r="F5" i="110"/>
  <c r="F8" i="110"/>
  <c r="CA2" i="110"/>
  <c r="K26" i="110"/>
  <c r="AR200" i="50"/>
  <c r="AR201" i="9"/>
  <c r="AR201" i="56"/>
  <c r="AR201" i="65"/>
  <c r="AR200" i="67"/>
  <c r="AR201" i="13"/>
  <c r="AR200" i="70"/>
  <c r="AR200" i="77"/>
  <c r="BA32" i="73"/>
  <c r="AR200" i="64"/>
  <c r="AR201" i="70"/>
  <c r="AR201" i="72"/>
  <c r="AR201" i="14"/>
  <c r="AR201" i="77"/>
  <c r="AR201" i="79"/>
  <c r="Z12" i="71"/>
  <c r="F38" i="3" s="1"/>
  <c r="AR201" i="49"/>
  <c r="AR201" i="55"/>
  <c r="AR200" i="57"/>
  <c r="AR201" i="62"/>
  <c r="AR201" i="64"/>
  <c r="AR201" i="66"/>
  <c r="AR200" i="75"/>
  <c r="AR200" i="82"/>
  <c r="AI94" i="110"/>
  <c r="AI111" i="110"/>
  <c r="AI158" i="110"/>
  <c r="AR201" i="51"/>
  <c r="AR200" i="9"/>
  <c r="AR200" i="13"/>
  <c r="AR201" i="71"/>
  <c r="AR200" i="73"/>
  <c r="AR201" i="75"/>
  <c r="AR201" i="78"/>
  <c r="AR201" i="82"/>
  <c r="V69" i="12"/>
  <c r="BA26" i="72"/>
  <c r="AV22" i="75"/>
  <c r="AW22" i="75"/>
  <c r="AF167" i="110"/>
  <c r="AH167" i="110" s="1"/>
  <c r="AK20" i="75"/>
  <c r="J166" i="110" s="1"/>
  <c r="AK34" i="75"/>
  <c r="J173" i="110" s="1"/>
  <c r="AX24" i="75"/>
  <c r="AG168" i="110" s="1"/>
  <c r="AX28" i="75"/>
  <c r="AG170" i="110"/>
  <c r="AN20" i="75"/>
  <c r="AY34" i="75"/>
  <c r="AN22" i="75"/>
  <c r="O167" i="110" s="1"/>
  <c r="AU22" i="75"/>
  <c r="AM167" i="110" s="1"/>
  <c r="AU32" i="75"/>
  <c r="AM172" i="110" s="1"/>
  <c r="AV20" i="75"/>
  <c r="AK22" i="75"/>
  <c r="BA28" i="75"/>
  <c r="AZ22" i="75"/>
  <c r="BB22" i="75" s="1"/>
  <c r="AN167" i="110" s="1"/>
  <c r="AX20" i="75"/>
  <c r="AG166" i="110"/>
  <c r="AZ24" i="75"/>
  <c r="BA24" i="75"/>
  <c r="AY28" i="75"/>
  <c r="AU20" i="75"/>
  <c r="AM166" i="110" s="1"/>
  <c r="AU24" i="75"/>
  <c r="AM168" i="110" s="1"/>
  <c r="AV34" i="75"/>
  <c r="AW28" i="75"/>
  <c r="AF170" i="110"/>
  <c r="AH170" i="110" s="1"/>
  <c r="BA34" i="75"/>
  <c r="AZ34" i="75"/>
  <c r="AK24" i="75"/>
  <c r="J168" i="110" s="1"/>
  <c r="F168" i="110" s="1"/>
  <c r="AN28" i="75"/>
  <c r="AE170" i="110" s="1"/>
  <c r="AU34" i="75"/>
  <c r="AM173" i="110" s="1"/>
  <c r="AJ96" i="110"/>
  <c r="P155" i="110"/>
  <c r="O100" i="110"/>
  <c r="N86" i="110"/>
  <c r="L108" i="110"/>
  <c r="AI108" i="110" s="1"/>
  <c r="AE71" i="110"/>
  <c r="R155" i="110"/>
  <c r="AE86" i="110"/>
  <c r="AI175" i="110"/>
  <c r="AE107" i="110"/>
  <c r="M107" i="110"/>
  <c r="L107" i="110"/>
  <c r="AI107" i="110" s="1"/>
  <c r="L103" i="110"/>
  <c r="AI103" i="110" s="1"/>
  <c r="P103" i="110"/>
  <c r="M93" i="110"/>
  <c r="L93" i="110"/>
  <c r="AI93" i="110" s="1"/>
  <c r="AE93" i="110"/>
  <c r="AE89" i="110"/>
  <c r="R89" i="110"/>
  <c r="O89" i="110"/>
  <c r="N85" i="110"/>
  <c r="AE150" i="110"/>
  <c r="P150" i="110"/>
  <c r="M150" i="110"/>
  <c r="N150" i="110"/>
  <c r="R123" i="110"/>
  <c r="P123" i="110"/>
  <c r="AE102" i="110"/>
  <c r="L92" i="110"/>
  <c r="AI92" i="110" s="1"/>
  <c r="M71" i="110"/>
  <c r="L71" i="110"/>
  <c r="AI71" i="110" s="1"/>
  <c r="O71" i="110"/>
  <c r="P71" i="110"/>
  <c r="N71" i="110"/>
  <c r="M67" i="110"/>
  <c r="Q86" i="110"/>
  <c r="P86" i="110"/>
  <c r="Q71" i="110"/>
  <c r="Q140" i="110"/>
  <c r="N155" i="110"/>
  <c r="AE155" i="110"/>
  <c r="O118" i="110"/>
  <c r="R118" i="110"/>
  <c r="P118" i="110"/>
  <c r="Q118" i="110"/>
  <c r="M118" i="110"/>
  <c r="L105" i="110"/>
  <c r="AI105" i="110" s="1"/>
  <c r="AE105" i="110"/>
  <c r="M101" i="110"/>
  <c r="P101" i="110"/>
  <c r="R101" i="110"/>
  <c r="AE101" i="110"/>
  <c r="P84" i="110"/>
  <c r="O84" i="110"/>
  <c r="U36" i="81"/>
  <c r="N63" i="79"/>
  <c r="N64" i="79"/>
  <c r="P66" i="110"/>
  <c r="AE66" i="110"/>
  <c r="M66" i="110"/>
  <c r="O168" i="110"/>
  <c r="L168" i="110"/>
  <c r="AI168" i="110" s="1"/>
  <c r="M168" i="110"/>
  <c r="P168" i="110"/>
  <c r="N84" i="110"/>
  <c r="Q84" i="110"/>
  <c r="R84" i="110"/>
  <c r="L84" i="110"/>
  <c r="AI84" i="110" s="1"/>
  <c r="AE168" i="110"/>
  <c r="M84" i="110"/>
  <c r="N168" i="110"/>
  <c r="N66" i="110"/>
  <c r="Q137" i="110"/>
  <c r="M137" i="110"/>
  <c r="L137" i="110"/>
  <c r="AI137" i="110" s="1"/>
  <c r="L100" i="110"/>
  <c r="AI100" i="110" s="1"/>
  <c r="N100" i="110"/>
  <c r="AE100" i="110"/>
  <c r="R100" i="110"/>
  <c r="P100" i="110"/>
  <c r="Q100" i="110"/>
  <c r="M100" i="110"/>
  <c r="AE90" i="110"/>
  <c r="O90" i="110"/>
  <c r="M90" i="110"/>
  <c r="N90" i="110"/>
  <c r="G40" i="3"/>
  <c r="AE137" i="110"/>
  <c r="R121" i="110"/>
  <c r="AY2" i="110"/>
  <c r="J167" i="110"/>
  <c r="C167" i="110" s="1"/>
  <c r="B167" i="110" s="1"/>
  <c r="F167" i="110"/>
  <c r="BB20" i="75"/>
  <c r="AN166" i="110" s="1"/>
  <c r="Y17" i="108"/>
  <c r="K168" i="110"/>
  <c r="K173" i="110"/>
  <c r="F166" i="110"/>
  <c r="K167" i="110"/>
  <c r="L173" i="110"/>
  <c r="L154" i="110"/>
  <c r="AI154" i="110" s="1"/>
  <c r="R154" i="110"/>
  <c r="AE122" i="110"/>
  <c r="N116" i="110"/>
  <c r="O66" i="110"/>
  <c r="L66" i="110"/>
  <c r="AI178" i="110"/>
  <c r="AL178" i="110"/>
  <c r="O137" i="110"/>
  <c r="R137" i="110"/>
  <c r="N157" i="110"/>
  <c r="M173" i="110"/>
  <c r="N173" i="110"/>
  <c r="M167" i="110"/>
  <c r="P137" i="110"/>
  <c r="R66" i="110"/>
  <c r="M86" i="110"/>
  <c r="O86" i="110"/>
  <c r="R105" i="110"/>
  <c r="N103" i="110"/>
  <c r="M103" i="110"/>
  <c r="O103" i="110"/>
  <c r="R103" i="110"/>
  <c r="AE103" i="110"/>
  <c r="O93" i="110"/>
  <c r="AK93" i="110" s="1"/>
  <c r="P93" i="110"/>
  <c r="Q66" i="110"/>
  <c r="R86" i="110"/>
  <c r="P90" i="110"/>
  <c r="Q90" i="110"/>
  <c r="P154" i="110"/>
  <c r="N154" i="110"/>
  <c r="AK154" i="110" s="1"/>
  <c r="M155" i="110"/>
  <c r="L155" i="110"/>
  <c r="AI155" i="110" s="1"/>
  <c r="O155" i="110"/>
  <c r="N148" i="110"/>
  <c r="AE148" i="110"/>
  <c r="AE135" i="110"/>
  <c r="R135" i="110"/>
  <c r="M135" i="110"/>
  <c r="N135" i="110"/>
  <c r="AE132" i="110"/>
  <c r="O132" i="110"/>
  <c r="Q132" i="110"/>
  <c r="Q123" i="110"/>
  <c r="AE123" i="110"/>
  <c r="N120" i="110"/>
  <c r="O120" i="110"/>
  <c r="R120" i="110"/>
  <c r="P120" i="110"/>
  <c r="M105" i="110"/>
  <c r="N105" i="110"/>
  <c r="R93" i="110"/>
  <c r="AL177" i="110"/>
  <c r="AL175" i="110"/>
  <c r="AK95" i="110"/>
  <c r="AI127" i="110"/>
  <c r="BB2" i="110"/>
  <c r="U39" i="81"/>
  <c r="N62" i="79"/>
  <c r="AX2" i="110"/>
  <c r="K164" i="110"/>
  <c r="E23" i="110"/>
  <c r="K29" i="110"/>
  <c r="E29" i="110"/>
  <c r="K25" i="110"/>
  <c r="E25" i="110"/>
  <c r="AH75" i="110"/>
  <c r="AH71" i="110"/>
  <c r="AH67" i="110"/>
  <c r="AH114" i="110"/>
  <c r="AH108" i="110"/>
  <c r="AH104" i="110"/>
  <c r="AH120" i="110"/>
  <c r="AH161" i="110"/>
  <c r="AH159" i="110"/>
  <c r="AH158" i="110"/>
  <c r="E47" i="110"/>
  <c r="K47" i="110"/>
  <c r="K61" i="110"/>
  <c r="E61" i="110"/>
  <c r="K22" i="110"/>
  <c r="E22" i="110"/>
  <c r="AH92" i="110"/>
  <c r="AH101" i="110"/>
  <c r="AH116" i="110"/>
  <c r="AH121" i="110"/>
  <c r="AH135" i="110"/>
  <c r="K24" i="110"/>
  <c r="E24" i="110"/>
  <c r="E28" i="110"/>
  <c r="E27" i="110"/>
  <c r="K27" i="110"/>
  <c r="AJ53" i="110"/>
  <c r="AH98" i="110"/>
  <c r="AI96" i="110"/>
  <c r="AH84" i="110"/>
  <c r="AH97" i="110"/>
  <c r="AI110" i="110"/>
  <c r="AH153" i="110"/>
  <c r="AI74" i="110"/>
  <c r="AN56" i="110"/>
  <c r="AN33" i="110"/>
  <c r="AN34" i="110"/>
  <c r="AN35" i="110"/>
  <c r="AN28" i="110"/>
  <c r="AH87" i="110"/>
  <c r="AH107" i="110"/>
  <c r="AH105" i="110"/>
  <c r="AH103" i="110"/>
  <c r="AH139" i="110"/>
  <c r="AH136" i="110"/>
  <c r="AH134" i="110"/>
  <c r="AK49" i="110"/>
  <c r="AK19" i="110"/>
  <c r="AK24" i="110"/>
  <c r="M148" i="110"/>
  <c r="P148" i="110"/>
  <c r="R148" i="110"/>
  <c r="L148" i="110"/>
  <c r="AI148" i="110" s="1"/>
  <c r="O148" i="110"/>
  <c r="Q148" i="110"/>
  <c r="AH73" i="110"/>
  <c r="AH69" i="110"/>
  <c r="AH65" i="110"/>
  <c r="AH76" i="110"/>
  <c r="AH68" i="110"/>
  <c r="AH64" i="110"/>
  <c r="W44" i="79"/>
  <c r="W43" i="78"/>
  <c r="J8" i="110"/>
  <c r="C8" i="110" s="1"/>
  <c r="AN17" i="110"/>
  <c r="Z12" i="65"/>
  <c r="F30" i="3"/>
  <c r="AK54" i="110"/>
  <c r="AL60" i="110"/>
  <c r="W78" i="115"/>
  <c r="W105" i="115"/>
  <c r="AA22" i="115"/>
  <c r="G81" i="110" s="1"/>
  <c r="R23" i="62"/>
  <c r="N27" i="3"/>
  <c r="AJ95" i="110"/>
  <c r="AK114" i="110"/>
  <c r="AK146" i="110"/>
  <c r="AJ159" i="110"/>
  <c r="R132" i="110"/>
  <c r="N65" i="79"/>
  <c r="BC2" i="110"/>
  <c r="AZ2" i="110"/>
  <c r="F176" i="110"/>
  <c r="K20" i="110"/>
  <c r="F173" i="110"/>
  <c r="AJ94" i="110"/>
  <c r="AL110" i="110"/>
  <c r="F172" i="110"/>
  <c r="AH142" i="110"/>
  <c r="K57" i="110"/>
  <c r="E57" i="110"/>
  <c r="K21" i="110"/>
  <c r="E21" i="110"/>
  <c r="E44" i="110"/>
  <c r="K44" i="110"/>
  <c r="C44" i="110"/>
  <c r="B44" i="110" s="1"/>
  <c r="K40" i="110"/>
  <c r="E40" i="110"/>
  <c r="AH144" i="110"/>
  <c r="AH160" i="110"/>
  <c r="AN27" i="110"/>
  <c r="AH93" i="110"/>
  <c r="AH129" i="110"/>
  <c r="AH127" i="110"/>
  <c r="C175" i="110"/>
  <c r="B175" i="110" s="1"/>
  <c r="F175" i="110"/>
  <c r="K175" i="110"/>
  <c r="K172" i="110"/>
  <c r="C176" i="110"/>
  <c r="B176" i="110"/>
  <c r="K19" i="110"/>
  <c r="K18" i="110"/>
  <c r="E17" i="110"/>
  <c r="E16" i="110"/>
  <c r="AH89" i="110"/>
  <c r="AH111" i="110"/>
  <c r="AH145" i="110"/>
  <c r="AN44" i="110"/>
  <c r="AH77" i="110"/>
  <c r="AH109" i="110"/>
  <c r="AN55" i="110"/>
  <c r="AL16" i="110"/>
  <c r="E59" i="110"/>
  <c r="K53" i="110"/>
  <c r="E53" i="110"/>
  <c r="AI177" i="110"/>
  <c r="AL42" i="110"/>
  <c r="K42" i="110"/>
  <c r="E42" i="110"/>
  <c r="AL61" i="110"/>
  <c r="AN59" i="110"/>
  <c r="AJ37" i="110"/>
  <c r="AL38" i="110"/>
  <c r="B15" i="110"/>
  <c r="AN18" i="110"/>
  <c r="AN19" i="110"/>
  <c r="AN20" i="110"/>
  <c r="AN24" i="110"/>
  <c r="AN29" i="110"/>
  <c r="AJ25" i="110"/>
  <c r="AK47" i="110"/>
  <c r="AN48" i="110"/>
  <c r="C19" i="110"/>
  <c r="B19" i="110"/>
  <c r="C23" i="110"/>
  <c r="B23" i="110" s="1"/>
  <c r="C59" i="110"/>
  <c r="B59" i="110"/>
  <c r="AN57" i="110"/>
  <c r="AK32" i="110"/>
  <c r="AK52" i="110"/>
  <c r="C52" i="110"/>
  <c r="B52" i="110"/>
  <c r="AK56" i="110"/>
  <c r="AK21" i="110"/>
  <c r="AL21" i="110"/>
  <c r="AK16" i="110"/>
  <c r="AN25" i="110"/>
  <c r="AJ40" i="110"/>
  <c r="AJ21" i="110"/>
  <c r="AL47" i="110"/>
  <c r="AK23" i="110"/>
  <c r="AJ60" i="110"/>
  <c r="C34" i="110"/>
  <c r="B34" i="110" s="1"/>
  <c r="AK34" i="110"/>
  <c r="C58" i="110"/>
  <c r="B58" i="110"/>
  <c r="AK58" i="110"/>
  <c r="AK41" i="110"/>
  <c r="AJ41" i="110"/>
  <c r="AL43" i="110"/>
  <c r="C43" i="110"/>
  <c r="B43" i="110" s="1"/>
  <c r="AN54" i="110"/>
  <c r="AJ54" i="110"/>
  <c r="C27" i="110"/>
  <c r="B27" i="110" s="1"/>
  <c r="AL27" i="110"/>
  <c r="AL29" i="110"/>
  <c r="AJ29" i="110"/>
  <c r="AK29" i="110"/>
  <c r="AJ43" i="110"/>
  <c r="AK48" i="110"/>
  <c r="AJ48" i="110"/>
  <c r="AL48" i="110"/>
  <c r="C48" i="110"/>
  <c r="B48" i="110"/>
  <c r="AJ52" i="110"/>
  <c r="AJ55" i="110"/>
  <c r="C55" i="110"/>
  <c r="B55" i="110"/>
  <c r="AK36" i="110"/>
  <c r="B36" i="110"/>
  <c r="AL36" i="110"/>
  <c r="AJ22" i="110"/>
  <c r="AJ36" i="110"/>
  <c r="C37" i="110"/>
  <c r="B37" i="110" s="1"/>
  <c r="AK27" i="110"/>
  <c r="AK37" i="110"/>
  <c r="AJ28" i="110"/>
  <c r="C21" i="110"/>
  <c r="B21" i="110"/>
  <c r="AJ44" i="110"/>
  <c r="AL52" i="110"/>
  <c r="AN16" i="110"/>
  <c r="AN47" i="110"/>
  <c r="C40" i="110"/>
  <c r="B40" i="110"/>
  <c r="AJ38" i="110"/>
  <c r="AJ59" i="110"/>
  <c r="AK44" i="110"/>
  <c r="R12" i="68"/>
  <c r="J33" i="3" s="1"/>
  <c r="Z12" i="68"/>
  <c r="H33" i="3"/>
  <c r="AL59" i="110"/>
  <c r="AK59" i="110"/>
  <c r="AJ27" i="110"/>
  <c r="C28" i="110"/>
  <c r="B28" i="110"/>
  <c r="C16" i="110"/>
  <c r="B16" i="110"/>
  <c r="AL37" i="110"/>
  <c r="C61" i="110"/>
  <c r="B61" i="110"/>
  <c r="AJ49" i="110"/>
  <c r="AV200" i="65"/>
  <c r="G30" i="3" s="1"/>
  <c r="AN21" i="110"/>
  <c r="AN36" i="110"/>
  <c r="AK25" i="110"/>
  <c r="C25" i="110"/>
  <c r="B25" i="110"/>
  <c r="AJ35" i="110"/>
  <c r="AK15" i="110"/>
  <c r="AL15" i="110"/>
  <c r="AJ19" i="110"/>
  <c r="AL19" i="110"/>
  <c r="C20" i="110"/>
  <c r="B20" i="110"/>
  <c r="AL20" i="110"/>
  <c r="AJ23" i="110"/>
  <c r="AL23" i="110"/>
  <c r="AJ58" i="110"/>
  <c r="C57" i="110"/>
  <c r="B57" i="110" s="1"/>
  <c r="AJ57" i="110"/>
  <c r="AL57" i="110"/>
  <c r="AK57" i="110"/>
  <c r="AL28" i="110"/>
  <c r="R12" i="66"/>
  <c r="J31" i="3"/>
  <c r="AK61" i="110"/>
  <c r="C50" i="110"/>
  <c r="B50" i="110" s="1"/>
  <c r="AK55" i="110"/>
  <c r="AL55" i="110"/>
  <c r="C33" i="110"/>
  <c r="B33" i="110" s="1"/>
  <c r="AJ33" i="110"/>
  <c r="AL33" i="110"/>
  <c r="AK38" i="110"/>
  <c r="C38" i="110"/>
  <c r="B38" i="110" s="1"/>
  <c r="N17" i="110"/>
  <c r="AV200" i="64"/>
  <c r="G29" i="3" s="1"/>
  <c r="G43" i="3" s="1"/>
  <c r="AL24" i="110"/>
  <c r="C24" i="110"/>
  <c r="B24" i="110"/>
  <c r="AL51" i="110"/>
  <c r="AJ51" i="110"/>
  <c r="AL56" i="110"/>
  <c r="C56" i="110"/>
  <c r="B56" i="110"/>
  <c r="O31" i="110"/>
  <c r="AK31" i="110" s="1"/>
  <c r="R12" i="65"/>
  <c r="J30" i="3" s="1"/>
  <c r="M15" i="110"/>
  <c r="P44" i="78" s="1"/>
  <c r="Z12" i="64"/>
  <c r="F29" i="3"/>
  <c r="F43" i="3" s="1"/>
  <c r="Z12" i="66"/>
  <c r="H31" i="3"/>
  <c r="AL44" i="110"/>
  <c r="AJ56" i="110"/>
  <c r="C42" i="110"/>
  <c r="B42" i="110" s="1"/>
  <c r="AJ20" i="110"/>
  <c r="C51" i="110"/>
  <c r="B51" i="110" s="1"/>
  <c r="C53" i="110"/>
  <c r="B53" i="110" s="1"/>
  <c r="AK53" i="110"/>
  <c r="AL34" i="110"/>
  <c r="AJ34" i="110"/>
  <c r="AL39" i="110"/>
  <c r="C39" i="110"/>
  <c r="B39" i="110" s="1"/>
  <c r="AK39" i="110"/>
  <c r="O17" i="110"/>
  <c r="AK17" i="110" s="1"/>
  <c r="R12" i="64"/>
  <c r="J29" i="3"/>
  <c r="M20" i="115"/>
  <c r="AH20" i="115"/>
  <c r="BC20" i="115" s="1"/>
  <c r="AJ20" i="115" s="1"/>
  <c r="H20" i="115"/>
  <c r="X80" i="110" s="1"/>
  <c r="R20" i="115"/>
  <c r="Y80" i="110" s="1"/>
  <c r="AD20" i="115"/>
  <c r="F80" i="110" s="1"/>
  <c r="AA20" i="115"/>
  <c r="G80" i="110" s="1"/>
  <c r="U20" i="115"/>
  <c r="K24" i="115"/>
  <c r="AO82" i="110" s="1"/>
  <c r="AA24" i="115"/>
  <c r="G82" i="110" s="1"/>
  <c r="AF24" i="115"/>
  <c r="H24" i="115"/>
  <c r="X82" i="110" s="1"/>
  <c r="R24" i="115"/>
  <c r="Y82" i="110" s="1"/>
  <c r="Y24" i="115"/>
  <c r="T82" i="110" s="1"/>
  <c r="AF22" i="115"/>
  <c r="Y22" i="115"/>
  <c r="T81" i="110" s="1"/>
  <c r="AF20" i="115"/>
  <c r="M22" i="115"/>
  <c r="U22" i="115"/>
  <c r="H81" i="110" s="1"/>
  <c r="AD22" i="115"/>
  <c r="F81" i="110" s="1"/>
  <c r="H22" i="115"/>
  <c r="X81" i="110"/>
  <c r="AN15" i="110"/>
  <c r="AJ17" i="110"/>
  <c r="C17" i="110"/>
  <c r="B17" i="110" s="1"/>
  <c r="AL17" i="110"/>
  <c r="BD20" i="115"/>
  <c r="D152" i="3"/>
  <c r="D90" i="3"/>
  <c r="B137" i="3"/>
  <c r="B213" i="3"/>
  <c r="C104" i="3"/>
  <c r="E147" i="3"/>
  <c r="D183" i="3"/>
  <c r="B146" i="3"/>
  <c r="C119" i="3"/>
  <c r="C210" i="3"/>
  <c r="B157" i="3"/>
  <c r="D150" i="3"/>
  <c r="E215" i="3"/>
  <c r="E162" i="3"/>
  <c r="D138" i="3"/>
  <c r="B144" i="3"/>
  <c r="E96" i="3"/>
  <c r="C162" i="3"/>
  <c r="C201" i="3"/>
  <c r="D107" i="3"/>
  <c r="E92" i="3"/>
  <c r="E121" i="3"/>
  <c r="C147" i="3"/>
  <c r="E137" i="3"/>
  <c r="B168" i="3"/>
  <c r="C110" i="3"/>
  <c r="C164" i="3"/>
  <c r="B142" i="3"/>
  <c r="E168" i="3"/>
  <c r="C167" i="3"/>
  <c r="B103" i="3"/>
  <c r="B196" i="3"/>
  <c r="E152" i="3"/>
  <c r="C166" i="3"/>
  <c r="B116" i="3"/>
  <c r="D149" i="3"/>
  <c r="C83" i="3"/>
  <c r="C193" i="3"/>
  <c r="B119" i="3"/>
  <c r="B149" i="3"/>
  <c r="E112" i="3"/>
  <c r="C115" i="3"/>
  <c r="C200" i="3"/>
  <c r="B122" i="3"/>
  <c r="E88" i="3"/>
  <c r="D151" i="3"/>
  <c r="B162" i="3"/>
  <c r="C219" i="3"/>
  <c r="B140" i="3"/>
  <c r="B108" i="3"/>
  <c r="C199" i="3"/>
  <c r="B110" i="3"/>
  <c r="D99" i="3"/>
  <c r="B74" i="3"/>
  <c r="C126" i="3"/>
  <c r="E139" i="3"/>
  <c r="B200" i="3"/>
  <c r="D141" i="3"/>
  <c r="E125" i="3"/>
  <c r="D97" i="3"/>
  <c r="E159" i="3"/>
  <c r="E105" i="3"/>
  <c r="E213" i="3"/>
  <c r="B125" i="3"/>
  <c r="C92" i="3"/>
  <c r="B198" i="3"/>
  <c r="C191" i="3"/>
  <c r="C156" i="3"/>
  <c r="E203" i="3"/>
  <c r="B121" i="3"/>
  <c r="C204" i="3"/>
  <c r="C76" i="3"/>
  <c r="C169" i="3"/>
  <c r="B111" i="3"/>
  <c r="C161" i="3"/>
  <c r="B88" i="3"/>
  <c r="C101" i="3"/>
  <c r="D145" i="3"/>
  <c r="C149" i="3"/>
  <c r="E74" i="3"/>
  <c r="E146" i="3"/>
  <c r="E101" i="3"/>
  <c r="D83" i="3"/>
  <c r="E116" i="3"/>
  <c r="B115" i="3"/>
  <c r="C168" i="3"/>
  <c r="C97" i="3"/>
  <c r="B166" i="3"/>
  <c r="B150" i="3"/>
  <c r="E86" i="3"/>
  <c r="C106" i="3"/>
  <c r="B216" i="3"/>
  <c r="E102" i="3"/>
  <c r="E160" i="3"/>
  <c r="E110" i="3"/>
  <c r="B206" i="3"/>
  <c r="E95" i="3"/>
  <c r="C220" i="3"/>
  <c r="E151" i="3"/>
  <c r="C139" i="3"/>
  <c r="D184" i="3"/>
  <c r="C84" i="3"/>
  <c r="B163" i="3"/>
  <c r="E107" i="3"/>
  <c r="C89" i="3"/>
  <c r="C99" i="3"/>
  <c r="E141" i="3"/>
  <c r="C86" i="3"/>
  <c r="E200" i="3"/>
  <c r="B148" i="3"/>
  <c r="B76" i="3"/>
  <c r="B85" i="3"/>
  <c r="C87" i="3"/>
  <c r="E193" i="3"/>
  <c r="B101" i="3"/>
  <c r="C116" i="3"/>
  <c r="C142" i="3"/>
  <c r="C121" i="3"/>
  <c r="C152" i="3"/>
  <c r="E124" i="3"/>
  <c r="E108" i="3"/>
  <c r="B118" i="3"/>
  <c r="E204" i="3"/>
  <c r="E117" i="3"/>
  <c r="D74" i="3"/>
  <c r="E126" i="3"/>
  <c r="B212" i="3"/>
  <c r="C206" i="3"/>
  <c r="E221" i="3"/>
  <c r="D109" i="3"/>
  <c r="E194" i="3"/>
  <c r="B83" i="3"/>
  <c r="B209" i="3"/>
  <c r="B124" i="3"/>
  <c r="B138" i="3"/>
  <c r="B112" i="3"/>
  <c r="C93" i="3"/>
  <c r="B145" i="3"/>
  <c r="B143" i="3"/>
  <c r="E83" i="3"/>
  <c r="C151" i="3"/>
  <c r="C94" i="3"/>
  <c r="D82" i="3"/>
  <c r="E214" i="3"/>
  <c r="E217" i="3"/>
  <c r="B136" i="3"/>
  <c r="E120" i="3"/>
  <c r="E202" i="3"/>
  <c r="E90" i="3"/>
  <c r="B199" i="3"/>
  <c r="D105" i="3"/>
  <c r="C117" i="3"/>
  <c r="C74" i="3"/>
  <c r="D148" i="3"/>
  <c r="E122" i="3"/>
  <c r="C148" i="3"/>
  <c r="B109" i="3"/>
  <c r="E149" i="3"/>
  <c r="E131" i="3"/>
  <c r="E209" i="3"/>
  <c r="D93" i="3"/>
  <c r="E118" i="3"/>
  <c r="B99" i="3"/>
  <c r="E150" i="3"/>
  <c r="B90" i="3"/>
  <c r="B214" i="3"/>
  <c r="C150" i="3"/>
  <c r="B95" i="3"/>
  <c r="E87" i="3"/>
  <c r="E220" i="3"/>
  <c r="B219" i="3"/>
  <c r="B75" i="3"/>
  <c r="B98" i="3"/>
  <c r="B205" i="3"/>
  <c r="D88" i="3"/>
  <c r="E145" i="3"/>
  <c r="B141" i="3"/>
  <c r="B123" i="3"/>
  <c r="B96" i="3"/>
  <c r="C160" i="3"/>
  <c r="C113" i="3"/>
  <c r="D108" i="3"/>
  <c r="B183" i="3"/>
  <c r="C102" i="3"/>
  <c r="C124" i="3"/>
  <c r="C137" i="3"/>
  <c r="C138" i="3"/>
  <c r="C109" i="3"/>
  <c r="B165" i="3"/>
  <c r="B197" i="3"/>
  <c r="E195" i="3"/>
  <c r="C88" i="3"/>
  <c r="C213" i="3"/>
  <c r="B160" i="3"/>
  <c r="B202" i="3"/>
  <c r="B211" i="3"/>
  <c r="C183" i="3"/>
  <c r="E191" i="3"/>
  <c r="B151" i="3"/>
  <c r="B208" i="3"/>
  <c r="C136" i="3"/>
  <c r="C143" i="3"/>
  <c r="D91" i="3"/>
  <c r="B106" i="3"/>
  <c r="C146" i="3"/>
  <c r="C217" i="3"/>
  <c r="E99" i="3"/>
  <c r="C144" i="3"/>
  <c r="E119" i="3"/>
  <c r="C118" i="3"/>
  <c r="B201" i="3"/>
  <c r="B147" i="3"/>
  <c r="C195" i="3"/>
  <c r="B105" i="3"/>
  <c r="E84" i="3"/>
  <c r="E169" i="3"/>
  <c r="D104" i="3"/>
  <c r="E165" i="3"/>
  <c r="B104" i="3"/>
  <c r="E76" i="3"/>
  <c r="B217" i="3"/>
  <c r="E192" i="3"/>
  <c r="C140" i="3"/>
  <c r="C163" i="3"/>
  <c r="C125" i="3"/>
  <c r="C100" i="3"/>
  <c r="C198" i="3"/>
  <c r="C203" i="3"/>
  <c r="D146" i="3"/>
  <c r="E109" i="3"/>
  <c r="C202" i="3"/>
  <c r="C82" i="3"/>
  <c r="E212" i="3"/>
  <c r="E115" i="3"/>
  <c r="E184" i="3"/>
  <c r="E144" i="3"/>
  <c r="E148" i="3"/>
  <c r="E208" i="3"/>
  <c r="E142" i="3"/>
  <c r="D92" i="3"/>
  <c r="E103" i="3"/>
  <c r="B102" i="3"/>
  <c r="C111" i="3"/>
  <c r="E94" i="3"/>
  <c r="B91" i="3"/>
  <c r="D102" i="3"/>
  <c r="E164" i="3"/>
  <c r="E85" i="3"/>
  <c r="C122" i="3"/>
  <c r="E123" i="3"/>
  <c r="C158" i="3"/>
  <c r="C108" i="3"/>
  <c r="C209" i="3"/>
  <c r="E136" i="3"/>
  <c r="C207" i="3"/>
  <c r="E198" i="3"/>
  <c r="E211" i="3"/>
  <c r="D131" i="3"/>
  <c r="B215" i="3"/>
  <c r="E205" i="3"/>
  <c r="B221" i="3"/>
  <c r="E93" i="3"/>
  <c r="C131" i="3"/>
  <c r="D84" i="3"/>
  <c r="C197" i="3"/>
  <c r="C91" i="3"/>
  <c r="E97" i="3"/>
  <c r="B169" i="3"/>
  <c r="B120" i="3"/>
  <c r="E218" i="3"/>
  <c r="B89" i="3"/>
  <c r="B126" i="3"/>
  <c r="D136" i="3"/>
  <c r="B86" i="3"/>
  <c r="C216" i="3"/>
  <c r="B100" i="3"/>
  <c r="C120" i="3"/>
  <c r="C205" i="3"/>
  <c r="E201" i="3"/>
  <c r="B184" i="3"/>
  <c r="D96" i="3"/>
  <c r="C95" i="3"/>
  <c r="C90" i="3"/>
  <c r="C96" i="3"/>
  <c r="C141" i="3"/>
  <c r="D75" i="3"/>
  <c r="B107" i="3"/>
  <c r="C190" i="3"/>
  <c r="D89" i="3"/>
  <c r="E143" i="3"/>
  <c r="D94" i="3"/>
  <c r="E197" i="3"/>
  <c r="C107" i="3"/>
  <c r="D147" i="3"/>
  <c r="E210" i="3"/>
  <c r="E91" i="3"/>
  <c r="B92" i="3"/>
  <c r="D115" i="3"/>
  <c r="B193" i="3"/>
  <c r="C211" i="3"/>
  <c r="B114" i="3"/>
  <c r="D140" i="3"/>
  <c r="D143" i="3"/>
  <c r="C75" i="3"/>
  <c r="D111" i="3"/>
  <c r="C184" i="3"/>
  <c r="C218" i="3"/>
  <c r="B190" i="3"/>
  <c r="B167" i="3"/>
  <c r="E114" i="3"/>
  <c r="B97" i="3"/>
  <c r="B192" i="3"/>
  <c r="E196" i="3"/>
  <c r="B210" i="3"/>
  <c r="C159" i="3"/>
  <c r="D95" i="3"/>
  <c r="B117" i="3"/>
  <c r="B220" i="3"/>
  <c r="D118" i="3"/>
  <c r="D76" i="3"/>
  <c r="B82" i="3"/>
  <c r="E161" i="3"/>
  <c r="E163" i="3"/>
  <c r="B139" i="3"/>
  <c r="D139" i="3"/>
  <c r="B152" i="3"/>
  <c r="E89" i="3"/>
  <c r="C221" i="3"/>
  <c r="B158" i="3"/>
  <c r="C157" i="3"/>
  <c r="D85" i="3"/>
  <c r="D106" i="3"/>
  <c r="C105" i="3"/>
  <c r="E140" i="3"/>
  <c r="D119" i="3"/>
  <c r="C112" i="3"/>
  <c r="E111" i="3"/>
  <c r="E75" i="3"/>
  <c r="E113" i="3"/>
  <c r="C212" i="3"/>
  <c r="B218" i="3"/>
  <c r="B207" i="3"/>
  <c r="C208" i="3"/>
  <c r="B159" i="3"/>
  <c r="E219" i="3"/>
  <c r="D103" i="3"/>
  <c r="E190" i="3"/>
  <c r="B84" i="3"/>
  <c r="B191" i="3"/>
  <c r="C123" i="3"/>
  <c r="C165" i="3"/>
  <c r="B195" i="3"/>
  <c r="B204" i="3"/>
  <c r="E183" i="3"/>
  <c r="C194" i="3"/>
  <c r="B87" i="3"/>
  <c r="D86" i="3"/>
  <c r="E100" i="3"/>
  <c r="B113" i="3"/>
  <c r="E82" i="3"/>
  <c r="D137" i="3"/>
  <c r="E106" i="3"/>
  <c r="E207" i="3"/>
  <c r="B203" i="3"/>
  <c r="C215" i="3"/>
  <c r="C114" i="3"/>
  <c r="E206" i="3"/>
  <c r="D113" i="3"/>
  <c r="B156" i="3"/>
  <c r="D112" i="3"/>
  <c r="B94" i="3"/>
  <c r="E167" i="3"/>
  <c r="E156" i="3"/>
  <c r="C196" i="3"/>
  <c r="B194" i="3"/>
  <c r="E138" i="3"/>
  <c r="D144" i="3"/>
  <c r="E158" i="3"/>
  <c r="C145" i="3"/>
  <c r="C103" i="3"/>
  <c r="E104" i="3"/>
  <c r="E166" i="3"/>
  <c r="C98" i="3"/>
  <c r="E199" i="3"/>
  <c r="B161" i="3"/>
  <c r="E216" i="3"/>
  <c r="C214" i="3"/>
  <c r="B164" i="3"/>
  <c r="B93" i="3"/>
  <c r="C192" i="3"/>
  <c r="C85" i="3"/>
  <c r="B131" i="3"/>
  <c r="E157" i="3"/>
  <c r="E98" i="3"/>
  <c r="D114" i="3"/>
  <c r="A72" i="3" l="1"/>
  <c r="D72" i="3"/>
  <c r="C72" i="3"/>
  <c r="E29" i="3"/>
  <c r="AJ110" i="110"/>
  <c r="Q92" i="110"/>
  <c r="Q105" i="110"/>
  <c r="G39" i="3"/>
  <c r="G38" i="3"/>
  <c r="AZ16" i="62"/>
  <c r="AJ150" i="110"/>
  <c r="AK118" i="110"/>
  <c r="AJ98" i="110"/>
  <c r="AK75" i="110"/>
  <c r="Q167" i="110"/>
  <c r="M152" i="110"/>
  <c r="G37" i="3"/>
  <c r="AK132" i="110"/>
  <c r="N171" i="110"/>
  <c r="Q139" i="110"/>
  <c r="Q122" i="110"/>
  <c r="AE167" i="110"/>
  <c r="AE171" i="110"/>
  <c r="M70" i="110"/>
  <c r="O171" i="110"/>
  <c r="M88" i="110"/>
  <c r="P70" i="110"/>
  <c r="O88" i="110"/>
  <c r="AJ127" i="110"/>
  <c r="Q70" i="110"/>
  <c r="AK143" i="110"/>
  <c r="AJ165" i="110"/>
  <c r="AL97" i="110"/>
  <c r="R157" i="110"/>
  <c r="P157" i="110"/>
  <c r="N122" i="110"/>
  <c r="L64" i="110"/>
  <c r="AI64" i="110" s="1"/>
  <c r="L122" i="110"/>
  <c r="AI122" i="110" s="1"/>
  <c r="N139" i="110"/>
  <c r="L139" i="110"/>
  <c r="AI139" i="110" s="1"/>
  <c r="N64" i="110"/>
  <c r="M92" i="110"/>
  <c r="O92" i="110"/>
  <c r="M139" i="110"/>
  <c r="P64" i="110"/>
  <c r="O139" i="110"/>
  <c r="M122" i="110"/>
  <c r="R122" i="110"/>
  <c r="AJ176" i="110"/>
  <c r="N109" i="110"/>
  <c r="N92" i="110"/>
  <c r="AE64" i="110"/>
  <c r="P109" i="110"/>
  <c r="O122" i="110"/>
  <c r="L109" i="110"/>
  <c r="M109" i="110"/>
  <c r="O109" i="110"/>
  <c r="O157" i="110"/>
  <c r="AJ157" i="110" s="1"/>
  <c r="Q157" i="110"/>
  <c r="P139" i="110"/>
  <c r="AK177" i="110"/>
  <c r="L157" i="110"/>
  <c r="AI157" i="110" s="1"/>
  <c r="AE139" i="110"/>
  <c r="AE92" i="110"/>
  <c r="R64" i="110"/>
  <c r="P92" i="110"/>
  <c r="AL120" i="110"/>
  <c r="P122" i="110"/>
  <c r="AE157" i="110"/>
  <c r="R139" i="110"/>
  <c r="R156" i="110"/>
  <c r="Q121" i="110"/>
  <c r="AK150" i="110"/>
  <c r="N121" i="110"/>
  <c r="R91" i="110"/>
  <c r="Q138" i="110"/>
  <c r="O91" i="110"/>
  <c r="P108" i="110"/>
  <c r="M91" i="110"/>
  <c r="L91" i="110"/>
  <c r="AI91" i="110" s="1"/>
  <c r="N108" i="110"/>
  <c r="R108" i="110"/>
  <c r="AJ107" i="110"/>
  <c r="R90" i="110"/>
  <c r="M108" i="110"/>
  <c r="P91" i="110"/>
  <c r="AK144" i="110"/>
  <c r="R171" i="110"/>
  <c r="O108" i="110"/>
  <c r="AL108" i="110" s="1"/>
  <c r="R138" i="110"/>
  <c r="Q168" i="110"/>
  <c r="Q108" i="110"/>
  <c r="P121" i="110"/>
  <c r="L156" i="110"/>
  <c r="AI156" i="110" s="1"/>
  <c r="AL161" i="110"/>
  <c r="AJ145" i="110"/>
  <c r="Q156" i="110"/>
  <c r="AE121" i="110"/>
  <c r="AE91" i="110"/>
  <c r="Q91" i="110"/>
  <c r="N156" i="110"/>
  <c r="L121" i="110"/>
  <c r="AI121" i="110" s="1"/>
  <c r="P156" i="110"/>
  <c r="AL176" i="110"/>
  <c r="AE138" i="110"/>
  <c r="O156" i="110"/>
  <c r="AL156" i="110" s="1"/>
  <c r="O121" i="110"/>
  <c r="L167" i="110"/>
  <c r="AI167" i="110" s="1"/>
  <c r="M156" i="110"/>
  <c r="M164" i="110"/>
  <c r="AK111" i="110"/>
  <c r="AL112" i="110"/>
  <c r="R102" i="110"/>
  <c r="P85" i="110"/>
  <c r="AI142" i="110"/>
  <c r="AK178" i="110"/>
  <c r="AK142" i="110"/>
  <c r="N67" i="110"/>
  <c r="AE85" i="110"/>
  <c r="AL143" i="110"/>
  <c r="M102" i="110"/>
  <c r="R67" i="110"/>
  <c r="Q67" i="110"/>
  <c r="P67" i="110"/>
  <c r="L102" i="110"/>
  <c r="AI102" i="110" s="1"/>
  <c r="AL119" i="110"/>
  <c r="Q102" i="110"/>
  <c r="L67" i="110"/>
  <c r="AI67" i="110" s="1"/>
  <c r="M85" i="110"/>
  <c r="AI143" i="110"/>
  <c r="Q101" i="110"/>
  <c r="AJ97" i="110"/>
  <c r="O67" i="110"/>
  <c r="AJ67" i="110" s="1"/>
  <c r="M149" i="110"/>
  <c r="R85" i="110"/>
  <c r="O102" i="110"/>
  <c r="AJ146" i="110"/>
  <c r="AK94" i="110"/>
  <c r="AK110" i="110"/>
  <c r="M171" i="110"/>
  <c r="L171" i="110"/>
  <c r="AI171" i="110" s="1"/>
  <c r="N152" i="110"/>
  <c r="L88" i="110"/>
  <c r="AI88" i="110" s="1"/>
  <c r="AE70" i="110"/>
  <c r="AK123" i="110"/>
  <c r="Q88" i="110"/>
  <c r="AI109" i="110"/>
  <c r="AE88" i="110"/>
  <c r="Q152" i="110"/>
  <c r="AL145" i="110"/>
  <c r="L152" i="110"/>
  <c r="AI152" i="110" s="1"/>
  <c r="O134" i="110"/>
  <c r="AE152" i="110"/>
  <c r="L70" i="110"/>
  <c r="AI70" i="110" s="1"/>
  <c r="N134" i="110"/>
  <c r="P152" i="110"/>
  <c r="R134" i="110"/>
  <c r="O70" i="110"/>
  <c r="AK70" i="110" s="1"/>
  <c r="Q134" i="110"/>
  <c r="N88" i="110"/>
  <c r="AK88" i="110" s="1"/>
  <c r="AE134" i="110"/>
  <c r="AK130" i="110"/>
  <c r="P134" i="110"/>
  <c r="AL127" i="110"/>
  <c r="N70" i="110"/>
  <c r="M134" i="110"/>
  <c r="P88" i="110"/>
  <c r="O152" i="110"/>
  <c r="Q119" i="110"/>
  <c r="AL140" i="110"/>
  <c r="R151" i="110"/>
  <c r="Q165" i="110"/>
  <c r="L151" i="110"/>
  <c r="AI151" i="110" s="1"/>
  <c r="AE151" i="110"/>
  <c r="P151" i="110"/>
  <c r="AK140" i="110"/>
  <c r="P69" i="110"/>
  <c r="N151" i="110"/>
  <c r="AK151" i="110" s="1"/>
  <c r="M69" i="110"/>
  <c r="AK160" i="110"/>
  <c r="N69" i="110"/>
  <c r="Q151" i="110"/>
  <c r="O69" i="110"/>
  <c r="L69" i="110"/>
  <c r="AI69" i="110" s="1"/>
  <c r="M151" i="110"/>
  <c r="AJ151" i="110" s="1"/>
  <c r="AJ126" i="110"/>
  <c r="Q69" i="110"/>
  <c r="AE69" i="110"/>
  <c r="X30" i="51"/>
  <c r="AH16" i="51" s="1"/>
  <c r="B8" i="110"/>
  <c r="L8" i="110"/>
  <c r="C166" i="110"/>
  <c r="B166" i="110" s="1"/>
  <c r="AK50" i="110"/>
  <c r="AL50" i="110"/>
  <c r="AJ32" i="110"/>
  <c r="AL32" i="110"/>
  <c r="C32" i="110"/>
  <c r="B32" i="110" s="1"/>
  <c r="AN22" i="110"/>
  <c r="AX22" i="115"/>
  <c r="AG81" i="110" s="1"/>
  <c r="AK18" i="110"/>
  <c r="AL45" i="110"/>
  <c r="AN50" i="110"/>
  <c r="K166" i="110"/>
  <c r="AK60" i="110"/>
  <c r="C60" i="110"/>
  <c r="B60" i="110" s="1"/>
  <c r="S81" i="110"/>
  <c r="AN41" i="110"/>
  <c r="U24" i="115"/>
  <c r="M24" i="115"/>
  <c r="AH24" i="115"/>
  <c r="AD24" i="115"/>
  <c r="F82" i="110" s="1"/>
  <c r="R22" i="108"/>
  <c r="R23" i="108" s="1"/>
  <c r="R24" i="108" s="1"/>
  <c r="R25" i="108" s="1"/>
  <c r="R26" i="108" s="1"/>
  <c r="R27" i="108" s="1"/>
  <c r="R28" i="108" s="1"/>
  <c r="R29" i="108" s="1"/>
  <c r="R30" i="108" s="1"/>
  <c r="R31" i="108" s="1"/>
  <c r="R32" i="108" s="1"/>
  <c r="R33" i="108" s="1"/>
  <c r="R34" i="108" s="1"/>
  <c r="R35" i="108" s="1"/>
  <c r="R36" i="108" s="1"/>
  <c r="R37" i="108" s="1"/>
  <c r="R38" i="108" s="1"/>
  <c r="R39" i="108" s="1"/>
  <c r="R40" i="108" s="1"/>
  <c r="R41" i="108" s="1"/>
  <c r="R42" i="108" s="1"/>
  <c r="R43" i="108" s="1"/>
  <c r="R44" i="108" s="1"/>
  <c r="O46" i="3"/>
  <c r="O44" i="3"/>
  <c r="AN26" i="110"/>
  <c r="AL40" i="110"/>
  <c r="AK40" i="110"/>
  <c r="Z12" i="62"/>
  <c r="P44" i="79" s="1"/>
  <c r="K75" i="62"/>
  <c r="AY16" i="62" s="1"/>
  <c r="S80" i="110"/>
  <c r="AU20" i="115"/>
  <c r="AX20" i="115"/>
  <c r="AG80" i="110" s="1"/>
  <c r="AJ15" i="110"/>
  <c r="AL49" i="110"/>
  <c r="C49" i="110"/>
  <c r="B49" i="110" s="1"/>
  <c r="AJ39" i="110"/>
  <c r="AN39" i="110"/>
  <c r="AN40" i="110"/>
  <c r="C22" i="110"/>
  <c r="B22" i="110" s="1"/>
  <c r="H47" i="3"/>
  <c r="H43" i="3"/>
  <c r="AK26" i="110"/>
  <c r="R166" i="110"/>
  <c r="N166" i="110"/>
  <c r="C45" i="110"/>
  <c r="B45" i="110" s="1"/>
  <c r="AK45" i="110"/>
  <c r="AK35" i="110"/>
  <c r="C35" i="110"/>
  <c r="B35" i="110" s="1"/>
  <c r="AL35" i="110"/>
  <c r="AD18" i="115"/>
  <c r="F79" i="110" s="1"/>
  <c r="U18" i="115"/>
  <c r="M18" i="115"/>
  <c r="K18" i="115"/>
  <c r="AO79" i="110" s="1"/>
  <c r="H18" i="115"/>
  <c r="X79" i="110" s="1"/>
  <c r="Y18" i="115"/>
  <c r="T79" i="110" s="1"/>
  <c r="R18" i="115"/>
  <c r="Y79" i="110" s="1"/>
  <c r="AA18" i="115"/>
  <c r="G79" i="110" s="1"/>
  <c r="AF18" i="115"/>
  <c r="AH18" i="115"/>
  <c r="C31" i="110"/>
  <c r="B31" i="110" s="1"/>
  <c r="AL22" i="110"/>
  <c r="N29" i="3"/>
  <c r="N43" i="3" s="1"/>
  <c r="P43" i="3" s="1"/>
  <c r="AV10" i="71" s="1"/>
  <c r="I43" i="3"/>
  <c r="W44" i="78" s="1"/>
  <c r="J43" i="3"/>
  <c r="AD44" i="78" s="1"/>
  <c r="AL26" i="110"/>
  <c r="AJ31" i="110"/>
  <c r="H80" i="110"/>
  <c r="I80" i="110"/>
  <c r="AJ26" i="110"/>
  <c r="R22" i="115"/>
  <c r="Y81" i="110" s="1"/>
  <c r="AH22" i="115"/>
  <c r="I81" i="110" s="1"/>
  <c r="K22" i="115"/>
  <c r="AU22" i="115" s="1"/>
  <c r="J81" i="110" s="1"/>
  <c r="AL41" i="110"/>
  <c r="C41" i="110"/>
  <c r="B41" i="110" s="1"/>
  <c r="AL24" i="115"/>
  <c r="BE22" i="115"/>
  <c r="AL31" i="110"/>
  <c r="K20" i="115"/>
  <c r="AO20" i="115" s="1"/>
  <c r="Y20" i="115"/>
  <c r="T80" i="110" s="1"/>
  <c r="C173" i="110"/>
  <c r="B173" i="110" s="1"/>
  <c r="AJ18" i="110"/>
  <c r="C18" i="110"/>
  <c r="B18" i="110" s="1"/>
  <c r="AK42" i="110"/>
  <c r="AJ42" i="110"/>
  <c r="P173" i="110"/>
  <c r="AE173" i="110"/>
  <c r="O173" i="110"/>
  <c r="AK173" i="110" s="1"/>
  <c r="Q173" i="110"/>
  <c r="J54" i="76"/>
  <c r="AI98" i="110"/>
  <c r="AI161" i="110"/>
  <c r="E54" i="110"/>
  <c r="P124" i="110"/>
  <c r="AW20" i="75"/>
  <c r="AF166" i="110" s="1"/>
  <c r="AH166" i="110" s="1"/>
  <c r="AW32" i="75"/>
  <c r="AF172" i="110" s="1"/>
  <c r="AH172" i="110" s="1"/>
  <c r="AW26" i="75"/>
  <c r="AF169" i="110" s="1"/>
  <c r="AH169" i="110" s="1"/>
  <c r="BC22" i="75"/>
  <c r="R167" i="110" s="1"/>
  <c r="AU28" i="75"/>
  <c r="AM170" i="110" s="1"/>
  <c r="AV30" i="75"/>
  <c r="Q171" i="110" s="1"/>
  <c r="AR201" i="48"/>
  <c r="AI128" i="110"/>
  <c r="BA30" i="75"/>
  <c r="BA22" i="75"/>
  <c r="AL20" i="115"/>
  <c r="Y35" i="108"/>
  <c r="AI159" i="110"/>
  <c r="Y25" i="108"/>
  <c r="AH74" i="110"/>
  <c r="AM23" i="62"/>
  <c r="BA18" i="75"/>
  <c r="AZ26" i="75"/>
  <c r="AY20" i="75"/>
  <c r="BC16" i="75"/>
  <c r="R164" i="110" s="1"/>
  <c r="AY30" i="75"/>
  <c r="AO24" i="115"/>
  <c r="AE82" i="110" s="1"/>
  <c r="Z20" i="108"/>
  <c r="N170" i="110"/>
  <c r="AR201" i="114"/>
  <c r="AI95" i="110"/>
  <c r="V68" i="12"/>
  <c r="AW30" i="75"/>
  <c r="AF171" i="110" s="1"/>
  <c r="AH171" i="110" s="1"/>
  <c r="AZ18" i="75"/>
  <c r="AZ16" i="75"/>
  <c r="P164" i="110" s="1"/>
  <c r="AY16" i="75"/>
  <c r="C164" i="110" s="1"/>
  <c r="B164" i="110" s="1"/>
  <c r="BC24" i="75"/>
  <c r="R168" i="110" s="1"/>
  <c r="AH63" i="110"/>
  <c r="AK30" i="75"/>
  <c r="AW16" i="75"/>
  <c r="AF164" i="110" s="1"/>
  <c r="AH164" i="110" s="1"/>
  <c r="AN32" i="75"/>
  <c r="BC18" i="75"/>
  <c r="R165" i="110" s="1"/>
  <c r="AY24" i="75"/>
  <c r="C168" i="110" s="1"/>
  <c r="B168" i="110" s="1"/>
  <c r="AU30" i="75"/>
  <c r="AM171" i="110" s="1"/>
  <c r="K39" i="110"/>
  <c r="E36" i="110"/>
  <c r="O4" i="110"/>
  <c r="R75" i="62"/>
  <c r="AW34" i="75"/>
  <c r="AF173" i="110" s="1"/>
  <c r="AH173" i="110" s="1"/>
  <c r="AI113" i="110"/>
  <c r="AI144" i="110"/>
  <c r="AV26" i="75"/>
  <c r="AV32" i="75"/>
  <c r="AI112" i="110"/>
  <c r="P133" i="110"/>
  <c r="AX34" i="75"/>
  <c r="AG173" i="110" s="1"/>
  <c r="AI173" i="110" s="1"/>
  <c r="AZ28" i="75"/>
  <c r="BA20" i="75"/>
  <c r="BC26" i="75"/>
  <c r="Z24" i="108"/>
  <c r="BB34" i="75"/>
  <c r="AN173" i="110" s="1"/>
  <c r="BB24" i="75"/>
  <c r="AN168" i="110" s="1"/>
  <c r="AM75" i="62"/>
  <c r="Y30" i="108"/>
  <c r="Y14" i="108"/>
  <c r="AK96" i="110"/>
  <c r="AI86" i="110"/>
  <c r="V12" i="13"/>
  <c r="I35" i="3" s="1"/>
  <c r="N35" i="3" s="1"/>
  <c r="AK28" i="75"/>
  <c r="AK26" i="75"/>
  <c r="AN26" i="75"/>
  <c r="O169" i="110" s="1"/>
  <c r="AV28" i="75"/>
  <c r="Q170" i="110" s="1"/>
  <c r="BC34" i="75"/>
  <c r="R173" i="110" s="1"/>
  <c r="Z25" i="108"/>
  <c r="Y29" i="108"/>
  <c r="AI130" i="110"/>
  <c r="Q85" i="110"/>
  <c r="V82" i="110"/>
  <c r="AJ175" i="110"/>
  <c r="AL168" i="110"/>
  <c r="AL148" i="110"/>
  <c r="AL107" i="110"/>
  <c r="Q68" i="110"/>
  <c r="AI77" i="110"/>
  <c r="AH66" i="110"/>
  <c r="Z12" i="13"/>
  <c r="F35" i="3" s="1"/>
  <c r="AH72" i="110"/>
  <c r="AJ76" i="110"/>
  <c r="AJ119" i="110"/>
  <c r="AK85" i="110"/>
  <c r="AK107" i="110"/>
  <c r="AK101" i="110"/>
  <c r="AK168" i="110"/>
  <c r="AJ168" i="110"/>
  <c r="AJ93" i="110"/>
  <c r="Q166" i="110"/>
  <c r="AI134" i="110"/>
  <c r="AL134" i="110"/>
  <c r="G41" i="3"/>
  <c r="AJ140" i="110"/>
  <c r="AK162" i="110"/>
  <c r="AL96" i="110"/>
  <c r="G35" i="3"/>
  <c r="Q109" i="110"/>
  <c r="AK89" i="110"/>
  <c r="N167" i="110"/>
  <c r="AK167" i="110" s="1"/>
  <c r="AJ114" i="110"/>
  <c r="AK92" i="110"/>
  <c r="AK161" i="110"/>
  <c r="AJ85" i="110"/>
  <c r="AJ123" i="110"/>
  <c r="AJ137" i="110"/>
  <c r="N164" i="110"/>
  <c r="P167" i="110"/>
  <c r="AJ72" i="110"/>
  <c r="AK127" i="110"/>
  <c r="R140" i="110"/>
  <c r="AK165" i="110"/>
  <c r="AL113" i="110"/>
  <c r="Q149" i="110"/>
  <c r="AL74" i="110"/>
  <c r="Q104" i="110"/>
  <c r="R12" i="70"/>
  <c r="J37" i="3" s="1"/>
  <c r="AL135" i="110"/>
  <c r="AK158" i="110"/>
  <c r="AK102" i="110"/>
  <c r="AK155" i="110"/>
  <c r="AJ144" i="110"/>
  <c r="AJ177" i="110"/>
  <c r="AJ155" i="110"/>
  <c r="AJ84" i="110"/>
  <c r="AJ143" i="110"/>
  <c r="AK157" i="110"/>
  <c r="AL89" i="110"/>
  <c r="AK100" i="110"/>
  <c r="AL136" i="110"/>
  <c r="AK129" i="110"/>
  <c r="AL114" i="110"/>
  <c r="Q93" i="110"/>
  <c r="Q64" i="110"/>
  <c r="AJ167" i="110"/>
  <c r="O166" i="110"/>
  <c r="O170" i="110"/>
  <c r="AE166" i="110"/>
  <c r="P170" i="110"/>
  <c r="P166" i="110"/>
  <c r="M170" i="110"/>
  <c r="L166" i="110"/>
  <c r="AI166" i="110" s="1"/>
  <c r="R170" i="110"/>
  <c r="AJ178" i="110"/>
  <c r="AK174" i="110"/>
  <c r="M166" i="110"/>
  <c r="L170" i="110"/>
  <c r="AI170" i="110" s="1"/>
  <c r="AL174" i="110"/>
  <c r="AL165" i="110"/>
  <c r="AJ174" i="110"/>
  <c r="Q164" i="110"/>
  <c r="O149" i="110"/>
  <c r="AL155" i="110"/>
  <c r="P149" i="110"/>
  <c r="AJ162" i="110"/>
  <c r="AJ158" i="110"/>
  <c r="AK148" i="110"/>
  <c r="R149" i="110"/>
  <c r="AJ148" i="110"/>
  <c r="AL162" i="110"/>
  <c r="L149" i="110"/>
  <c r="AI149" i="110" s="1"/>
  <c r="AJ161" i="110"/>
  <c r="AL159" i="110"/>
  <c r="AL158" i="110"/>
  <c r="AJ160" i="110"/>
  <c r="AE149" i="110"/>
  <c r="AL160" i="110"/>
  <c r="AJ152" i="110"/>
  <c r="AL150" i="110"/>
  <c r="AJ154" i="110"/>
  <c r="AK159" i="110"/>
  <c r="AL132" i="110"/>
  <c r="AJ136" i="110"/>
  <c r="M141" i="110"/>
  <c r="L141" i="110"/>
  <c r="AI141" i="110" s="1"/>
  <c r="Q133" i="110"/>
  <c r="P141" i="110"/>
  <c r="AJ135" i="110"/>
  <c r="N141" i="110"/>
  <c r="Q141" i="110"/>
  <c r="N133" i="110"/>
  <c r="AE141" i="110"/>
  <c r="M133" i="110"/>
  <c r="R133" i="110"/>
  <c r="O141" i="110"/>
  <c r="AK136" i="110"/>
  <c r="O133" i="110"/>
  <c r="L133" i="110"/>
  <c r="AI133" i="110" s="1"/>
  <c r="AJ139" i="110"/>
  <c r="AK145" i="110"/>
  <c r="Q136" i="110"/>
  <c r="AE133" i="110"/>
  <c r="AK135" i="110"/>
  <c r="AL144" i="110"/>
  <c r="AK137" i="110"/>
  <c r="AL139" i="110"/>
  <c r="AJ142" i="110"/>
  <c r="AL137" i="110"/>
  <c r="M124" i="110"/>
  <c r="R124" i="110"/>
  <c r="L124" i="110"/>
  <c r="AI124" i="110" s="1"/>
  <c r="AL123" i="110"/>
  <c r="AK121" i="110"/>
  <c r="AL126" i="110"/>
  <c r="AL130" i="110"/>
  <c r="O124" i="110"/>
  <c r="AK126" i="110"/>
  <c r="R116" i="110"/>
  <c r="Q116" i="110"/>
  <c r="AE116" i="110"/>
  <c r="AL122" i="110"/>
  <c r="P116" i="110"/>
  <c r="O116" i="110"/>
  <c r="AJ116" i="110" s="1"/>
  <c r="AJ120" i="110"/>
  <c r="L116" i="110"/>
  <c r="AI116" i="110" s="1"/>
  <c r="AJ121" i="110"/>
  <c r="AK119" i="110"/>
  <c r="AJ128" i="110"/>
  <c r="AL103" i="110"/>
  <c r="AJ103" i="110"/>
  <c r="M104" i="110"/>
  <c r="AJ112" i="110"/>
  <c r="R104" i="110"/>
  <c r="AL100" i="110"/>
  <c r="L104" i="110"/>
  <c r="AI104" i="110" s="1"/>
  <c r="O104" i="110"/>
  <c r="N104" i="110"/>
  <c r="P104" i="110"/>
  <c r="AE104" i="110"/>
  <c r="AJ100" i="110"/>
  <c r="AK105" i="110"/>
  <c r="AI114" i="110"/>
  <c r="AJ101" i="110"/>
  <c r="AK113" i="110"/>
  <c r="AK112" i="110"/>
  <c r="AL101" i="110"/>
  <c r="AL105" i="110"/>
  <c r="AJ105" i="110"/>
  <c r="AJ113" i="110"/>
  <c r="AK103" i="110"/>
  <c r="AJ111" i="110"/>
  <c r="AI90" i="110"/>
  <c r="AL90" i="110"/>
  <c r="AL93" i="110"/>
  <c r="Q87" i="110"/>
  <c r="Q89" i="110"/>
  <c r="L87" i="110"/>
  <c r="AI87" i="110" s="1"/>
  <c r="R87" i="110"/>
  <c r="O87" i="110"/>
  <c r="AE87" i="110"/>
  <c r="AK90" i="110"/>
  <c r="M87" i="110"/>
  <c r="AJ90" i="110"/>
  <c r="N87" i="110"/>
  <c r="AJ88" i="110"/>
  <c r="AJ91" i="110"/>
  <c r="AK97" i="110"/>
  <c r="AL84" i="110"/>
  <c r="AL85" i="110"/>
  <c r="AK86" i="110"/>
  <c r="AL92" i="110"/>
  <c r="AJ89" i="110"/>
  <c r="AK84" i="110"/>
  <c r="AL75" i="110"/>
  <c r="AI75" i="110"/>
  <c r="AL77" i="110"/>
  <c r="J63" i="110"/>
  <c r="C63" i="110" s="1"/>
  <c r="B63" i="110" s="1"/>
  <c r="BB16" i="13"/>
  <c r="AN63" i="110" s="1"/>
  <c r="AU16" i="13"/>
  <c r="AM63" i="110" s="1"/>
  <c r="AZ16" i="13"/>
  <c r="AL72" i="110"/>
  <c r="BA16" i="13"/>
  <c r="AJ132" i="110"/>
  <c r="AL86" i="110"/>
  <c r="N117" i="110"/>
  <c r="AK117" i="110" s="1"/>
  <c r="O125" i="110"/>
  <c r="AK73" i="110"/>
  <c r="AK74" i="110"/>
  <c r="O106" i="110"/>
  <c r="O164" i="110"/>
  <c r="AE106" i="110"/>
  <c r="L106" i="110"/>
  <c r="AI106" i="110" s="1"/>
  <c r="AK122" i="110"/>
  <c r="AJ86" i="110"/>
  <c r="AJ122" i="110"/>
  <c r="R12" i="73"/>
  <c r="J40" i="3" s="1"/>
  <c r="AL98" i="110"/>
  <c r="L153" i="110"/>
  <c r="AI153" i="110" s="1"/>
  <c r="R12" i="71"/>
  <c r="J38" i="3" s="1"/>
  <c r="R153" i="110"/>
  <c r="AV10" i="13"/>
  <c r="AL91" i="110"/>
  <c r="AK120" i="110"/>
  <c r="AI174" i="110"/>
  <c r="AK98" i="110"/>
  <c r="Q125" i="110"/>
  <c r="P117" i="110"/>
  <c r="AE164" i="110"/>
  <c r="AE153" i="110"/>
  <c r="AV10" i="73"/>
  <c r="R12" i="72"/>
  <c r="J39" i="3" s="1"/>
  <c r="AL154" i="110"/>
  <c r="AK91" i="110"/>
  <c r="P125" i="110"/>
  <c r="AE125" i="110"/>
  <c r="O138" i="110"/>
  <c r="AL129" i="110"/>
  <c r="L117" i="110"/>
  <c r="AI117" i="110" s="1"/>
  <c r="R12" i="74"/>
  <c r="J41" i="3" s="1"/>
  <c r="M138" i="110"/>
  <c r="P138" i="110"/>
  <c r="O153" i="110"/>
  <c r="AK128" i="110"/>
  <c r="Q106" i="110"/>
  <c r="AJ74" i="110"/>
  <c r="AL128" i="110"/>
  <c r="AE117" i="110"/>
  <c r="L125" i="110"/>
  <c r="AI125" i="110" s="1"/>
  <c r="R117" i="110"/>
  <c r="N153" i="110"/>
  <c r="AJ118" i="110"/>
  <c r="AJ129" i="110"/>
  <c r="R106" i="110"/>
  <c r="R125" i="110"/>
  <c r="P153" i="110"/>
  <c r="M117" i="110"/>
  <c r="AJ117" i="110" s="1"/>
  <c r="L138" i="110"/>
  <c r="AI138" i="110" s="1"/>
  <c r="P106" i="110"/>
  <c r="N106" i="110"/>
  <c r="Q117" i="110"/>
  <c r="AL118" i="110"/>
  <c r="N125" i="110"/>
  <c r="Q153" i="110"/>
  <c r="AL95" i="110"/>
  <c r="AL71" i="110"/>
  <c r="AJ75" i="110"/>
  <c r="AI73" i="110"/>
  <c r="AL76" i="110"/>
  <c r="AK72" i="110"/>
  <c r="AJ73" i="110"/>
  <c r="AI76" i="110"/>
  <c r="AJ77" i="110"/>
  <c r="AL70" i="110"/>
  <c r="AJ71" i="110"/>
  <c r="AK77" i="110"/>
  <c r="AJ66" i="110"/>
  <c r="AK71" i="110"/>
  <c r="AJ64" i="110"/>
  <c r="AJ68" i="110"/>
  <c r="AK66" i="110"/>
  <c r="AJ70" i="110"/>
  <c r="O65" i="110"/>
  <c r="AJ65" i="110" s="1"/>
  <c r="Q65" i="110"/>
  <c r="AE65" i="110"/>
  <c r="L65" i="110"/>
  <c r="AI65" i="110" s="1"/>
  <c r="P65" i="110"/>
  <c r="N65" i="110"/>
  <c r="R65" i="110"/>
  <c r="AL69" i="110"/>
  <c r="AL66" i="110"/>
  <c r="AL73" i="110"/>
  <c r="Q72" i="110"/>
  <c r="AK64" i="110"/>
  <c r="AK68" i="110"/>
  <c r="AL68" i="110"/>
  <c r="AI66" i="110"/>
  <c r="F2" i="3"/>
  <c r="C182" i="3"/>
  <c r="D135" i="3"/>
  <c r="A135" i="3"/>
  <c r="D81" i="3"/>
  <c r="A81" i="3"/>
  <c r="C135" i="3"/>
  <c r="J26" i="76"/>
  <c r="C81" i="3"/>
  <c r="C155" i="3"/>
  <c r="U17" i="81" s="1"/>
  <c r="AV10" i="75" l="1"/>
  <c r="AV10" i="74"/>
  <c r="AV10" i="70"/>
  <c r="AV10" i="72"/>
  <c r="M82" i="110"/>
  <c r="AN82" i="110" s="1"/>
  <c r="AJ108" i="110"/>
  <c r="AJ92" i="110"/>
  <c r="AK171" i="110"/>
  <c r="AL157" i="110"/>
  <c r="R12" i="62"/>
  <c r="AD43" i="78" s="1"/>
  <c r="AJ102" i="110"/>
  <c r="AJ134" i="110"/>
  <c r="G42" i="3"/>
  <c r="AK108" i="110"/>
  <c r="AL64" i="110"/>
  <c r="AL88" i="110"/>
  <c r="AJ171" i="110"/>
  <c r="AK156" i="110"/>
  <c r="AK139" i="110"/>
  <c r="Q169" i="110"/>
  <c r="AK69" i="110"/>
  <c r="AL121" i="110"/>
  <c r="AL67" i="110"/>
  <c r="AJ109" i="110"/>
  <c r="AL109" i="110"/>
  <c r="AE169" i="110"/>
  <c r="AJ156" i="110"/>
  <c r="AL102" i="110"/>
  <c r="AL167" i="110"/>
  <c r="AK109" i="110"/>
  <c r="AK166" i="110"/>
  <c r="AL152" i="110"/>
  <c r="AJ69" i="110"/>
  <c r="AL171" i="110"/>
  <c r="AK152" i="110"/>
  <c r="AK67" i="110"/>
  <c r="AK134" i="110"/>
  <c r="AL173" i="110"/>
  <c r="AJ173" i="110"/>
  <c r="L169" i="110"/>
  <c r="AI169" i="110" s="1"/>
  <c r="R169" i="110"/>
  <c r="N169" i="110"/>
  <c r="AK169" i="110" s="1"/>
  <c r="AL151" i="110"/>
  <c r="Y33" i="108"/>
  <c r="Y32" i="108"/>
  <c r="Z21" i="108"/>
  <c r="Z26" i="108"/>
  <c r="Y22" i="108"/>
  <c r="M169" i="110"/>
  <c r="AJ169" i="110" s="1"/>
  <c r="Z22" i="108"/>
  <c r="AK116" i="110"/>
  <c r="R12" i="75"/>
  <c r="J42" i="3" s="1"/>
  <c r="Y34" i="108"/>
  <c r="Z19" i="108"/>
  <c r="Y27" i="108"/>
  <c r="C81" i="110"/>
  <c r="B81" i="110" s="1"/>
  <c r="L80" i="110"/>
  <c r="AI80" i="110" s="1"/>
  <c r="AE80" i="110"/>
  <c r="P80" i="110"/>
  <c r="M80" i="110"/>
  <c r="O80" i="110"/>
  <c r="R80" i="110"/>
  <c r="N80" i="110"/>
  <c r="Z32" i="108"/>
  <c r="Z29" i="108"/>
  <c r="Z27" i="108"/>
  <c r="Z13" i="108"/>
  <c r="Z16" i="108"/>
  <c r="AV16" i="62"/>
  <c r="N8" i="110" s="1"/>
  <c r="M8" i="110"/>
  <c r="AN8" i="110" s="1"/>
  <c r="AI46" i="81"/>
  <c r="P43" i="78"/>
  <c r="F27" i="3"/>
  <c r="Z17" i="108"/>
  <c r="Z14" i="108"/>
  <c r="BB16" i="75"/>
  <c r="AN164" i="110" s="1"/>
  <c r="Z12" i="75"/>
  <c r="F42" i="3" s="1"/>
  <c r="L82" i="110"/>
  <c r="AI82" i="110" s="1"/>
  <c r="P82" i="110"/>
  <c r="Z33" i="108"/>
  <c r="AK170" i="110"/>
  <c r="P165" i="110"/>
  <c r="BB18" i="75"/>
  <c r="AN165" i="110" s="1"/>
  <c r="AX24" i="115"/>
  <c r="AG82" i="110" s="1"/>
  <c r="Y13" i="108"/>
  <c r="Y16" i="108"/>
  <c r="AE172" i="110"/>
  <c r="M172" i="110"/>
  <c r="O172" i="110"/>
  <c r="P172" i="110"/>
  <c r="R172" i="110"/>
  <c r="L172" i="110"/>
  <c r="AI172" i="110" s="1"/>
  <c r="N172" i="110"/>
  <c r="Q172" i="110"/>
  <c r="Z23" i="108"/>
  <c r="AO80" i="110"/>
  <c r="BE20" i="115"/>
  <c r="BB20" i="115"/>
  <c r="AY20" i="115"/>
  <c r="AZ20" i="115"/>
  <c r="BC18" i="115"/>
  <c r="AJ18" i="115" s="1"/>
  <c r="BD18" i="115"/>
  <c r="BF18" i="115" s="1"/>
  <c r="N82" i="110"/>
  <c r="P169" i="110"/>
  <c r="AJ4" i="110"/>
  <c r="AK4" i="110"/>
  <c r="C4" i="110"/>
  <c r="Y26" i="108"/>
  <c r="BA16" i="62"/>
  <c r="Z35" i="108"/>
  <c r="J169" i="110"/>
  <c r="BB26" i="75"/>
  <c r="AN169" i="110" s="1"/>
  <c r="V12" i="75"/>
  <c r="I42" i="3" s="1"/>
  <c r="N42" i="3" s="1"/>
  <c r="BB30" i="75"/>
  <c r="AN171" i="110" s="1"/>
  <c r="J171" i="110"/>
  <c r="AY22" i="115"/>
  <c r="AL22" i="115"/>
  <c r="AW20" i="115"/>
  <c r="AF80" i="110" s="1"/>
  <c r="AH80" i="110" s="1"/>
  <c r="AV20" i="115"/>
  <c r="Q80" i="110" s="1"/>
  <c r="BB28" i="75"/>
  <c r="AN170" i="110" s="1"/>
  <c r="J170" i="110"/>
  <c r="Y20" i="108"/>
  <c r="Y23" i="108"/>
  <c r="Z34" i="108"/>
  <c r="Y21" i="108"/>
  <c r="Y24" i="108"/>
  <c r="J80" i="110"/>
  <c r="BF20" i="115"/>
  <c r="O43" i="3"/>
  <c r="R82" i="110"/>
  <c r="Y19" i="108"/>
  <c r="Z15" i="108"/>
  <c r="Z18" i="108"/>
  <c r="Z31" i="108"/>
  <c r="Z28" i="108"/>
  <c r="BD24" i="115"/>
  <c r="BC24" i="115"/>
  <c r="AJ24" i="115" s="1"/>
  <c r="O82" i="110"/>
  <c r="AJ82" i="110" s="1"/>
  <c r="Y15" i="108"/>
  <c r="Y18" i="108"/>
  <c r="Y31" i="108"/>
  <c r="Y28" i="108"/>
  <c r="Z30" i="108"/>
  <c r="AZ22" i="115"/>
  <c r="BB22" i="115"/>
  <c r="AO81" i="110"/>
  <c r="AW22" i="115"/>
  <c r="AF81" i="110" s="1"/>
  <c r="AH81" i="110" s="1"/>
  <c r="AO22" i="115"/>
  <c r="AV22" i="115"/>
  <c r="BB18" i="115"/>
  <c r="AY18" i="115"/>
  <c r="AZ18" i="115"/>
  <c r="S79" i="110"/>
  <c r="AW18" i="115"/>
  <c r="AF79" i="110" s="1"/>
  <c r="AH79" i="110" s="1"/>
  <c r="AX18" i="115"/>
  <c r="AG79" i="110" s="1"/>
  <c r="AL18" i="115"/>
  <c r="AU18" i="115"/>
  <c r="AV18" i="115"/>
  <c r="BE18" i="115"/>
  <c r="AO18" i="115"/>
  <c r="S82" i="110"/>
  <c r="AY24" i="115"/>
  <c r="AW24" i="115"/>
  <c r="AF82" i="110" s="1"/>
  <c r="AH82" i="110" s="1"/>
  <c r="BE24" i="115"/>
  <c r="AU24" i="115"/>
  <c r="J82" i="110" s="1"/>
  <c r="AZ24" i="115"/>
  <c r="BB24" i="115"/>
  <c r="AV24" i="115"/>
  <c r="Q82" i="110" s="1"/>
  <c r="BD22" i="115"/>
  <c r="BF22" i="115" s="1"/>
  <c r="BC22" i="115"/>
  <c r="AJ22" i="115" s="1"/>
  <c r="I79" i="110"/>
  <c r="AI42" i="81" s="1"/>
  <c r="H79" i="110"/>
  <c r="AI41" i="81" s="1"/>
  <c r="H82" i="110"/>
  <c r="I82" i="110"/>
  <c r="BF24" i="115"/>
  <c r="AJ87" i="110"/>
  <c r="AL141" i="110"/>
  <c r="AJ124" i="110"/>
  <c r="AL166" i="110"/>
  <c r="AL170" i="110"/>
  <c r="AJ170" i="110"/>
  <c r="AJ166" i="110"/>
  <c r="AJ149" i="110"/>
  <c r="AK149" i="110"/>
  <c r="AL149" i="110"/>
  <c r="AL133" i="110"/>
  <c r="AJ133" i="110"/>
  <c r="AK133" i="110"/>
  <c r="AJ141" i="110"/>
  <c r="AK141" i="110"/>
  <c r="AL124" i="110"/>
  <c r="AK124" i="110"/>
  <c r="AL116" i="110"/>
  <c r="AK104" i="110"/>
  <c r="AJ104" i="110"/>
  <c r="AL104" i="110"/>
  <c r="AK87" i="110"/>
  <c r="AL87" i="110"/>
  <c r="BC16" i="13"/>
  <c r="AK16" i="13" s="1"/>
  <c r="M63" i="110" s="1"/>
  <c r="AL153" i="110"/>
  <c r="AK153" i="110"/>
  <c r="AJ153" i="110"/>
  <c r="AK125" i="110"/>
  <c r="AL125" i="110"/>
  <c r="AJ125" i="110"/>
  <c r="AK164" i="110"/>
  <c r="AJ164" i="110"/>
  <c r="AL164" i="110"/>
  <c r="AL117" i="110"/>
  <c r="AJ106" i="110"/>
  <c r="AL106" i="110"/>
  <c r="AK106" i="110"/>
  <c r="AL138" i="110"/>
  <c r="AK138" i="110"/>
  <c r="AJ138" i="110"/>
  <c r="AK65" i="110"/>
  <c r="AL65" i="110"/>
  <c r="K18" i="57"/>
  <c r="U15" i="81"/>
  <c r="K20" i="57"/>
  <c r="U16" i="81"/>
  <c r="K15" i="57"/>
  <c r="F5" i="3"/>
  <c r="U14" i="81"/>
  <c r="O8" i="110" l="1"/>
  <c r="AJ8" i="110" s="1"/>
  <c r="AK80" i="110"/>
  <c r="AK82" i="110"/>
  <c r="AJ80" i="110"/>
  <c r="AK8" i="110"/>
  <c r="AD44" i="79"/>
  <c r="J52" i="76"/>
  <c r="J27" i="3"/>
  <c r="C175" i="3" s="1"/>
  <c r="AL80" i="110"/>
  <c r="Z12" i="115"/>
  <c r="F36" i="3" s="1"/>
  <c r="F45" i="3" s="1"/>
  <c r="AI47" i="81" s="1"/>
  <c r="AN45" i="81" s="1"/>
  <c r="M5" i="110" s="1"/>
  <c r="AL169" i="110"/>
  <c r="F171" i="110"/>
  <c r="C171" i="110"/>
  <c r="B171" i="110" s="1"/>
  <c r="K171" i="110"/>
  <c r="AV8" i="72"/>
  <c r="AV8" i="74"/>
  <c r="AV8" i="71"/>
  <c r="AV8" i="73"/>
  <c r="AV8" i="13"/>
  <c r="AV8" i="75"/>
  <c r="AV8" i="70"/>
  <c r="C80" i="110"/>
  <c r="B80" i="110" s="1"/>
  <c r="L4" i="110"/>
  <c r="AL4" i="110" s="1"/>
  <c r="B4" i="110"/>
  <c r="M79" i="110"/>
  <c r="P45" i="78" s="1"/>
  <c r="O79" i="110"/>
  <c r="Q79" i="110"/>
  <c r="L79" i="110"/>
  <c r="AI79" i="110" s="1"/>
  <c r="R79" i="110"/>
  <c r="N79" i="110"/>
  <c r="P79" i="110"/>
  <c r="R12" i="115"/>
  <c r="AE79" i="110"/>
  <c r="O81" i="110"/>
  <c r="M81" i="110"/>
  <c r="AN81" i="110" s="1"/>
  <c r="N81" i="110"/>
  <c r="R81" i="110"/>
  <c r="Q81" i="110"/>
  <c r="AE81" i="110"/>
  <c r="P81" i="110"/>
  <c r="L81" i="110"/>
  <c r="AI81" i="110" s="1"/>
  <c r="AN80" i="110"/>
  <c r="AV200" i="115"/>
  <c r="G36" i="3" s="1"/>
  <c r="AL82" i="110"/>
  <c r="J79" i="110"/>
  <c r="C79" i="110" s="1"/>
  <c r="B79" i="110" s="1"/>
  <c r="AU200" i="115"/>
  <c r="V12" i="115"/>
  <c r="I36" i="3" s="1"/>
  <c r="AK172" i="110"/>
  <c r="AL172" i="110"/>
  <c r="AJ172" i="110"/>
  <c r="C169" i="110"/>
  <c r="B169" i="110" s="1"/>
  <c r="F169" i="110"/>
  <c r="K169" i="110"/>
  <c r="C82" i="110"/>
  <c r="B82" i="110" s="1"/>
  <c r="C170" i="110"/>
  <c r="B170" i="110" s="1"/>
  <c r="F170" i="110"/>
  <c r="K170" i="110"/>
  <c r="R63" i="110"/>
  <c r="AE63" i="110"/>
  <c r="Q63" i="110"/>
  <c r="N63" i="110"/>
  <c r="O63" i="110"/>
  <c r="AJ63" i="110" s="1"/>
  <c r="P63" i="110"/>
  <c r="L63" i="110"/>
  <c r="AI63" i="110" s="1"/>
  <c r="R12" i="13"/>
  <c r="J35" i="3" s="1"/>
  <c r="AQ2" i="12"/>
  <c r="AQ2" i="74"/>
  <c r="AQ2" i="76"/>
  <c r="AQ2" i="55"/>
  <c r="AQ2" i="79"/>
  <c r="AQ3" i="67"/>
  <c r="AQ2" i="77"/>
  <c r="AQ2" i="8"/>
  <c r="AQ3" i="68"/>
  <c r="AQ2" i="81"/>
  <c r="AQ2" i="78"/>
  <c r="AQ2" i="71"/>
  <c r="AQ2" i="49"/>
  <c r="AQ2" i="9"/>
  <c r="AQ2" i="72"/>
  <c r="AQ2" i="70"/>
  <c r="AQ2" i="65"/>
  <c r="AQ2" i="58"/>
  <c r="AQ2" i="48"/>
  <c r="AQ2" i="51"/>
  <c r="AQ2" i="80"/>
  <c r="AQ2" i="62"/>
  <c r="AQ2" i="75"/>
  <c r="AQ2" i="115"/>
  <c r="AQ2" i="114"/>
  <c r="AQ2" i="14"/>
  <c r="AQ2" i="64"/>
  <c r="AQ2" i="66"/>
  <c r="AQ2" i="73"/>
  <c r="AQ2" i="50"/>
  <c r="AQ2" i="56"/>
  <c r="AQ2" i="13"/>
  <c r="AQ2" i="57"/>
  <c r="F26" i="3" l="1"/>
  <c r="F47" i="3" s="1"/>
  <c r="F1" i="3" s="1"/>
  <c r="P36" i="14" s="1"/>
  <c r="P43" i="79"/>
  <c r="P42" i="78"/>
  <c r="N5" i="110"/>
  <c r="AK5" i="110" s="1"/>
  <c r="C5" i="110"/>
  <c r="L5" i="110" s="1"/>
  <c r="AI38" i="81" s="1"/>
  <c r="AN5" i="110"/>
  <c r="AJ5" i="110"/>
  <c r="G50" i="81"/>
  <c r="G45" i="3"/>
  <c r="G47" i="3"/>
  <c r="AI39" i="81"/>
  <c r="AK63" i="110"/>
  <c r="AI40" i="81"/>
  <c r="AK79" i="110"/>
  <c r="AL79" i="110"/>
  <c r="AJ79" i="110"/>
  <c r="AN79" i="110"/>
  <c r="P46" i="79"/>
  <c r="N36" i="3"/>
  <c r="I45" i="3"/>
  <c r="I47" i="3"/>
  <c r="AK81" i="110"/>
  <c r="AJ81" i="110"/>
  <c r="AL81" i="110"/>
  <c r="T39" i="14"/>
  <c r="J36" i="3"/>
  <c r="J47" i="3" s="1"/>
  <c r="F3" i="3" s="1"/>
  <c r="AH3" i="68" s="1"/>
  <c r="AL63" i="110"/>
  <c r="P47" i="79" l="1"/>
  <c r="J45" i="3"/>
  <c r="D182" i="3" s="1"/>
  <c r="C177" i="3"/>
  <c r="C174" i="3" s="1"/>
  <c r="M6" i="110"/>
  <c r="G51" i="81"/>
  <c r="O6" i="110" s="1"/>
  <c r="B5" i="110"/>
  <c r="N47" i="3"/>
  <c r="N45" i="3"/>
  <c r="O45" i="3" s="1"/>
  <c r="O47" i="3"/>
  <c r="AB39" i="14"/>
  <c r="D177" i="3"/>
  <c r="D175" i="3"/>
  <c r="AH2" i="72"/>
  <c r="AH2" i="14"/>
  <c r="AH2" i="114"/>
  <c r="AH2" i="12"/>
  <c r="AH2" i="70"/>
  <c r="AH2" i="55"/>
  <c r="AI35" i="81"/>
  <c r="AH2" i="48"/>
  <c r="AH2" i="75"/>
  <c r="AH2" i="65"/>
  <c r="AH2" i="13"/>
  <c r="AH2" i="62"/>
  <c r="AH2" i="80"/>
  <c r="AH2" i="8"/>
  <c r="AH2" i="51"/>
  <c r="AH2" i="49"/>
  <c r="AH2" i="58"/>
  <c r="AH2" i="115"/>
  <c r="AH2" i="77"/>
  <c r="AH2" i="66"/>
  <c r="X36" i="14"/>
  <c r="AH2" i="81"/>
  <c r="AH2" i="76"/>
  <c r="A182" i="3"/>
  <c r="J64" i="76"/>
  <c r="AH3" i="67"/>
  <c r="AH2" i="56"/>
  <c r="AH2" i="71"/>
  <c r="AH2" i="57"/>
  <c r="AH2" i="79"/>
  <c r="AH2" i="64"/>
  <c r="AH2" i="73"/>
  <c r="AD46" i="79"/>
  <c r="AD47" i="79" s="1"/>
  <c r="AH2" i="74"/>
  <c r="AH2" i="78"/>
  <c r="AH2" i="50"/>
  <c r="AH2" i="9"/>
  <c r="AD45" i="78" l="1"/>
  <c r="F4" i="3"/>
  <c r="AL2" i="12" s="1"/>
  <c r="N6" i="110"/>
  <c r="AI37" i="81" s="1"/>
  <c r="AI36" i="81"/>
  <c r="AW8" i="71"/>
  <c r="AW8" i="13"/>
  <c r="AW8" i="72"/>
  <c r="AW8" i="73"/>
  <c r="AW8" i="70"/>
  <c r="AW8" i="74"/>
  <c r="AW8" i="75"/>
  <c r="AI43" i="81"/>
  <c r="P47" i="3"/>
  <c r="AX8" i="13"/>
  <c r="AX8" i="74"/>
  <c r="AX8" i="70"/>
  <c r="AX8" i="75"/>
  <c r="AX8" i="72"/>
  <c r="AX8" i="73"/>
  <c r="AX8" i="71"/>
  <c r="P45" i="3"/>
  <c r="W46" i="79"/>
  <c r="W47" i="79" s="1"/>
  <c r="W45" i="78"/>
  <c r="A174" i="3"/>
  <c r="D174" i="3"/>
  <c r="AL2" i="80" l="1"/>
  <c r="AL2" i="57"/>
  <c r="AL2" i="55"/>
  <c r="AL2" i="73"/>
  <c r="AL2" i="74"/>
  <c r="AL3" i="67"/>
  <c r="AL2" i="66"/>
  <c r="AL2" i="8"/>
  <c r="AL2" i="76"/>
  <c r="AL2" i="71"/>
  <c r="AL2" i="75"/>
  <c r="AL2" i="78"/>
  <c r="AL2" i="50"/>
  <c r="AL2" i="81"/>
  <c r="AL2" i="56"/>
  <c r="AL2" i="48"/>
  <c r="AL2" i="79"/>
  <c r="AL2" i="115"/>
  <c r="AL2" i="65"/>
  <c r="AL2" i="64"/>
  <c r="AL3" i="68"/>
  <c r="AL2" i="114"/>
  <c r="AL2" i="49"/>
  <c r="AL2" i="77"/>
  <c r="AL2" i="62"/>
  <c r="AL2" i="51"/>
  <c r="AL2" i="70"/>
  <c r="AL2" i="13"/>
  <c r="AL2" i="58"/>
  <c r="AL2" i="72"/>
  <c r="AL2" i="9"/>
  <c r="AL2" i="14"/>
  <c r="AX10" i="70"/>
  <c r="AX10" i="73"/>
  <c r="AX10" i="72"/>
  <c r="AX10" i="74"/>
  <c r="AX10" i="71"/>
  <c r="AX10" i="75"/>
  <c r="AX10" i="13"/>
  <c r="AW10" i="13"/>
  <c r="AW10" i="71"/>
  <c r="AW10" i="70"/>
  <c r="AW10" i="72"/>
  <c r="AW10" i="75"/>
  <c r="AW10" i="73"/>
  <c r="AW10" i="74"/>
  <c r="U18" i="8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Gary Gao</author>
  </authors>
  <commentList>
    <comment ref="N11" authorId="0" shapeId="0" xr:uid="{00000000-0006-0000-0400-000001000000}">
      <text>
        <r>
          <rPr>
            <b/>
            <sz val="9"/>
            <color indexed="81"/>
            <rFont val="Tahoma"/>
            <family val="2"/>
          </rPr>
          <t>Gary Gao:</t>
        </r>
        <r>
          <rPr>
            <sz val="9"/>
            <color indexed="81"/>
            <rFont val="Tahoma"/>
            <family val="2"/>
          </rPr>
          <t xml:space="preserve">
Not being utilized for Ameren Missouri</t>
        </r>
      </text>
    </comment>
  </commentList>
</comments>
</file>

<file path=xl/sharedStrings.xml><?xml version="1.0" encoding="utf-8"?>
<sst xmlns="http://schemas.openxmlformats.org/spreadsheetml/2006/main" count="6977" uniqueCount="2382">
  <si>
    <t>Program</t>
  </si>
  <si>
    <t>Application Name</t>
  </si>
  <si>
    <t>Menu Designation</t>
  </si>
  <si>
    <t>Menu Name</t>
  </si>
  <si>
    <t>M1S1</t>
  </si>
  <si>
    <t>M1S2</t>
  </si>
  <si>
    <t>M1S3</t>
  </si>
  <si>
    <t>M1S4</t>
  </si>
  <si>
    <t>M1S5</t>
  </si>
  <si>
    <t>M1S6</t>
  </si>
  <si>
    <t>M1S7</t>
  </si>
  <si>
    <t>M1S8</t>
  </si>
  <si>
    <t>M2S1</t>
  </si>
  <si>
    <t>M2S2</t>
  </si>
  <si>
    <t>M2S3</t>
  </si>
  <si>
    <t>M2S4</t>
  </si>
  <si>
    <t>M2S5</t>
  </si>
  <si>
    <t>M2S6</t>
  </si>
  <si>
    <t>M2S7</t>
  </si>
  <si>
    <t>M2S8</t>
  </si>
  <si>
    <t>M3S1</t>
  </si>
  <si>
    <t>M3S2</t>
  </si>
  <si>
    <t>M3S3</t>
  </si>
  <si>
    <t>M3S4</t>
  </si>
  <si>
    <t>M3S5</t>
  </si>
  <si>
    <t>M3S6</t>
  </si>
  <si>
    <t>M3S7</t>
  </si>
  <si>
    <t>M3S8</t>
  </si>
  <si>
    <t>M4S1</t>
  </si>
  <si>
    <t>M4S2</t>
  </si>
  <si>
    <t>M4S3</t>
  </si>
  <si>
    <t>M4S4</t>
  </si>
  <si>
    <t>M4S5</t>
  </si>
  <si>
    <t>M4S6</t>
  </si>
  <si>
    <t>M4S7</t>
  </si>
  <si>
    <t>M4S8</t>
  </si>
  <si>
    <t>MAIN1</t>
  </si>
  <si>
    <t>MAIN2</t>
  </si>
  <si>
    <t>M5S1</t>
  </si>
  <si>
    <t>M5S2</t>
  </si>
  <si>
    <t>M5S3</t>
  </si>
  <si>
    <t>M5S4</t>
  </si>
  <si>
    <t>M5S5</t>
  </si>
  <si>
    <t>M5S6</t>
  </si>
  <si>
    <t>M5S7</t>
  </si>
  <si>
    <t>M5S8</t>
  </si>
  <si>
    <t>M6S1</t>
  </si>
  <si>
    <t>M6S2</t>
  </si>
  <si>
    <t>M6S3</t>
  </si>
  <si>
    <t>M6S4</t>
  </si>
  <si>
    <t>M6S5</t>
  </si>
  <si>
    <t>M6S6</t>
  </si>
  <si>
    <t>M6S7</t>
  </si>
  <si>
    <t>M6S8</t>
  </si>
  <si>
    <t>M7S1</t>
  </si>
  <si>
    <t>M7S2</t>
  </si>
  <si>
    <t>M7S3</t>
  </si>
  <si>
    <t>M7S4</t>
  </si>
  <si>
    <t>M7S5</t>
  </si>
  <si>
    <t>M7S6</t>
  </si>
  <si>
    <t>M7S7</t>
  </si>
  <si>
    <t>M7S8</t>
  </si>
  <si>
    <t>MAIN3</t>
  </si>
  <si>
    <t>MAIN4</t>
  </si>
  <si>
    <t>MAIN5</t>
  </si>
  <si>
    <t>MAIN6</t>
  </si>
  <si>
    <t>MAIN7</t>
  </si>
  <si>
    <t>Version</t>
  </si>
  <si>
    <t xml:space="preserve"> SUMMARY</t>
  </si>
  <si>
    <t>Section Incentive</t>
  </si>
  <si>
    <t>Section Cost</t>
  </si>
  <si>
    <t>Section kWh Savings</t>
  </si>
  <si>
    <t>Form Title</t>
  </si>
  <si>
    <t>Directions</t>
  </si>
  <si>
    <t>FORM4</t>
  </si>
  <si>
    <t>START</t>
  </si>
  <si>
    <t>PROJECT INFORMATION</t>
  </si>
  <si>
    <t>Terms &amp; Conditions</t>
  </si>
  <si>
    <t>Payment Information</t>
  </si>
  <si>
    <t>Project Summary</t>
  </si>
  <si>
    <t>Application Expiration Date:</t>
  </si>
  <si>
    <t>Company and Site Information</t>
  </si>
  <si>
    <t>Title</t>
  </si>
  <si>
    <t>Primary Phone</t>
  </si>
  <si>
    <t>Secondary Phone</t>
  </si>
  <si>
    <t>City</t>
  </si>
  <si>
    <t>State</t>
  </si>
  <si>
    <t>Zip Code</t>
  </si>
  <si>
    <t># of Floors</t>
  </si>
  <si>
    <t>Mailing Address</t>
  </si>
  <si>
    <t>Payee Company</t>
  </si>
  <si>
    <t>Quantity</t>
  </si>
  <si>
    <t>Total Measure Incentive</t>
  </si>
  <si>
    <t>Estimated kWh Savings</t>
  </si>
  <si>
    <t>Incentive per Unit</t>
  </si>
  <si>
    <t>Location</t>
  </si>
  <si>
    <t>Material Cost/Unit</t>
  </si>
  <si>
    <t>Labor Cost/Unit</t>
  </si>
  <si>
    <t xml:space="preserve">Prescriptive Measure </t>
  </si>
  <si>
    <t>Unit of Measure</t>
  </si>
  <si>
    <t>Inefficient Equipment Description or Condition</t>
  </si>
  <si>
    <t>Installed Location</t>
  </si>
  <si>
    <t>Incentive Result</t>
  </si>
  <si>
    <t>Total Cost</t>
  </si>
  <si>
    <t>Material</t>
  </si>
  <si>
    <t>Labor</t>
  </si>
  <si>
    <t>Estimated Therm Savings</t>
  </si>
  <si>
    <t>Annual kWh/Unit</t>
  </si>
  <si>
    <t>Efficient Brand and Model</t>
  </si>
  <si>
    <t>Annual kWh Savings</t>
  </si>
  <si>
    <t>Company Name</t>
  </si>
  <si>
    <t>Address</t>
  </si>
  <si>
    <t>Site Contact</t>
  </si>
  <si>
    <t>Contact Phone Number</t>
  </si>
  <si>
    <t>Contractor Phone Number</t>
  </si>
  <si>
    <t>Contact Email</t>
  </si>
  <si>
    <t>Contractor Email</t>
  </si>
  <si>
    <t>Total Estimated Incentive</t>
  </si>
  <si>
    <t>Offer Form</t>
  </si>
  <si>
    <t>Completion Form</t>
  </si>
  <si>
    <t>Signature</t>
  </si>
  <si>
    <t>Submit Application</t>
  </si>
  <si>
    <t>Incentive Offer</t>
  </si>
  <si>
    <t>Applicant Information</t>
  </si>
  <si>
    <t>Customer Project Name/ID</t>
  </si>
  <si>
    <t>Contact</t>
  </si>
  <si>
    <t>E-mail</t>
  </si>
  <si>
    <t>Zip</t>
  </si>
  <si>
    <t>Alternate Phone</t>
  </si>
  <si>
    <t>Site Information</t>
  </si>
  <si>
    <t>Site Installation Address</t>
  </si>
  <si>
    <t>Trade Ally/Vendor Information</t>
  </si>
  <si>
    <t>Company</t>
  </si>
  <si>
    <t>Incentive</t>
  </si>
  <si>
    <t>Total</t>
  </si>
  <si>
    <t>Date</t>
  </si>
  <si>
    <t>Page 1 of 1</t>
  </si>
  <si>
    <t>Itemized project invoices (including equipment and labor costs)</t>
  </si>
  <si>
    <t>Payee Email</t>
  </si>
  <si>
    <t>Payee Phone</t>
  </si>
  <si>
    <t>Name</t>
  </si>
  <si>
    <t>Measure Number</t>
  </si>
  <si>
    <t>Energy Type</t>
  </si>
  <si>
    <t>Category</t>
  </si>
  <si>
    <t>Measure Group</t>
  </si>
  <si>
    <t>Measure Subgroup</t>
  </si>
  <si>
    <t>Eff Equip Descr</t>
  </si>
  <si>
    <t>Base Equip Descr</t>
  </si>
  <si>
    <t>Size</t>
  </si>
  <si>
    <t>Unit</t>
  </si>
  <si>
    <t>Inc Rate Unit</t>
  </si>
  <si>
    <t>Measure Life</t>
  </si>
  <si>
    <t>EUL</t>
  </si>
  <si>
    <t>Savings per Unit kWh</t>
  </si>
  <si>
    <t>Savings per Unit KW</t>
  </si>
  <si>
    <t>Incremental Cost</t>
  </si>
  <si>
    <t>SUTO</t>
  </si>
  <si>
    <t>Equip Description</t>
  </si>
  <si>
    <t>Client Description</t>
  </si>
  <si>
    <t>Source</t>
  </si>
  <si>
    <t>Electric</t>
  </si>
  <si>
    <t>Lighting</t>
  </si>
  <si>
    <t>LED</t>
  </si>
  <si>
    <t>O</t>
  </si>
  <si>
    <t>Fixture</t>
  </si>
  <si>
    <t>T5</t>
  </si>
  <si>
    <t>T8</t>
  </si>
  <si>
    <t>HVAC</t>
  </si>
  <si>
    <t>Heat Pump</t>
  </si>
  <si>
    <t>Refrigeration</t>
  </si>
  <si>
    <t>Other</t>
  </si>
  <si>
    <t>Compressed Air</t>
  </si>
  <si>
    <t>3 Pan</t>
  </si>
  <si>
    <t>4 Pan</t>
  </si>
  <si>
    <t>5 Pan</t>
  </si>
  <si>
    <t>6 Pan</t>
  </si>
  <si>
    <t>Savings per Unit therms</t>
  </si>
  <si>
    <t>NA</t>
  </si>
  <si>
    <t>Gas</t>
  </si>
  <si>
    <t>Sq Ft</t>
  </si>
  <si>
    <t>T12</t>
  </si>
  <si>
    <t>Base Desc 1</t>
  </si>
  <si>
    <t>Base Desc 2</t>
  </si>
  <si>
    <t>Eff Desc 1</t>
  </si>
  <si>
    <t>Eff Desc 2</t>
  </si>
  <si>
    <t>Base Watt</t>
  </si>
  <si>
    <t>Eff Watt</t>
  </si>
  <si>
    <t>Change Log</t>
  </si>
  <si>
    <t>Changed By:</t>
  </si>
  <si>
    <t>Version:</t>
  </si>
  <si>
    <t>Date Applied</t>
  </si>
  <si>
    <t>Action Taken</t>
  </si>
  <si>
    <t>T12 - U-Tube - 1 Lamp</t>
  </si>
  <si>
    <t>T12 - U-Tube - 2 Lamp</t>
  </si>
  <si>
    <t>T8 - 4ft - 1 Lamp - 32W</t>
  </si>
  <si>
    <t>T8 - 4ft - 2 Lamp - 32W</t>
  </si>
  <si>
    <t>T8 - 4ft - 3 Lamp - 32W</t>
  </si>
  <si>
    <t>T8 - 4ft - 4 Lamp - 32W</t>
  </si>
  <si>
    <t>Base Watt 1</t>
  </si>
  <si>
    <t>Eff Watt 1</t>
  </si>
  <si>
    <t>Eff Watt 2</t>
  </si>
  <si>
    <t>T8 - 4ft - 1 Lamp - 25W</t>
  </si>
  <si>
    <t>T8 - 4ft - 1 Lamp - 28W</t>
  </si>
  <si>
    <t>T8 - 4ft - 2 Lamp - 25W</t>
  </si>
  <si>
    <t>T8 - 4ft - 2 Lamp - 28W</t>
  </si>
  <si>
    <t>T8 - 4ft - 3 Lamp - 25W</t>
  </si>
  <si>
    <t>T8 - 4ft - 3 Lamp - 28W</t>
  </si>
  <si>
    <t>T8 - 4ft - 4 Lamp - 25W</t>
  </si>
  <si>
    <t>T8 - 4ft - 4 Lamp - 28W</t>
  </si>
  <si>
    <t>T5 - 4ft - 1 Lamp - 54W - HO</t>
  </si>
  <si>
    <t>T5 - 4ft - 2 Lamp - 54W - HO</t>
  </si>
  <si>
    <t>T5 - 4ft - 4 Lamp - 54W - HO</t>
  </si>
  <si>
    <t>T5 - 4ft - 6 Lamp - 54W - HO</t>
  </si>
  <si>
    <t>T5 - 4ft - 8 Lamp - 54W - HO</t>
  </si>
  <si>
    <t>T5 - 4ft - 10 Lamp - 54W - HO</t>
  </si>
  <si>
    <t>New Construction</t>
  </si>
  <si>
    <t>Measure Cost</t>
  </si>
  <si>
    <t>kW Savings</t>
  </si>
  <si>
    <t>Section Therm Savings</t>
  </si>
  <si>
    <t>Year</t>
  </si>
  <si>
    <t>Avoided Capacity Cost $/kW</t>
  </si>
  <si>
    <t>Avoided T&amp;D $/kW</t>
  </si>
  <si>
    <t>Cost Benefit Data</t>
  </si>
  <si>
    <t>Electric and Gas Avoided Cost</t>
  </si>
  <si>
    <t>Electricity Losses</t>
  </si>
  <si>
    <t>AT&amp;D Factor</t>
  </si>
  <si>
    <t>Gas AEC Factor</t>
  </si>
  <si>
    <t>Elec. AEC Factor</t>
  </si>
  <si>
    <t>Elec. ACC Factor</t>
  </si>
  <si>
    <t>Gas Loss</t>
  </si>
  <si>
    <t>Year Number</t>
  </si>
  <si>
    <t>Gas Discount Rate</t>
  </si>
  <si>
    <t>Electricity Discount Rate</t>
  </si>
  <si>
    <t>NPV AEC $/kWh</t>
  </si>
  <si>
    <t>NPV ACC+T&amp;D $/kW</t>
  </si>
  <si>
    <t>NPV GAEC $/therm</t>
  </si>
  <si>
    <t>(1+GLOSS)*(THERM*NPVAEC)/PROJCOST</t>
  </si>
  <si>
    <t>CB Ratio</t>
  </si>
  <si>
    <t>Base Watt 2</t>
  </si>
  <si>
    <t>Incentive Type</t>
  </si>
  <si>
    <t>RCx</t>
  </si>
  <si>
    <t>CMLIGHT</t>
  </si>
  <si>
    <t>CMNONLIGHT</t>
  </si>
  <si>
    <t>NCLIGHT</t>
  </si>
  <si>
    <t>RCX</t>
  </si>
  <si>
    <t>NCNONLIGHT</t>
  </si>
  <si>
    <t>Category 1</t>
  </si>
  <si>
    <t>Category 2</t>
  </si>
  <si>
    <t>Process</t>
  </si>
  <si>
    <t>Custom</t>
  </si>
  <si>
    <t>Custom (Incremental)</t>
  </si>
  <si>
    <t>Water Heating</t>
  </si>
  <si>
    <t>New Equipment Detail</t>
  </si>
  <si>
    <t>Inspection Form</t>
  </si>
  <si>
    <t>Email</t>
  </si>
  <si>
    <t>Company Address</t>
  </si>
  <si>
    <t>Mechanical Engineer</t>
  </si>
  <si>
    <t>Electrical Engineer</t>
  </si>
  <si>
    <t>M02S02F01</t>
  </si>
  <si>
    <t>kWh</t>
  </si>
  <si>
    <t>kW</t>
  </si>
  <si>
    <t>Cost</t>
  </si>
  <si>
    <t>Total Prescriptive Gas</t>
  </si>
  <si>
    <t>Total Prescriptive Electric</t>
  </si>
  <si>
    <t>Total Custom Electric</t>
  </si>
  <si>
    <t>Total Custom Gas</t>
  </si>
  <si>
    <t>Total ALL</t>
  </si>
  <si>
    <t>kWh Status</t>
  </si>
  <si>
    <t>Incentive Status</t>
  </si>
  <si>
    <t>Measures</t>
  </si>
  <si>
    <t>M02S03F01</t>
  </si>
  <si>
    <t>M02S02F02</t>
  </si>
  <si>
    <t>M02S02F03</t>
  </si>
  <si>
    <t>M02S02F04</t>
  </si>
  <si>
    <t>M02S02F05</t>
  </si>
  <si>
    <t>M02S02F06</t>
  </si>
  <si>
    <t>M02S02F07</t>
  </si>
  <si>
    <t>M02S02F08</t>
  </si>
  <si>
    <t>M02S02F09</t>
  </si>
  <si>
    <t>M02S02F10</t>
  </si>
  <si>
    <t>M02S02F11</t>
  </si>
  <si>
    <t>M02S02F12</t>
  </si>
  <si>
    <t>M02S02F13</t>
  </si>
  <si>
    <t>M02S02F14</t>
  </si>
  <si>
    <t>M02S02F15</t>
  </si>
  <si>
    <t>M02S02F16</t>
  </si>
  <si>
    <t>M02S02F17</t>
  </si>
  <si>
    <t>M02S02F18</t>
  </si>
  <si>
    <t>M02S02F19</t>
  </si>
  <si>
    <t>M02S02F20</t>
  </si>
  <si>
    <t>M02S02F21</t>
  </si>
  <si>
    <t>M02S02F22</t>
  </si>
  <si>
    <t>M02S02F23</t>
  </si>
  <si>
    <t>M02S02F24</t>
  </si>
  <si>
    <t>M02S02F25</t>
  </si>
  <si>
    <t>M02S02F26</t>
  </si>
  <si>
    <t>M02S02F27</t>
  </si>
  <si>
    <t>M02S02F28</t>
  </si>
  <si>
    <t>M02S02F29</t>
  </si>
  <si>
    <t>M02S02F30</t>
  </si>
  <si>
    <t>M02S02F31</t>
  </si>
  <si>
    <t>M02S02F32</t>
  </si>
  <si>
    <t>M02S02F33</t>
  </si>
  <si>
    <t>M02S02F34</t>
  </si>
  <si>
    <t>M02S02F35</t>
  </si>
  <si>
    <t>M02S02F36</t>
  </si>
  <si>
    <t>M02S02F37</t>
  </si>
  <si>
    <t>M02S02F38</t>
  </si>
  <si>
    <t>M02S02F39</t>
  </si>
  <si>
    <t>M02S02F40</t>
  </si>
  <si>
    <t>M02S02F41</t>
  </si>
  <si>
    <t>M02S02F42</t>
  </si>
  <si>
    <t>M02S02F43</t>
  </si>
  <si>
    <t>M02S02F44</t>
  </si>
  <si>
    <t>M02S02F45</t>
  </si>
  <si>
    <t>M02S03F02</t>
  </si>
  <si>
    <t>M02S03F03</t>
  </si>
  <si>
    <t>M02S03F04</t>
  </si>
  <si>
    <t>M02S03F05</t>
  </si>
  <si>
    <t>M02S03F06</t>
  </si>
  <si>
    <t>M02S03F07</t>
  </si>
  <si>
    <t>M02S03F08</t>
  </si>
  <si>
    <t>M02S03F09</t>
  </si>
  <si>
    <t>M02S03F10</t>
  </si>
  <si>
    <t>M02S03F11</t>
  </si>
  <si>
    <t>M02S03F12</t>
  </si>
  <si>
    <t>M02S04F01</t>
  </si>
  <si>
    <t>M02S04F02</t>
  </si>
  <si>
    <t>M02S04F03</t>
  </si>
  <si>
    <t>M02S04F04</t>
  </si>
  <si>
    <t>M02S04F05</t>
  </si>
  <si>
    <t>M02S04F06</t>
  </si>
  <si>
    <t>M02S04F07</t>
  </si>
  <si>
    <t>M02S04F08</t>
  </si>
  <si>
    <t>M02S04F09</t>
  </si>
  <si>
    <t>M02S04F10</t>
  </si>
  <si>
    <t>M02S04F11</t>
  </si>
  <si>
    <t>M02S04F12</t>
  </si>
  <si>
    <t>Building Type</t>
  </si>
  <si>
    <t>Automotive Services</t>
  </si>
  <si>
    <t>Education</t>
  </si>
  <si>
    <t>Entertainment/ Recreation</t>
  </si>
  <si>
    <t>Faith-Based</t>
  </si>
  <si>
    <t>Food &amp; Beverage Service</t>
  </si>
  <si>
    <t>Gas Station</t>
  </si>
  <si>
    <t>Government</t>
  </si>
  <si>
    <t>Grocery and Convenience</t>
  </si>
  <si>
    <t>Healthcare</t>
  </si>
  <si>
    <t>Industrial</t>
  </si>
  <si>
    <t>IT/Data Center</t>
  </si>
  <si>
    <t>Lodging</t>
  </si>
  <si>
    <t>Office</t>
  </si>
  <si>
    <t>Parking Garage</t>
  </si>
  <si>
    <t>Retail</t>
  </si>
  <si>
    <t>Warehouse</t>
  </si>
  <si>
    <t>States</t>
  </si>
  <si>
    <t>Alabama</t>
  </si>
  <si>
    <t>AL</t>
  </si>
  <si>
    <t>Montana</t>
  </si>
  <si>
    <t>MT</t>
  </si>
  <si>
    <t>Alaska</t>
  </si>
  <si>
    <t>AK</t>
  </si>
  <si>
    <t>Nebraska</t>
  </si>
  <si>
    <t>NE</t>
  </si>
  <si>
    <t>Arizona</t>
  </si>
  <si>
    <t>AZ</t>
  </si>
  <si>
    <t>Nevada</t>
  </si>
  <si>
    <t>NV</t>
  </si>
  <si>
    <t>Arkansas</t>
  </si>
  <si>
    <t>AR</t>
  </si>
  <si>
    <t>New Hampshire</t>
  </si>
  <si>
    <t>NH</t>
  </si>
  <si>
    <t>California</t>
  </si>
  <si>
    <t>CA</t>
  </si>
  <si>
    <t>New Jersey</t>
  </si>
  <si>
    <t>NJ</t>
  </si>
  <si>
    <t>Colorado</t>
  </si>
  <si>
    <t>CO</t>
  </si>
  <si>
    <t>New Mexico</t>
  </si>
  <si>
    <t>NM</t>
  </si>
  <si>
    <t>Connecticut</t>
  </si>
  <si>
    <t>CT</t>
  </si>
  <si>
    <t>New York</t>
  </si>
  <si>
    <t>NY</t>
  </si>
  <si>
    <t>Delaware</t>
  </si>
  <si>
    <t>DE</t>
  </si>
  <si>
    <t>North Carolina</t>
  </si>
  <si>
    <t>NC</t>
  </si>
  <si>
    <t>Florida</t>
  </si>
  <si>
    <t>FL</t>
  </si>
  <si>
    <t>North Dakota</t>
  </si>
  <si>
    <t>ND</t>
  </si>
  <si>
    <t>Georgia</t>
  </si>
  <si>
    <t>GA</t>
  </si>
  <si>
    <t>Ohio</t>
  </si>
  <si>
    <t>OH</t>
  </si>
  <si>
    <t>Hawaii</t>
  </si>
  <si>
    <t>HI</t>
  </si>
  <si>
    <t>Oklahoma</t>
  </si>
  <si>
    <t>OK</t>
  </si>
  <si>
    <t>Idaho</t>
  </si>
  <si>
    <t>ID</t>
  </si>
  <si>
    <t>Oregon</t>
  </si>
  <si>
    <t>OR</t>
  </si>
  <si>
    <t>Illinois</t>
  </si>
  <si>
    <t>IL</t>
  </si>
  <si>
    <t>Pennsylvania</t>
  </si>
  <si>
    <t>PA</t>
  </si>
  <si>
    <t>Indiana</t>
  </si>
  <si>
    <t>IN</t>
  </si>
  <si>
    <t>Rhode Island</t>
  </si>
  <si>
    <t>RI</t>
  </si>
  <si>
    <t>Iowa</t>
  </si>
  <si>
    <t>IA</t>
  </si>
  <si>
    <t>South Carolina</t>
  </si>
  <si>
    <t>SC</t>
  </si>
  <si>
    <t>Kansas</t>
  </si>
  <si>
    <t>KS</t>
  </si>
  <si>
    <t>South Dakota</t>
  </si>
  <si>
    <t>SD</t>
  </si>
  <si>
    <t>Kentucky</t>
  </si>
  <si>
    <t>KY</t>
  </si>
  <si>
    <t>Tennessee</t>
  </si>
  <si>
    <t>TN</t>
  </si>
  <si>
    <t>Louisiana</t>
  </si>
  <si>
    <t>LA</t>
  </si>
  <si>
    <t>Texas</t>
  </si>
  <si>
    <t>TX</t>
  </si>
  <si>
    <t>Maine</t>
  </si>
  <si>
    <t>ME</t>
  </si>
  <si>
    <t>Utah</t>
  </si>
  <si>
    <t>UT</t>
  </si>
  <si>
    <t>Maryland</t>
  </si>
  <si>
    <t>MD</t>
  </si>
  <si>
    <t>Vermont</t>
  </si>
  <si>
    <t>VT</t>
  </si>
  <si>
    <t>Massachusetts</t>
  </si>
  <si>
    <t>MA</t>
  </si>
  <si>
    <t>Virginia</t>
  </si>
  <si>
    <t>VA</t>
  </si>
  <si>
    <t>Michigan</t>
  </si>
  <si>
    <t>MI</t>
  </si>
  <si>
    <t>Washington</t>
  </si>
  <si>
    <t>WA</t>
  </si>
  <si>
    <t>Minnesota</t>
  </si>
  <si>
    <t>MN</t>
  </si>
  <si>
    <t>West Virginia</t>
  </si>
  <si>
    <t>WV</t>
  </si>
  <si>
    <t>Mississippi</t>
  </si>
  <si>
    <t>MS</t>
  </si>
  <si>
    <t>Wisconsin</t>
  </si>
  <si>
    <t>WI</t>
  </si>
  <si>
    <t>Missouri</t>
  </si>
  <si>
    <t>MO</t>
  </si>
  <si>
    <t>Wyoming</t>
  </si>
  <si>
    <t>WY</t>
  </si>
  <si>
    <t>Abbrev</t>
  </si>
  <si>
    <t>Space Conditioning</t>
  </si>
  <si>
    <t>Natural Gas</t>
  </si>
  <si>
    <t>Oil</t>
  </si>
  <si>
    <t>AC with Natural Gas Heat</t>
  </si>
  <si>
    <t>AC with Electric Heat</t>
  </si>
  <si>
    <t>Electric Heat Only</t>
  </si>
  <si>
    <t>Natural Gas Heat Only</t>
  </si>
  <si>
    <t>Contractor-Installed</t>
  </si>
  <si>
    <t>Self-Installed</t>
  </si>
  <si>
    <t>Installer</t>
  </si>
  <si>
    <t>Phone</t>
  </si>
  <si>
    <t>First</t>
  </si>
  <si>
    <t>Last</t>
  </si>
  <si>
    <t>Site</t>
  </si>
  <si>
    <t>Terms</t>
  </si>
  <si>
    <t>Payment to</t>
  </si>
  <si>
    <t>Tax Entity</t>
  </si>
  <si>
    <t>M02S04F12.1</t>
  </si>
  <si>
    <t xml:space="preserve">Please fill out the company information below. For the purposes of this application "Company" is the headquarters or primary office that is responsible for a given site(s) where the project is being implemented.  </t>
  </si>
  <si>
    <t>Please fill out the site information below. If there is not a higher business entity than the site where the project is being performed, then "Company" and "Site" are the same.</t>
  </si>
  <si>
    <t>1. Application Completion Progress Checklist</t>
  </si>
  <si>
    <t>2. Application Submittal Attachment Steps</t>
  </si>
  <si>
    <t>3. Submittal and Next Steps</t>
  </si>
  <si>
    <t>As part of our commitment to achieve realized kWh savings, all projects are subject to random inspections. If you receive a visit from one of our inspectors they will refer to this project, ask a couple of questions, and perform a verification.</t>
  </si>
  <si>
    <t>Please feel free to contact us with any questions about this project or any other project. (Reference our contact information below).</t>
  </si>
  <si>
    <t>a.</t>
  </si>
  <si>
    <t>b.</t>
  </si>
  <si>
    <t>c.</t>
  </si>
  <si>
    <t>d.</t>
  </si>
  <si>
    <t>Save this application with an unique file name.</t>
  </si>
  <si>
    <t>Gather all required documents to submit, such as</t>
  </si>
  <si>
    <t>Corporation</t>
  </si>
  <si>
    <t>Exempt</t>
  </si>
  <si>
    <t>LLC</t>
  </si>
  <si>
    <t>Individual/Sole Proprietor</t>
  </si>
  <si>
    <t>Partnership, LLP</t>
  </si>
  <si>
    <t>Therm</t>
  </si>
  <si>
    <t>Total Incentive</t>
  </si>
  <si>
    <t>Project Status</t>
  </si>
  <si>
    <t>Therm Status</t>
  </si>
  <si>
    <t>Project ID</t>
  </si>
  <si>
    <t>Total Cost (Include ALL Measures)</t>
  </si>
  <si>
    <t>Progress</t>
  </si>
  <si>
    <t>M02S03F13</t>
  </si>
  <si>
    <t>M02S03F14</t>
  </si>
  <si>
    <t>M02S03F15</t>
  </si>
  <si>
    <t>M02S03F16</t>
  </si>
  <si>
    <t>M02S03F17</t>
  </si>
  <si>
    <t>Required</t>
  </si>
  <si>
    <t>Measure Data</t>
  </si>
  <si>
    <t>M03S01-M03S05</t>
  </si>
  <si>
    <t>M03S06-M03S08</t>
  </si>
  <si>
    <t>M04S01-M04S02</t>
  </si>
  <si>
    <t>M04S04</t>
  </si>
  <si>
    <t>Progress Status</t>
  </si>
  <si>
    <t>M05S02F01</t>
  </si>
  <si>
    <t>M05S02F02</t>
  </si>
  <si>
    <t>M05S02F03</t>
  </si>
  <si>
    <t>M02S04TB1</t>
  </si>
  <si>
    <t>M02S01TB1</t>
  </si>
  <si>
    <t>Payment Agreement Checkbox 1*</t>
  </si>
  <si>
    <t>App Version</t>
  </si>
  <si>
    <t>Incentive Total</t>
  </si>
  <si>
    <t>Engineer</t>
  </si>
  <si>
    <t>Status</t>
  </si>
  <si>
    <t>Review Date</t>
  </si>
  <si>
    <t>Inspection Date</t>
  </si>
  <si>
    <t>Savings kWh</t>
  </si>
  <si>
    <t>Primary Contact / Site Contact</t>
  </si>
  <si>
    <t>Customer Contact / Company Contact</t>
  </si>
  <si>
    <t>Trade Ally Contact / Contractor Contact</t>
  </si>
  <si>
    <t>Application Info</t>
  </si>
  <si>
    <t>Customer Name</t>
  </si>
  <si>
    <t>Site Address</t>
  </si>
  <si>
    <t>City, State, Zip</t>
  </si>
  <si>
    <t>Phone 1/Phone 2</t>
  </si>
  <si>
    <t>Propane</t>
  </si>
  <si>
    <t>Steam</t>
  </si>
  <si>
    <t>Bldg Heat Source</t>
  </si>
  <si>
    <t>Water Heat Source</t>
  </si>
  <si>
    <t>Owner/Tenant</t>
  </si>
  <si>
    <t>Annual Hrs/Op</t>
  </si>
  <si>
    <t>Contact Name</t>
  </si>
  <si>
    <t>Notes</t>
  </si>
  <si>
    <t>Payee Information</t>
  </si>
  <si>
    <t>Payee Name</t>
  </si>
  <si>
    <t>Payee Address</t>
  </si>
  <si>
    <t>Tax ID</t>
  </si>
  <si>
    <t>Account Name</t>
  </si>
  <si>
    <t>Savings kW</t>
  </si>
  <si>
    <t>Project Description</t>
  </si>
  <si>
    <t>Project Cost</t>
  </si>
  <si>
    <t>Inspection Report</t>
  </si>
  <si>
    <t>Inspector Name</t>
  </si>
  <si>
    <t>Inspection Checklist</t>
  </si>
  <si>
    <t>Inspection Info</t>
  </si>
  <si>
    <t>Inspection Type</t>
  </si>
  <si>
    <t>Action items prior to site inspection</t>
  </si>
  <si>
    <t>(Pass or Fail)</t>
  </si>
  <si>
    <t>Result</t>
  </si>
  <si>
    <t>Review record wall, closed activities, and emails for additional project information to note</t>
  </si>
  <si>
    <t>Action items after site inspection</t>
  </si>
  <si>
    <t>Complete this inspection report form</t>
  </si>
  <si>
    <t>Coordinate with involved parties for an inspection, note scheduled date on the project record wall</t>
  </si>
  <si>
    <r>
      <t xml:space="preserve">Review project </t>
    </r>
    <r>
      <rPr>
        <b/>
        <i/>
        <sz val="10"/>
        <color theme="1"/>
        <rFont val="Arial"/>
        <family val="2"/>
      </rPr>
      <t>baseline</t>
    </r>
    <r>
      <rPr>
        <i/>
        <sz val="10"/>
        <color theme="1"/>
        <rFont val="Arial"/>
        <family val="2"/>
      </rPr>
      <t xml:space="preserve"> equipment, quantity, location, and hours of operation</t>
    </r>
  </si>
  <si>
    <r>
      <t xml:space="preserve">Review project </t>
    </r>
    <r>
      <rPr>
        <b/>
        <i/>
        <sz val="10"/>
        <color theme="1"/>
        <rFont val="Arial"/>
        <family val="2"/>
      </rPr>
      <t>efficient</t>
    </r>
    <r>
      <rPr>
        <i/>
        <sz val="10"/>
        <color theme="1"/>
        <rFont val="Arial"/>
        <family val="2"/>
      </rPr>
      <t xml:space="preserve"> equipment, quantity, location, and hours of operation</t>
    </r>
  </si>
  <si>
    <t>Upload photos and additional information into LM-Captures and the project folder</t>
  </si>
  <si>
    <t xml:space="preserve">Complete LM-Captures Inspection fields </t>
  </si>
  <si>
    <t>Additional Information</t>
  </si>
  <si>
    <t>Comments:</t>
  </si>
  <si>
    <t>Potential Future Projects:</t>
  </si>
  <si>
    <t>Report Completion Date</t>
  </si>
  <si>
    <t>Use the following form to complete your inspection report.</t>
  </si>
  <si>
    <t>ProjectID</t>
  </si>
  <si>
    <t>MeasureCode</t>
  </si>
  <si>
    <t>UploadID</t>
  </si>
  <si>
    <t>CostBenefit</t>
  </si>
  <si>
    <t>(NONE)</t>
  </si>
  <si>
    <t>InitialEst.CompletionForm</t>
  </si>
  <si>
    <t>PayeeCompany</t>
  </si>
  <si>
    <t>PayeeAttnTo</t>
  </si>
  <si>
    <t>PayeeAddress1</t>
  </si>
  <si>
    <t>PayeeAddress2</t>
  </si>
  <si>
    <t>PayeeCity</t>
  </si>
  <si>
    <t>PayeeState</t>
  </si>
  <si>
    <t>PayeeZipCode</t>
  </si>
  <si>
    <t>PayeePhone</t>
  </si>
  <si>
    <t>LineNumber</t>
  </si>
  <si>
    <t>Site Name</t>
  </si>
  <si>
    <t>Follow up and record activities if applicable</t>
  </si>
  <si>
    <t>Account #</t>
  </si>
  <si>
    <t>Air Comp</t>
  </si>
  <si>
    <t>Building Shell</t>
  </si>
  <si>
    <t>Cooking</t>
  </si>
  <si>
    <t>Cooling</t>
  </si>
  <si>
    <t>Ext Lighting</t>
  </si>
  <si>
    <t>Heating</t>
  </si>
  <si>
    <t>Miscellaneous</t>
  </si>
  <si>
    <t>Motors</t>
  </si>
  <si>
    <t>PrimaryContactFirst</t>
  </si>
  <si>
    <t>PrimaryContactLast</t>
  </si>
  <si>
    <t>PrimaryTitle</t>
  </si>
  <si>
    <t>PrimaryCompany</t>
  </si>
  <si>
    <t>PrimaryPhone</t>
  </si>
  <si>
    <t>PrimaryEmail</t>
  </si>
  <si>
    <t>PrimaryAddress</t>
  </si>
  <si>
    <t>PrimaryCity</t>
  </si>
  <si>
    <t>PrimaryState</t>
  </si>
  <si>
    <t>PrimaryZip</t>
  </si>
  <si>
    <t>CustomerContactFirst</t>
  </si>
  <si>
    <t>CustomerContactLast</t>
  </si>
  <si>
    <t>CustomerTitle</t>
  </si>
  <si>
    <t>CustomerCompany</t>
  </si>
  <si>
    <t>CustomerPhone</t>
  </si>
  <si>
    <t>CustomerEmail</t>
  </si>
  <si>
    <t>CustomerAddress</t>
  </si>
  <si>
    <t>CustomerCity</t>
  </si>
  <si>
    <t>CustomerState</t>
  </si>
  <si>
    <t>CustomerZip</t>
  </si>
  <si>
    <t>TradeAllyContactFirst</t>
  </si>
  <si>
    <t>TradeAllyContactLast</t>
  </si>
  <si>
    <t>TradeAllyTitle</t>
  </si>
  <si>
    <t>TradeAllyCompany</t>
  </si>
  <si>
    <t>TradeAllyPhone</t>
  </si>
  <si>
    <t>TradeAllyEmail</t>
  </si>
  <si>
    <t>TradeAllyAddress</t>
  </si>
  <si>
    <t>TradeAllyCity</t>
  </si>
  <si>
    <t>TradeAllyState</t>
  </si>
  <si>
    <t>TradeAllyZip</t>
  </si>
  <si>
    <t>Ameren</t>
  </si>
  <si>
    <t>Lighting Controls</t>
  </si>
  <si>
    <t>Account Number 2</t>
  </si>
  <si>
    <t>Account Number 3</t>
  </si>
  <si>
    <t>Account Number 4</t>
  </si>
  <si>
    <t>Tax Liability:  Incentives are taxable if greater than $600 for business customers, and will be reported to the IRS unless you are exempt. Ameren Missouri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t>
  </si>
  <si>
    <t>I am authorizing this payment of my incentive to the third party (“Payee”) named above and I understand that I will not be receiving the incentive check from Ameren Missouri.  I also understand that my release of the payment to the third party does not exempt me from the incentive requirements outlined in this application.   Tax Liability:  Incentives are taxable if greater than $600 for business customers, and will be reported to the IRS unless you are exempt.  Ameren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t>
  </si>
  <si>
    <t>Ameren Missouri</t>
  </si>
  <si>
    <t>Form 020PR</t>
  </si>
  <si>
    <t>End Use to Coincident Peak Demand Factors</t>
  </si>
  <si>
    <t>Factor</t>
  </si>
  <si>
    <t>End Use Factor</t>
  </si>
  <si>
    <t>Interior</t>
  </si>
  <si>
    <t>Exterior (Dusk to Dawn)</t>
  </si>
  <si>
    <t>Exterior (24/7)</t>
  </si>
  <si>
    <t>Garage (24/7)</t>
  </si>
  <si>
    <t>Payback</t>
  </si>
  <si>
    <t xml:space="preserve">Deemed kW </t>
  </si>
  <si>
    <t>End Use Category Equivalent</t>
  </si>
  <si>
    <t>Avoid Energy Cost $/MWh</t>
  </si>
  <si>
    <t>Avoided Energy Cost $/MMBTU</t>
  </si>
  <si>
    <t>Peak T&amp;D Adj Factor</t>
  </si>
  <si>
    <t>Capacity Reserve Margin</t>
  </si>
  <si>
    <t>Equation</t>
  </si>
  <si>
    <t>(1+ELOSS)*PEAKTD*(1+CAPRESERVE)*((KWH*NPVAEC)+(KW*NPVACCTD))/PROJCOST</t>
  </si>
  <si>
    <t>Welcome</t>
  </si>
  <si>
    <t>Motor / VFD / Pump</t>
  </si>
  <si>
    <t>2 ft</t>
  </si>
  <si>
    <t>Measure Subgroup 1</t>
  </si>
  <si>
    <t>Measure Subgroup 2</t>
  </si>
  <si>
    <t>1 Lamp</t>
  </si>
  <si>
    <t>T12 VHO - 8 ft - 4 Lamp</t>
  </si>
  <si>
    <t>Pulse Start MH - 200 Watt</t>
  </si>
  <si>
    <t>Order</t>
  </si>
  <si>
    <t>11</t>
  </si>
  <si>
    <t>Incandescent (Please Describe)</t>
  </si>
  <si>
    <t>12</t>
  </si>
  <si>
    <t>CFL (Please Describe)</t>
  </si>
  <si>
    <t>01</t>
  </si>
  <si>
    <t>T12 - 2 ft - 1 Lamp</t>
  </si>
  <si>
    <t>T12 - 2 ft - 2 Lamp</t>
  </si>
  <si>
    <t>T12 - 3 ft - 1 Lamp</t>
  </si>
  <si>
    <t>T12 - 3 ft - 2 Lamp</t>
  </si>
  <si>
    <t>T12 - 4 ft - 1 Lamp</t>
  </si>
  <si>
    <t>T12 - 4 ft - 2 Lamp</t>
  </si>
  <si>
    <t>T12 - 4 ft - 3 Lamp</t>
  </si>
  <si>
    <t>T12 - 4 ft - 4 Lamp</t>
  </si>
  <si>
    <t>T12 - 8 ft - 1 Lamp</t>
  </si>
  <si>
    <t>T12 - 8 ft - 2 Lamp</t>
  </si>
  <si>
    <t>T12 - 8 ft - 3 Lamp</t>
  </si>
  <si>
    <t>T12 - 8 ft - 4 Lamp</t>
  </si>
  <si>
    <t>02</t>
  </si>
  <si>
    <t>T12 HO - 8 ft - 1 Lamp</t>
  </si>
  <si>
    <t>T12 HO - 8 ft - 2 Lamp</t>
  </si>
  <si>
    <t>T12 HO - 8 ft - 3 Lamp</t>
  </si>
  <si>
    <t>T12 HO - 8 ft - 4 Lamp</t>
  </si>
  <si>
    <t>03</t>
  </si>
  <si>
    <t>T12 VHO - 8 ft - 1 Lamp</t>
  </si>
  <si>
    <t>T12 VHO - 8 ft - 2 Lamp</t>
  </si>
  <si>
    <t>T12 VHO - 8 ft - 3 Lamp</t>
  </si>
  <si>
    <t>04</t>
  </si>
  <si>
    <t>T8 - 2 ft - 1 Lamp</t>
  </si>
  <si>
    <t>T8 - 2 ft - 2 Lamp</t>
  </si>
  <si>
    <t>T8 - 3 ft - 1 Lamp</t>
  </si>
  <si>
    <t>T8 - 3 ft - 2 Lamp</t>
  </si>
  <si>
    <t>T8 - 4 ft - 1 Lamp</t>
  </si>
  <si>
    <t>T8 - 4 ft - 2 Lamp</t>
  </si>
  <si>
    <t>T8 - 4 ft - 3 Lamp</t>
  </si>
  <si>
    <t>T8 - 4 ft - 4 Lamp</t>
  </si>
  <si>
    <t>T8 - 8 ft - 1 Lamp</t>
  </si>
  <si>
    <t>T8 - 8 ft - 2 Lamp</t>
  </si>
  <si>
    <t>T8 - 8 ft - 3 Lamp</t>
  </si>
  <si>
    <t>T8 - 8 ft - 4 Lamp</t>
  </si>
  <si>
    <t>05</t>
  </si>
  <si>
    <t>T8 HO - 8 ft - 1 Lamp</t>
  </si>
  <si>
    <t>T8 HO - 8 ft - 2 Lamp</t>
  </si>
  <si>
    <t>T8 HO - 8 ft - 3 Lamp</t>
  </si>
  <si>
    <t>T8 HO - 8 ft - 4 Lamp</t>
  </si>
  <si>
    <t>T8 - U-Tube - 1 Lamp</t>
  </si>
  <si>
    <t>T8 - U-Tube - 2 Lamp</t>
  </si>
  <si>
    <t>06</t>
  </si>
  <si>
    <t>07</t>
  </si>
  <si>
    <t>MH - 70 Watt</t>
  </si>
  <si>
    <t>MH - 100 Watt</t>
  </si>
  <si>
    <t>MH - 175 Watt</t>
  </si>
  <si>
    <t>MH - 250 Watt</t>
  </si>
  <si>
    <t>MH - 400 Watt</t>
  </si>
  <si>
    <t>MH - 1000 Watt</t>
  </si>
  <si>
    <t>08</t>
  </si>
  <si>
    <t>Pulse Start MH - 320 Watt</t>
  </si>
  <si>
    <t>Pulse Start MH - 400 Watt</t>
  </si>
  <si>
    <t>10</t>
  </si>
  <si>
    <t>HPS - 35 Watt</t>
  </si>
  <si>
    <t>HPS - 50 Watt</t>
  </si>
  <si>
    <t>HPS - 70 watt</t>
  </si>
  <si>
    <t>HPS - 100 Watt</t>
  </si>
  <si>
    <t>HPS - 150 Watt</t>
  </si>
  <si>
    <t>HPS - 200 Watt</t>
  </si>
  <si>
    <t>HPS - 250 Watt</t>
  </si>
  <si>
    <t>HPS - 400 Watt</t>
  </si>
  <si>
    <t>HPS - 1000 Watt</t>
  </si>
  <si>
    <t>09</t>
  </si>
  <si>
    <t>MV - 40 Watt</t>
  </si>
  <si>
    <t>MV - 50 Watt</t>
  </si>
  <si>
    <t>MV - 75 Watt</t>
  </si>
  <si>
    <t>MV - 100 Watt</t>
  </si>
  <si>
    <t>MV - 175 Watt</t>
  </si>
  <si>
    <t>MV - 250 Watt</t>
  </si>
  <si>
    <t>MV - 400 Watt</t>
  </si>
  <si>
    <t>17</t>
  </si>
  <si>
    <t>15</t>
  </si>
  <si>
    <t>14</t>
  </si>
  <si>
    <t>13</t>
  </si>
  <si>
    <t>16</t>
  </si>
  <si>
    <t>Incandescent Lamp</t>
  </si>
  <si>
    <t>CFL Lamp</t>
  </si>
  <si>
    <t>2 Lamp</t>
  </si>
  <si>
    <t>3 ft</t>
  </si>
  <si>
    <t>4 ft</t>
  </si>
  <si>
    <t>3 Lamp</t>
  </si>
  <si>
    <t>4 Lamp</t>
  </si>
  <si>
    <t>8 ft</t>
  </si>
  <si>
    <t>T12 HO</t>
  </si>
  <si>
    <t>T12 VHO</t>
  </si>
  <si>
    <t>U-Tube</t>
  </si>
  <si>
    <t>T8 HO</t>
  </si>
  <si>
    <t>6 Lamp</t>
  </si>
  <si>
    <t>8 Lamp</t>
  </si>
  <si>
    <t>10 Lamp</t>
  </si>
  <si>
    <t>Metal Halide</t>
  </si>
  <si>
    <t>70 Watt</t>
  </si>
  <si>
    <t>100 Watt</t>
  </si>
  <si>
    <t>175 Watt</t>
  </si>
  <si>
    <t>250 Watt</t>
  </si>
  <si>
    <t>400 Watt</t>
  </si>
  <si>
    <t>1000 Watt</t>
  </si>
  <si>
    <t>Pulse Start Metal Halide</t>
  </si>
  <si>
    <t>200 Watt</t>
  </si>
  <si>
    <t>320 Watt</t>
  </si>
  <si>
    <t>High Pressure Sodium</t>
  </si>
  <si>
    <t>35 Watt</t>
  </si>
  <si>
    <t>50 Watt</t>
  </si>
  <si>
    <t>70 watt</t>
  </si>
  <si>
    <t>150 Watt</t>
  </si>
  <si>
    <t>Mercury Vapor</t>
  </si>
  <si>
    <t>40 Watt</t>
  </si>
  <si>
    <t>75 Watt</t>
  </si>
  <si>
    <t>T8 25 Watt - 3 ft - 1 Lamp</t>
  </si>
  <si>
    <t>T8 25 Watt - 3 ft - 2 Lamp</t>
  </si>
  <si>
    <t>T8 25 Watt - 4 ft - 1 Lamp</t>
  </si>
  <si>
    <t>T8 25 Watt - 4 ft - 2 Lamp</t>
  </si>
  <si>
    <t>T8 25 Watt - 4 ft - 3 Lamp</t>
  </si>
  <si>
    <t>T8 25 Watt - 4 ft - 4 Lamp</t>
  </si>
  <si>
    <t>T8 25 Watt - U-Tube - 1 Lamp</t>
  </si>
  <si>
    <t>T8 25 Watt - U-Tube - 2 Lamp</t>
  </si>
  <si>
    <t>T8 28 Watt - 4 ft - 1 Lamp</t>
  </si>
  <si>
    <t>T8 28 Watt - 4 ft - 2 Lamp</t>
  </si>
  <si>
    <t>T8 28 Watt - 4 ft - 3 Lamp</t>
  </si>
  <si>
    <t>T8 28 Watt - 4 ft - 4 Lamp</t>
  </si>
  <si>
    <t>T8 28 Watt - U-Tube - 1 Lamp</t>
  </si>
  <si>
    <t>T8 28 Watt - U-Tube - 2 Lamp</t>
  </si>
  <si>
    <t>T8 32 Watt - 4 ft - 1 Lamp</t>
  </si>
  <si>
    <t>T8 32 Watt - 4 ft - 2 Lamp</t>
  </si>
  <si>
    <t>T8 32 Watt - 4 ft - 3 Lamp</t>
  </si>
  <si>
    <t>T8 32 Watt - 4 ft - 4 Lamp</t>
  </si>
  <si>
    <t>T8 32 Watt - U-Tube - 1 Lamp</t>
  </si>
  <si>
    <t>T8 32 Watt - U-Tube - 2 Lamp</t>
  </si>
  <si>
    <t>Linear Tube LED Fixture</t>
  </si>
  <si>
    <t>Non Linear LED Fixture</t>
  </si>
  <si>
    <t>T8 25 Watt</t>
  </si>
  <si>
    <t>T8 28 Watt</t>
  </si>
  <si>
    <t>T8 32 Watt</t>
  </si>
  <si>
    <t>Application Tab</t>
  </si>
  <si>
    <t>End Use Category</t>
  </si>
  <si>
    <t>Units</t>
  </si>
  <si>
    <t>PTAC Unit</t>
  </si>
  <si>
    <t>Ground Source Heat Pump</t>
  </si>
  <si>
    <t>Water Loop Heat Pump</t>
  </si>
  <si>
    <t>Demand Control Ventilation</t>
  </si>
  <si>
    <t>Air Cooled Chiller</t>
  </si>
  <si>
    <t>Water Cooled Chiller</t>
  </si>
  <si>
    <t>CRAC Unit</t>
  </si>
  <si>
    <t>Window Film</t>
  </si>
  <si>
    <t>Window Replacement</t>
  </si>
  <si>
    <t>Garage (Dusk to Dawn)</t>
  </si>
  <si>
    <t>Dimming Occupancy Sensor</t>
  </si>
  <si>
    <t>On/Off Occupancy Sensor</t>
  </si>
  <si>
    <t>Dimming Daylight Sensor</t>
  </si>
  <si>
    <t>On/Off Daylight Sensor</t>
  </si>
  <si>
    <t>Cooking / Water Heat</t>
  </si>
  <si>
    <t>Heat Pump Water Heater</t>
  </si>
  <si>
    <t>Heat Pump Pool Heater</t>
  </si>
  <si>
    <t>Compressed Air / Process</t>
  </si>
  <si>
    <t>Compressed Air Optimization</t>
  </si>
  <si>
    <t>Compressed Air Engineered Nozzle</t>
  </si>
  <si>
    <t>Compressor Optimization</t>
  </si>
  <si>
    <t>Optimizing Process Cooling</t>
  </si>
  <si>
    <t>Optimizing Process Heating</t>
  </si>
  <si>
    <t>Motor/Pump/VFD</t>
  </si>
  <si>
    <t>VFD for Fan</t>
  </si>
  <si>
    <t>VFD for Pump</t>
  </si>
  <si>
    <t>ECM Motor for Refrigeration</t>
  </si>
  <si>
    <t>ECM Motor for HVAC</t>
  </si>
  <si>
    <t>Refrigeration Insulation</t>
  </si>
  <si>
    <t>Freezer Insulation</t>
  </si>
  <si>
    <t>Wall Insulation</t>
  </si>
  <si>
    <t>Proj Desc 1</t>
  </si>
  <si>
    <t>Proj Desc 2</t>
  </si>
  <si>
    <t>Hot Food Holding Cabinent</t>
  </si>
  <si>
    <t>Commercial Cooker</t>
  </si>
  <si>
    <t>Commercial Fryer</t>
  </si>
  <si>
    <t>Commercial Steamer</t>
  </si>
  <si>
    <t>Commercial Range Hood</t>
  </si>
  <si>
    <t>Commercial Refrigerator</t>
  </si>
  <si>
    <t>Commercial Freezer</t>
  </si>
  <si>
    <t>VFD for Chiller</t>
  </si>
  <si>
    <t>HVAC Controls / EMS</t>
  </si>
  <si>
    <t>Packaged / Rooftop Unit</t>
  </si>
  <si>
    <t>VFD for Air Compressor</t>
  </si>
  <si>
    <t>Invalid</t>
  </si>
  <si>
    <t>T12 - 4ft - 4 Lamp - 164W Actual</t>
  </si>
  <si>
    <t>T12 - 8ft - 1 Lamp - 83W Actual</t>
  </si>
  <si>
    <t>T12 - 8ft - 2 Lamp - 138W Actual</t>
  </si>
  <si>
    <t>T12 - 8ft - 3 Lamp - 221W Actual</t>
  </si>
  <si>
    <t>T12 - 8ft - 4 Lamp - 276W Actual</t>
  </si>
  <si>
    <t>T12 - 8ft - 1 Lamp - HO - 125W Actual</t>
  </si>
  <si>
    <t>T12 - 8ft - 2 Lamp - HO - 227W Actual</t>
  </si>
  <si>
    <t>T12 - 8ft - 1 Lamp  - VHO - 200W Actual</t>
  </si>
  <si>
    <t>T12 - 8ft - 2 Lamp - VHO - 400W Actual</t>
  </si>
  <si>
    <t>T12 - 8ft - 3 Lamp - VHO - 600W Actual</t>
  </si>
  <si>
    <t>T12 - U-Tube - 1 Lamp - 51W Actual</t>
  </si>
  <si>
    <t>T12 - U-Tube - 2 Lamp - 82W Actual</t>
  </si>
  <si>
    <t>T8 - 2ft - 1 Lamp - 18W</t>
  </si>
  <si>
    <t>T8 - 2ft - 2 Lamp - 18W</t>
  </si>
  <si>
    <t>T8 - 8ft - 1 Lamp - 59W</t>
  </si>
  <si>
    <t>T8 - 8ft - 2 Lamp - 59W</t>
  </si>
  <si>
    <t>T8 - 8ft - 3 Lamp - 59W</t>
  </si>
  <si>
    <t>T8 - 8ft - 4 Lamp - 59W</t>
  </si>
  <si>
    <t>T8 - 8ft - 1 Lamp - 86W - HO</t>
  </si>
  <si>
    <t>T8 - 8ft - 2 Lamp - 86W - HO</t>
  </si>
  <si>
    <t>T8 - 8ft - 3 Lamp - 86W - HO</t>
  </si>
  <si>
    <t>T8 - 8ft - 4 Lamp - 86W - HO</t>
  </si>
  <si>
    <t>T8 - U-Tube - 1 Lamp - 30W</t>
  </si>
  <si>
    <t>T8 - U-Tube - 2 Lamp - 30W</t>
  </si>
  <si>
    <t>MV 40W</t>
  </si>
  <si>
    <t>MV 50W</t>
  </si>
  <si>
    <t>MV 75W</t>
  </si>
  <si>
    <t>MV 100W</t>
  </si>
  <si>
    <t>MV 175W</t>
  </si>
  <si>
    <t>MV 250W</t>
  </si>
  <si>
    <t>MV 400W</t>
  </si>
  <si>
    <t>HPS 35W</t>
  </si>
  <si>
    <t>HPS 50W</t>
  </si>
  <si>
    <t>HPS 70W</t>
  </si>
  <si>
    <t>HPS 100W</t>
  </si>
  <si>
    <t>HPS 150W</t>
  </si>
  <si>
    <t>HPS 200W</t>
  </si>
  <si>
    <t>HPS 250W</t>
  </si>
  <si>
    <t>HPS 400W</t>
  </si>
  <si>
    <t>HPS 1000W</t>
  </si>
  <si>
    <t>MH 70W</t>
  </si>
  <si>
    <t>MH 100W</t>
  </si>
  <si>
    <t>MH 175W</t>
  </si>
  <si>
    <t>MH 250W</t>
  </si>
  <si>
    <t>MH 400W</t>
  </si>
  <si>
    <t>MH 1000W</t>
  </si>
  <si>
    <t>Source (Standard Wattage Table)</t>
  </si>
  <si>
    <t>Ameren IL</t>
  </si>
  <si>
    <t>ComEd</t>
  </si>
  <si>
    <t>T5 HO - 4 ft - 1 Lamp</t>
  </si>
  <si>
    <t>T5 HO - 4 ft - 2 Lamp</t>
  </si>
  <si>
    <t>T5 HO - 4 ft - 4 Lamp</t>
  </si>
  <si>
    <t>T5 HO - 4 ft - 6 Lamp</t>
  </si>
  <si>
    <t>T5 HO - 4 ft - 8 Lamp</t>
  </si>
  <si>
    <t>T5 HO - 4 ft - 10 Lamp</t>
  </si>
  <si>
    <t>T5 HO</t>
  </si>
  <si>
    <t>T8 17 Watt - 2 ft - 1 Lamp</t>
  </si>
  <si>
    <t>T8 17 Watt - 2 ft - 2 Lamp</t>
  </si>
  <si>
    <t>T8 17 Watt</t>
  </si>
  <si>
    <t>Same as linear</t>
  </si>
  <si>
    <t>Oncor</t>
  </si>
  <si>
    <t>LED - Linear Tube LED Fixture</t>
  </si>
  <si>
    <t>LED - Non Linear LED Fixture</t>
  </si>
  <si>
    <t>Base Equipment Detail</t>
  </si>
  <si>
    <t>Incremental</t>
  </si>
  <si>
    <t>Application Status</t>
  </si>
  <si>
    <t>Measure Type</t>
  </si>
  <si>
    <r>
      <t>Legal Company Name</t>
    </r>
    <r>
      <rPr>
        <sz val="11"/>
        <color rgb="FFFF0000"/>
        <rFont val="Arial"/>
        <family val="2"/>
      </rPr>
      <t>*</t>
    </r>
  </si>
  <si>
    <r>
      <t>First Name</t>
    </r>
    <r>
      <rPr>
        <sz val="11"/>
        <color rgb="FFFF0000"/>
        <rFont val="Arial"/>
        <family val="2"/>
      </rPr>
      <t>*</t>
    </r>
  </si>
  <si>
    <r>
      <t>Last Name</t>
    </r>
    <r>
      <rPr>
        <sz val="11"/>
        <color rgb="FFFF0000"/>
        <rFont val="Arial"/>
        <family val="2"/>
      </rPr>
      <t>*</t>
    </r>
  </si>
  <si>
    <r>
      <t>Title</t>
    </r>
    <r>
      <rPr>
        <sz val="11"/>
        <color rgb="FFFF0000"/>
        <rFont val="Arial"/>
        <family val="2"/>
      </rPr>
      <t>*</t>
    </r>
  </si>
  <si>
    <r>
      <t>Primary Phone</t>
    </r>
    <r>
      <rPr>
        <sz val="11"/>
        <color rgb="FFFF0000"/>
        <rFont val="Arial"/>
        <family val="2"/>
      </rPr>
      <t>*</t>
    </r>
  </si>
  <si>
    <r>
      <t>Email</t>
    </r>
    <r>
      <rPr>
        <sz val="11"/>
        <color rgb="FFFF0000"/>
        <rFont val="Arial"/>
        <family val="2"/>
      </rPr>
      <t>*</t>
    </r>
  </si>
  <si>
    <r>
      <t>Company Address</t>
    </r>
    <r>
      <rPr>
        <sz val="11"/>
        <color rgb="FFFF0000"/>
        <rFont val="Arial"/>
        <family val="2"/>
      </rPr>
      <t>*</t>
    </r>
  </si>
  <si>
    <r>
      <t>City</t>
    </r>
    <r>
      <rPr>
        <sz val="11"/>
        <color rgb="FFFF0000"/>
        <rFont val="Arial"/>
        <family val="2"/>
      </rPr>
      <t>*</t>
    </r>
  </si>
  <si>
    <r>
      <t>State</t>
    </r>
    <r>
      <rPr>
        <sz val="11"/>
        <color rgb="FFFF0000"/>
        <rFont val="Arial"/>
        <family val="2"/>
      </rPr>
      <t>*</t>
    </r>
  </si>
  <si>
    <r>
      <t>Zip Code</t>
    </r>
    <r>
      <rPr>
        <sz val="11"/>
        <color rgb="FFFF0000"/>
        <rFont val="Arial"/>
        <family val="2"/>
      </rPr>
      <t>*</t>
    </r>
  </si>
  <si>
    <r>
      <t>Project Type</t>
    </r>
    <r>
      <rPr>
        <sz val="11"/>
        <color rgb="FFFF0000"/>
        <rFont val="Arial"/>
        <family val="2"/>
      </rPr>
      <t>*</t>
    </r>
  </si>
  <si>
    <r>
      <t>Project ID</t>
    </r>
    <r>
      <rPr>
        <sz val="11"/>
        <color rgb="FFFF0000"/>
        <rFont val="Arial"/>
        <family val="2"/>
      </rPr>
      <t>*</t>
    </r>
  </si>
  <si>
    <r>
      <t>Site Address</t>
    </r>
    <r>
      <rPr>
        <sz val="11"/>
        <color rgb="FFFF0000"/>
        <rFont val="Arial"/>
        <family val="2"/>
      </rPr>
      <t>*</t>
    </r>
  </si>
  <si>
    <r>
      <t>Building Type</t>
    </r>
    <r>
      <rPr>
        <sz val="11"/>
        <color rgb="FFFF0000"/>
        <rFont val="Arial"/>
        <family val="2"/>
      </rPr>
      <t>*</t>
    </r>
  </si>
  <si>
    <r>
      <t>Building Ownership</t>
    </r>
    <r>
      <rPr>
        <sz val="11"/>
        <color rgb="FFFF0000"/>
        <rFont val="Arial"/>
        <family val="2"/>
      </rPr>
      <t>*</t>
    </r>
  </si>
  <si>
    <r>
      <t>Annual Operating Hours</t>
    </r>
    <r>
      <rPr>
        <sz val="11"/>
        <color rgb="FFFF0000"/>
        <rFont val="Arial"/>
        <family val="2"/>
      </rPr>
      <t>*</t>
    </r>
  </si>
  <si>
    <r>
      <t>Space Conditioning Type</t>
    </r>
    <r>
      <rPr>
        <sz val="11"/>
        <color rgb="FFFF0000"/>
        <rFont val="Arial"/>
        <family val="2"/>
      </rPr>
      <t>*</t>
    </r>
  </si>
  <si>
    <r>
      <t>Water Heating Type</t>
    </r>
    <r>
      <rPr>
        <sz val="11"/>
        <color rgb="FFFF0000"/>
        <rFont val="Arial"/>
        <family val="2"/>
      </rPr>
      <t>*</t>
    </r>
  </si>
  <si>
    <r>
      <t>Electric Utility Rate</t>
    </r>
    <r>
      <rPr>
        <sz val="11"/>
        <color rgb="FFFF0000"/>
        <rFont val="Arial"/>
        <family val="2"/>
      </rPr>
      <t>*</t>
    </r>
    <r>
      <rPr>
        <sz val="11"/>
        <color theme="1"/>
        <rFont val="Arial"/>
        <family val="2"/>
      </rPr>
      <t xml:space="preserve"> ($/kWh)</t>
    </r>
  </si>
  <si>
    <t>Please fill out the business diversity information below. If this does not apply, then select "Not Applicable" and continue with the application.</t>
  </si>
  <si>
    <r>
      <t>Issued Organization Type</t>
    </r>
    <r>
      <rPr>
        <sz val="11"/>
        <color rgb="FFFF0000"/>
        <rFont val="Arial"/>
        <family val="2"/>
      </rPr>
      <t>*</t>
    </r>
  </si>
  <si>
    <r>
      <t>Certificate Number</t>
    </r>
    <r>
      <rPr>
        <sz val="11"/>
        <color rgb="FFFF0000"/>
        <rFont val="Arial"/>
        <family val="2"/>
      </rPr>
      <t>*</t>
    </r>
  </si>
  <si>
    <r>
      <t>Certificate Issued Date</t>
    </r>
    <r>
      <rPr>
        <sz val="11"/>
        <color rgb="FFFF0000"/>
        <rFont val="Arial"/>
        <family val="2"/>
      </rPr>
      <t>*</t>
    </r>
  </si>
  <si>
    <r>
      <t>Certificate Expiration Date</t>
    </r>
    <r>
      <rPr>
        <sz val="11"/>
        <color rgb="FFFF0000"/>
        <rFont val="Arial"/>
        <family val="2"/>
      </rPr>
      <t>*</t>
    </r>
  </si>
  <si>
    <r>
      <t>Mailing Address</t>
    </r>
    <r>
      <rPr>
        <sz val="11"/>
        <color rgb="FFFF0000"/>
        <rFont val="Arial"/>
        <family val="2"/>
      </rPr>
      <t>*</t>
    </r>
  </si>
  <si>
    <r>
      <t>Electronic Signature (Account Owner or Authorized Representative)</t>
    </r>
    <r>
      <rPr>
        <sz val="11"/>
        <color rgb="FFFF0000"/>
        <rFont val="Arial"/>
        <family val="2"/>
      </rPr>
      <t>*</t>
    </r>
  </si>
  <si>
    <r>
      <t>Signatory Title</t>
    </r>
    <r>
      <rPr>
        <sz val="11"/>
        <color rgb="FFFF0000"/>
        <rFont val="Arial"/>
        <family val="2"/>
      </rPr>
      <t>*</t>
    </r>
  </si>
  <si>
    <r>
      <t>Date Signed</t>
    </r>
    <r>
      <rPr>
        <sz val="11"/>
        <color rgb="FFFF0000"/>
        <rFont val="Arial"/>
        <family val="2"/>
      </rPr>
      <t>*</t>
    </r>
  </si>
  <si>
    <t>Operating Hours Calculator</t>
  </si>
  <si>
    <t>Operating Hours</t>
  </si>
  <si>
    <t>Total Operating Hours:</t>
  </si>
  <si>
    <t>Weekday</t>
  </si>
  <si>
    <t>Holiday Name</t>
  </si>
  <si>
    <t>Select</t>
  </si>
  <si>
    <t>New Year's Day</t>
  </si>
  <si>
    <t>Monday</t>
  </si>
  <si>
    <t>Martin Luther King Day</t>
  </si>
  <si>
    <t>Weeks</t>
  </si>
  <si>
    <t>Tuesday</t>
  </si>
  <si>
    <t>Presidents' Day</t>
  </si>
  <si>
    <t>Wednesday</t>
  </si>
  <si>
    <t>Memorial Day</t>
  </si>
  <si>
    <t>Thursday</t>
  </si>
  <si>
    <t>Friday</t>
  </si>
  <si>
    <t>Labor Day</t>
  </si>
  <si>
    <t>Saturday</t>
  </si>
  <si>
    <t>Columbus Day</t>
  </si>
  <si>
    <t>Sunday</t>
  </si>
  <si>
    <t>Veterans Day</t>
  </si>
  <si>
    <t>WEEKLY HOURS</t>
  </si>
  <si>
    <t>Thanksgiving Day</t>
  </si>
  <si>
    <t xml:space="preserve">24/7 hours of operation all year = 8,760  (52.14 weeks per year)
</t>
  </si>
  <si>
    <t>Christmas Eve</t>
  </si>
  <si>
    <t>Christmas Day</t>
  </si>
  <si>
    <t>TOTAL HOLIDAY  HOURS</t>
  </si>
  <si>
    <t>Section Therm Saving</t>
  </si>
  <si>
    <t>Not Applicable</t>
  </si>
  <si>
    <t>Base W 2</t>
  </si>
  <si>
    <t>Eff Watt 22</t>
  </si>
  <si>
    <t>Non-ENERGY STAR Unit</t>
  </si>
  <si>
    <t>ENERGY STAR Hot Holding Cabinets</t>
  </si>
  <si>
    <t>Full Size</t>
  </si>
  <si>
    <t>less than 15ft3</t>
  </si>
  <si>
    <t>15 to 30 ft3</t>
  </si>
  <si>
    <t>30 to 50ft3</t>
  </si>
  <si>
    <t>more than 50ft3</t>
  </si>
  <si>
    <t>Pool Heater Heat Pump</t>
  </si>
  <si>
    <t>Company Information</t>
  </si>
  <si>
    <r>
      <t>Diverse Business Type</t>
    </r>
    <r>
      <rPr>
        <sz val="11"/>
        <color rgb="FFFF0000"/>
        <rFont val="Arial"/>
        <family val="2"/>
      </rPr>
      <t>*</t>
    </r>
  </si>
  <si>
    <t>• Calculation or model output (if applicable)</t>
  </si>
  <si>
    <t>• Tax exempt letter (if applicable)</t>
  </si>
  <si>
    <t>• Additional project assumption documents (if applicable)</t>
  </si>
  <si>
    <r>
      <t xml:space="preserve">Submit this Excel application and related documents </t>
    </r>
    <r>
      <rPr>
        <b/>
        <sz val="11"/>
        <color theme="1"/>
        <rFont val="Arial"/>
        <family val="2"/>
      </rPr>
      <t>as email attachments</t>
    </r>
    <r>
      <rPr>
        <sz val="11"/>
        <color theme="1"/>
        <rFont val="Arial"/>
        <family val="2"/>
      </rPr>
      <t>.</t>
    </r>
  </si>
  <si>
    <t>APPLICATION REVIEW</t>
  </si>
  <si>
    <t>HYPERLINK("mailto:BIZefficiency@ameren.com?subject=" &amp;"Ameren Application Submittal" &amp;"-"&amp;M02S02F01&amp;"-"&amp;MONTH(TODAY())&amp;"/"&amp;DAY(TODAY()) &amp;"/"&amp;YEAR(TODAY())&amp; "&amp;body=" &amp;"Please attach the Incentive Application with relevent information including new equipment specification, calculations, etc in this email","Draft E-mail")</t>
  </si>
  <si>
    <t>Halogen (Please Describe)</t>
  </si>
  <si>
    <t>T5 - 4 ft - 1 Lamp</t>
  </si>
  <si>
    <t>T5 - 4 ft - 2 Lamp</t>
  </si>
  <si>
    <t>T5 - 4 ft - 4 Lamp</t>
  </si>
  <si>
    <t>T5 - 4 ft - 6 Lamp</t>
  </si>
  <si>
    <t>Others (Please Describe)</t>
  </si>
  <si>
    <t>Signage Fixture (Please Describe)</t>
  </si>
  <si>
    <t>Neon Fixture (Please Describe)</t>
  </si>
  <si>
    <t>Induction Fixture (Please Describe)</t>
  </si>
  <si>
    <t>Inefficient Signage Fixture</t>
  </si>
  <si>
    <t>Inefficient Neon Fixture</t>
  </si>
  <si>
    <t>Induction (Please Describe)</t>
  </si>
  <si>
    <t>Inefficient Induction Fixture</t>
  </si>
  <si>
    <t>Efficient Induction Fixture</t>
  </si>
  <si>
    <t>New/Replace Failed Equip.</t>
  </si>
  <si>
    <t>Packaged / Rooftop Unit (Incremental)</t>
  </si>
  <si>
    <t>Project Category</t>
  </si>
  <si>
    <t>Project Type</t>
  </si>
  <si>
    <t>PTAC Unit (Incremental)</t>
  </si>
  <si>
    <t>Ground Source Heat Pump (Incremental)</t>
  </si>
  <si>
    <t>Water Loop Heat Pump (Incremental)</t>
  </si>
  <si>
    <t>Air Cooled Chiller (Incremental)</t>
  </si>
  <si>
    <t>Water Cooled Chiller (Incremental)</t>
  </si>
  <si>
    <t>VFD for Fan (Incremental)</t>
  </si>
  <si>
    <t>VFD for Chiller (Incremental)</t>
  </si>
  <si>
    <t>Demand Control Ventilation (Incremental)</t>
  </si>
  <si>
    <t>CRAC Unit (Incremental)</t>
  </si>
  <si>
    <t>HVAC Controls / EMS (Incremental)</t>
  </si>
  <si>
    <t>Wall Insulation (Incremental)</t>
  </si>
  <si>
    <t>Window Film (Incremental)</t>
  </si>
  <si>
    <t>Window Replacement (Incremental)</t>
  </si>
  <si>
    <t>Replace Existing Equipment</t>
  </si>
  <si>
    <t>Information Links</t>
  </si>
  <si>
    <t>Inc Rate</t>
  </si>
  <si>
    <t>INDEX(CMEHVAC[Proj Desc 1],MATCH('M04-S01'!C16,CMEHVAC[Project Category],0),1):INDEX(CMEHVAC[Proj Desc 1],MATCH('M04-S01'!C16,CMEHVAC[Project Category],1),1)</t>
  </si>
  <si>
    <t>Dimming Occupancy Sensor (Incremental)</t>
  </si>
  <si>
    <t>On/Off Occupancy Sensor (Incremental)</t>
  </si>
  <si>
    <t>Dimming Daylight Sensor (Incremental)</t>
  </si>
  <si>
    <t>On/Off Daylight Sensor (Incremental)</t>
  </si>
  <si>
    <t>Others</t>
  </si>
  <si>
    <t>Others (Incremental)</t>
  </si>
  <si>
    <t>Commercial Cooker (Incremental)</t>
  </si>
  <si>
    <t>Commercial Fryer (Incremental)</t>
  </si>
  <si>
    <t>Commercial Range Hood (Incremental)</t>
  </si>
  <si>
    <t>Commercial Steamer (Incremental)</t>
  </si>
  <si>
    <t>Heat Pump Pool Heater (Incremental)</t>
  </si>
  <si>
    <t>Heat Pump Water Heater (Incremental)</t>
  </si>
  <si>
    <t>Hot Food Holding Cabinent (Incremental)</t>
  </si>
  <si>
    <t>Compressed Air Engineered Nozzle (Incremental)</t>
  </si>
  <si>
    <t>Compressed Air Optimization (Incremental)</t>
  </si>
  <si>
    <t>Compressor Optimization (Incremental)</t>
  </si>
  <si>
    <t>Optimizing Process Cooling (Incremental)</t>
  </si>
  <si>
    <t>Optimizing Process Heating (Incremental)</t>
  </si>
  <si>
    <t>VFD for Pump (Incremental)</t>
  </si>
  <si>
    <t>VFD for Air Compressor (Incremental)</t>
  </si>
  <si>
    <t>ECM Motor for Refrigeration (Incremental)</t>
  </si>
  <si>
    <t>ECM Motor for HVAC (Incremental)</t>
  </si>
  <si>
    <t>Commercial Refrigerator (Incremental)</t>
  </si>
  <si>
    <t>Commercial Freezer (Incremental)</t>
  </si>
  <si>
    <t>Refrigeration Insulation (Incremental)</t>
  </si>
  <si>
    <t>Freezer Insulation (Incremental)</t>
  </si>
  <si>
    <t>Efficient Motor</t>
  </si>
  <si>
    <t>Efficient Motor (Incremental)</t>
  </si>
  <si>
    <t>Efficient Pumps</t>
  </si>
  <si>
    <t>Efficient Pumps (Incremental)</t>
  </si>
  <si>
    <t>M02S02F11.1</t>
  </si>
  <si>
    <t>M02S02F11.2</t>
  </si>
  <si>
    <t>M02S02F11.3</t>
  </si>
  <si>
    <t>M02S02F11.4</t>
  </si>
  <si>
    <t>M02S02F11.5</t>
  </si>
  <si>
    <t>Diversity Business Type</t>
  </si>
  <si>
    <t>Minority Business Enterprise (MBE)</t>
  </si>
  <si>
    <t>Women Business Enterprise (WBE)</t>
  </si>
  <si>
    <t>Small Business Enterprise (SBE)</t>
  </si>
  <si>
    <t>Disadvantaged Business Enterprise (DBE)</t>
  </si>
  <si>
    <t>Veteran Business Enterprise (VBE)</t>
  </si>
  <si>
    <t>Disabled Veteran Business Enterprise (DVBE)</t>
  </si>
  <si>
    <t>LGBT Business Enterprise (LGBTBE)</t>
  </si>
  <si>
    <t>Diversity Issued Org</t>
  </si>
  <si>
    <t>Federal</t>
  </si>
  <si>
    <t>City/County</t>
  </si>
  <si>
    <t>3rd Party</t>
  </si>
  <si>
    <t>Unassigned</t>
  </si>
  <si>
    <t>M02S01F01</t>
  </si>
  <si>
    <t>M02S01F02</t>
  </si>
  <si>
    <t>M02S01F03</t>
  </si>
  <si>
    <t>Cost Basis</t>
  </si>
  <si>
    <t>INDEX(CMELIGHTCON[Proj Desc 1],MATCH('M04-S03'!C16,CMELIGHTCON[Project Category],0),1):INDEX(CMELIGHTCON[Proj Desc 1],MATCH('M04-S03'!C16,CMELIGHTCON[Project Category],1),1)</t>
  </si>
  <si>
    <t>INDEX(CMECOOK[Proj Desc 1],MATCH('M04-S04'!C16,CMECOOK[Project Category],0),1):INDEX(CMECOOK[Proj Desc 1],MATCH('M04-S04'!C16,CMECOOK[Project Category],1),1)</t>
  </si>
  <si>
    <t>INDEX(CMEMOTOR[Proj Desc 1],MATCH('M04-S05'!C16,CMEMOTOR[Project Category],0),1):INDEX(CMEMOTOR[Proj Desc 1],MATCH('M04-S05'!C16,CMEMOTOR[Project Category],1),1)</t>
  </si>
  <si>
    <t>INDEX(CMECOMPAIR[Proj Desc 1],MATCH('M04-S06'!C16,CMECOMPAIR[Project Category],0),1):INDEX(CMECOMPAIR[Proj Desc 1],MATCH('M04-S06'!C16,CMECOMPAIR[Project Category],1),1)</t>
  </si>
  <si>
    <t>INDEX(CMEREFRI[Proj Desc 1],MATCH('M04-S07'!C16,CMEREFRI[Project Category],0),1):INDEX(CMEREFRI[Proj Desc 1],MATCH('M04-S07'!C16,CMEREFRI[Project Category],1),1)</t>
  </si>
  <si>
    <t>INDEX(CMEMISC[Proj Desc 1],MATCH('M04-S08'!C16,CMEMISC[Project Category],0),1):INDEX(CMEMISC[Proj Desc 1],MATCH('M04-S08'!C16,CMEMISC[Project Category],1),1)</t>
  </si>
  <si>
    <t>CFL</t>
  </si>
  <si>
    <t>New Efficient Lighting Fixture</t>
  </si>
  <si>
    <t>Existing Inefficient Lighting Fixture</t>
  </si>
  <si>
    <t>Extended Factors</t>
  </si>
  <si>
    <t>Read and Accept Program Terms and Conditions</t>
  </si>
  <si>
    <t>EndUseCategory</t>
  </si>
  <si>
    <t>CurrentAnnualHoursAfter</t>
  </si>
  <si>
    <t>CurrentCostEquipment</t>
  </si>
  <si>
    <t>CurrentCostLabor</t>
  </si>
  <si>
    <t>CurrentCostTotal</t>
  </si>
  <si>
    <t>CurrentCostBasis</t>
  </si>
  <si>
    <t>CurrentUnits</t>
  </si>
  <si>
    <t>Spillover Text</t>
  </si>
  <si>
    <t>Spillover Reason</t>
  </si>
  <si>
    <t>No Savings</t>
  </si>
  <si>
    <t>Payback Too Fast, Submit for Review</t>
  </si>
  <si>
    <t>Not Cost Effective Submit for Review</t>
  </si>
  <si>
    <t>Submit for Review</t>
  </si>
  <si>
    <t>Rate Schedules</t>
  </si>
  <si>
    <t>Rate</t>
  </si>
  <si>
    <t>Small General Service (2M)</t>
  </si>
  <si>
    <t>Large General Service (3M)</t>
  </si>
  <si>
    <t>Small Primary (4M)</t>
  </si>
  <si>
    <t>Large Primary (11M)</t>
  </si>
  <si>
    <t>Enter Rate Manually</t>
  </si>
  <si>
    <t>APP EXPIRED</t>
  </si>
  <si>
    <t>Measure Not Eligible</t>
  </si>
  <si>
    <t>Not Cost Effective</t>
  </si>
  <si>
    <t>Payback Under 18 Months</t>
  </si>
  <si>
    <t>Not Eligible</t>
  </si>
  <si>
    <r>
      <t>Rate Class</t>
    </r>
    <r>
      <rPr>
        <sz val="11"/>
        <color rgb="FFFF0000"/>
        <rFont val="Arial"/>
        <family val="2"/>
      </rPr>
      <t>*</t>
    </r>
  </si>
  <si>
    <t>CurrentSavingskWh</t>
  </si>
  <si>
    <t>CurrentSavingskW</t>
  </si>
  <si>
    <t>CurrentIncTotal</t>
  </si>
  <si>
    <t>CurrentSpilloverkWhSavings</t>
  </si>
  <si>
    <t>CurrentSpilloverkWSavings</t>
  </si>
  <si>
    <t>CurrentSpilloverReason</t>
  </si>
  <si>
    <t>CurrentWattsBase</t>
  </si>
  <si>
    <t>CurrentWattsEff</t>
  </si>
  <si>
    <t>EffMeasureSubgroup1</t>
  </si>
  <si>
    <t>EffNotes</t>
  </si>
  <si>
    <t>BaseMeasureSubgroup1</t>
  </si>
  <si>
    <t>BaseNotes</t>
  </si>
  <si>
    <t>EffMeasureSubgroup2</t>
  </si>
  <si>
    <t>BaseMeasureSubgroup2</t>
  </si>
  <si>
    <t>CurrentkWhBase</t>
  </si>
  <si>
    <t>CurrentkWhEff</t>
  </si>
  <si>
    <t>PaybackYears</t>
  </si>
  <si>
    <t>BaseUnits</t>
  </si>
  <si>
    <t>PerUnitkWhBase</t>
  </si>
  <si>
    <t>PerUnitkWhEff</t>
  </si>
  <si>
    <t>IncentiveRatekWh</t>
  </si>
  <si>
    <t>IncentiveRatekW</t>
  </si>
  <si>
    <t>IncentiveRate/Unit</t>
  </si>
  <si>
    <t>CurrentSpilloverUnits</t>
  </si>
  <si>
    <t>ProjectNumber</t>
  </si>
  <si>
    <t>ProjectNameID</t>
  </si>
  <si>
    <t>ApplicationVersion</t>
  </si>
  <si>
    <t>MethodReceived</t>
  </si>
  <si>
    <t>TaxEntity</t>
  </si>
  <si>
    <t>TaxID</t>
  </si>
  <si>
    <t>TradeAllyDiverseBusinessType</t>
  </si>
  <si>
    <t xml:space="preserve">TradeAllyCertificateIssued </t>
  </si>
  <si>
    <t xml:space="preserve">TradeAllyCertificateExpiration </t>
  </si>
  <si>
    <t>TradeAllyCertificateNumber</t>
  </si>
  <si>
    <t>TradeAllyIssuedBy</t>
  </si>
  <si>
    <t>CompanyDiverseBusinessType</t>
  </si>
  <si>
    <t xml:space="preserve">CompanyCertificateIssued </t>
  </si>
  <si>
    <t xml:space="preserve">CompanyCertificateExpiration </t>
  </si>
  <si>
    <t>CompanyCertificateNumber</t>
  </si>
  <si>
    <t>CompanyIssuedBy</t>
  </si>
  <si>
    <t>SqFt</t>
  </si>
  <si>
    <t>AnnualHrs/Op</t>
  </si>
  <si>
    <t>YearBuilt</t>
  </si>
  <si>
    <t>#ofFloors</t>
  </si>
  <si>
    <t>BuilingType</t>
  </si>
  <si>
    <t>WaterHeatSrce</t>
  </si>
  <si>
    <t>BldgHeatSrce</t>
  </si>
  <si>
    <t>System Text</t>
  </si>
  <si>
    <t>Corp</t>
  </si>
  <si>
    <t>Sole/Ind</t>
  </si>
  <si>
    <t>Partner</t>
  </si>
  <si>
    <t>Terms and Conditions</t>
  </si>
  <si>
    <t>Project Site Information</t>
  </si>
  <si>
    <t>Trade Ally / Vendor Information</t>
  </si>
  <si>
    <t>Business Diversity Information</t>
  </si>
  <si>
    <t>BizSavers@ameren.com</t>
  </si>
  <si>
    <t>Measure #</t>
  </si>
  <si>
    <t>Measure Name</t>
  </si>
  <si>
    <t>Equipment Description</t>
  </si>
  <si>
    <t>Eff Category</t>
  </si>
  <si>
    <t>Eff Measure Group</t>
  </si>
  <si>
    <t>Base Category</t>
  </si>
  <si>
    <t>Base Measure Group</t>
  </si>
  <si>
    <t>TRM Description</t>
  </si>
  <si>
    <t>TRM Reference No.</t>
  </si>
  <si>
    <t>Created On</t>
  </si>
  <si>
    <t>Savings per Unit kW</t>
  </si>
  <si>
    <t>Inc Rate kWh</t>
  </si>
  <si>
    <t>Inc Rate kW</t>
  </si>
  <si>
    <t>Lighting vs Non Lighting</t>
  </si>
  <si>
    <t>Typical Unit Size</t>
  </si>
  <si>
    <t>MEEIA 2016-2018 Ameren Missouri 100S v1.0</t>
  </si>
  <si>
    <t>Standard</t>
  </si>
  <si>
    <t>Active</t>
  </si>
  <si>
    <t>272020</t>
  </si>
  <si>
    <t>272020-Water Heating-Heat Pump Water Heater Replacing Water Heater w/ 98% Efficiency 2.9-14.6 kW (10 to 50 MBH)</t>
  </si>
  <si>
    <t>Heat Pump Water Heater Replacing Water Heater w/ 98% Efficiency 2.9-14.6 kW (10 to 50 MBH)</t>
  </si>
  <si>
    <t>Heat Pump Water Heater ≥3.0 COP</t>
  </si>
  <si>
    <t>Water Heater w/ 98% Efficiency 2.9-14.6 kW (10 to 50 MBH)</t>
  </si>
  <si>
    <t>Electric Resistance Commercial Water Heater w/ 98% Efficiency 2.9-14.6 kW (10 to 50 MBH)</t>
  </si>
  <si>
    <t>Non Lighting</t>
  </si>
  <si>
    <t>272021</t>
  </si>
  <si>
    <t>272021-Water Heating-Heat Pump Water Heater Replacing Water Heater w/ 98% Efficiency 14.7-29.3 kW (50 to 100 MBH)</t>
  </si>
  <si>
    <t>Heat Pump Water Heater Replacing Water Heater w/ 98% Efficiency 14.7-29.3 kW (50 to 100 MBH)</t>
  </si>
  <si>
    <t>Water Heater w/ 98% Efficiency 14.7-29.3 kW (50 to 100 MBH)</t>
  </si>
  <si>
    <t>Electric Resistance Commercial Water Heater w/ 98% Efficiency 14.7-29.3 kW (50 to 100 MBH)</t>
  </si>
  <si>
    <t>272022</t>
  </si>
  <si>
    <t>272022-Water Heating-Heat Pump Water Heater Replacing Water Heater w/ 98% Efficiency 29.4-87.9 kW (100 to 300 MBH)</t>
  </si>
  <si>
    <t>Heat Pump Water Heater Replacing Water Heater w/ 98% Efficiency 29.4-87.9 kW (100 to 300 MBH)</t>
  </si>
  <si>
    <t>Water Heater w/ 98% Efficiency 29.4-87.9 kW (100 to 300 MBH)</t>
  </si>
  <si>
    <t>Electric Resistance Commercial Water Heater w/ 98% Efficiency 29.4-87.9 kW (100 to 300 MBH)</t>
  </si>
  <si>
    <t>272023</t>
  </si>
  <si>
    <t>272023-Water Heating-Heat Pump Water Heater Replacing Water Heater w/ 98% Efficiency 88-146.5 kW (300 to 500 MBH)</t>
  </si>
  <si>
    <t>Heat Pump Water Heater Replacing Water Heater w/ 98% Efficiency 88-146.5 kW (300 to 500 MBH)</t>
  </si>
  <si>
    <t>Water Heater w/ 98% Efficiency 88-146.5 kW (300 to 500 MBH)</t>
  </si>
  <si>
    <t>Electric Resistance Commercial Water Heater w/ 98% Efficiency 88-146.5 kW (300 to 500 MBH)</t>
  </si>
  <si>
    <t>272024</t>
  </si>
  <si>
    <t>272024-Water Heating-Heat Pump Water Heater Replacing Water Heater w/ 98% Efficiency &gt;146.6 kW (above 500 MBH)</t>
  </si>
  <si>
    <t>Heat Pump Water Heater Replacing Water Heater w/ 98% Efficiency &gt;146.6 kW (above 500 MBH)</t>
  </si>
  <si>
    <t>Water Heater w/ 98% Efficiency &gt;146.6 kW (above 500 MBH)</t>
  </si>
  <si>
    <t>Electric Resistance Commercial Water Heater w/ 98% Efficiency &gt;146.6 kW (above 500 MBH)</t>
  </si>
  <si>
    <t>272125</t>
  </si>
  <si>
    <t>272125-Water Heating-Pool Heater Heat Pump Replacing Electric Resistance Heater</t>
  </si>
  <si>
    <t>Pool Heater Heat Pump Replacing Electric Resistance Heater</t>
  </si>
  <si>
    <t>Electric Resistance Heater</t>
  </si>
  <si>
    <t>242628</t>
  </si>
  <si>
    <t>242628-Cooking-3 Pan ENERGY STAR Steam Cooker Replacing Non ENERGY STAR Unit</t>
  </si>
  <si>
    <t>3 Pan ENERGY STAR Steam Cooker Replacing Non ENERGY STAR Unit</t>
  </si>
  <si>
    <t>3 Pan ENERGY STAR Steam Cooker</t>
  </si>
  <si>
    <t>Non ENERGY STAR Unit</t>
  </si>
  <si>
    <t>242728</t>
  </si>
  <si>
    <t>242728-Cooking-4 Pan ENERGY STAR Steam Cooker Replacing Non ENERGY STAR Unit</t>
  </si>
  <si>
    <t>4 Pan ENERGY STAR Steam Cooker Replacing Non ENERGY STAR Unit</t>
  </si>
  <si>
    <t>4 Pan ENERGY STAR Steam Cooker</t>
  </si>
  <si>
    <t>242828</t>
  </si>
  <si>
    <t>242828-Cooking-5 Pan ENERGY STAR Steam Cooker Replacing Non ENERGY STAR Unit</t>
  </si>
  <si>
    <t>5 Pan ENERGY STAR Steam Cooker Replacing Non ENERGY STAR Unit</t>
  </si>
  <si>
    <t>5 Pan ENERGY STAR Steam Cooker</t>
  </si>
  <si>
    <t>242928</t>
  </si>
  <si>
    <t>242928-Cooking-6 Pan ENERGY STAR Steam Cooker Replacing Non ENERGY STAR Unit</t>
  </si>
  <si>
    <t>6 Pan ENERGY STAR Steam Cooker Replacing Non ENERGY STAR Unit</t>
  </si>
  <si>
    <t>6 Pan ENERGY STAR Steam Cooker</t>
  </si>
  <si>
    <t>243028</t>
  </si>
  <si>
    <t>243028-Cooking-Full Size ENERGY STAR Hot Holding Cabinet Replacing Non ENERGY STAR Unit</t>
  </si>
  <si>
    <t>Full Size ENERGY STAR Hot Holding Cabinet Replacing Non ENERGY STAR Unit</t>
  </si>
  <si>
    <t>Full Size ENERGY STAR Hot Holding Cabinet</t>
  </si>
  <si>
    <t>223128</t>
  </si>
  <si>
    <t>223128-Refrigeration-&lt;15 cubic ft ENERGY STAR Commercial Glass Door Freezer Replacing Non ENERGY STAR Unit</t>
  </si>
  <si>
    <t>&lt;15 cubic ft ENERGY STAR Commercial Glass Door Freezer Replacing Non ENERGY STAR Unit</t>
  </si>
  <si>
    <t>&lt;15 cubic ft ENERGY STAR Commercial Glass Door Freezer</t>
  </si>
  <si>
    <t>223228</t>
  </si>
  <si>
    <t>223228-Refrigeration-15-30 cubic ft ENERGY STAR Commercial Glass Door Freezer Replacing Non ENERGY STAR Unit</t>
  </si>
  <si>
    <t>15-30 cubic ft ENERGY STAR Commercial Glass Door Freezer Replacing Non ENERGY STAR Unit</t>
  </si>
  <si>
    <t>15-30 cubic ft ENERGY STAR Commercial Glass Door Freezer</t>
  </si>
  <si>
    <t>223328</t>
  </si>
  <si>
    <t>223328-Refrigeration-31-50 cubic ft ENERGY STAR Commercial Glass Door Freezer Replacing Non ENERGY STAR Unit</t>
  </si>
  <si>
    <t>31-50 cubic ft ENERGY STAR Commercial Glass Door Freezer Replacing Non ENERGY STAR Unit</t>
  </si>
  <si>
    <t>31-50 cubic ft ENERGY STAR Commercial Glass Door Freezer</t>
  </si>
  <si>
    <t>223428</t>
  </si>
  <si>
    <t>223428-Refrigeration-&gt;50 cubic ft ENERGY STAR Commercial Glass Door Freezer Replacing Non ENERGY STAR Unit</t>
  </si>
  <si>
    <t>&gt;50 cubic ft ENERGY STAR Commercial Glass Door Freezer Replacing Non ENERGY STAR Unit</t>
  </si>
  <si>
    <t>&gt;50 cubic ft ENERGY STAR Commercial Glass Door Freezer</t>
  </si>
  <si>
    <t>223528</t>
  </si>
  <si>
    <t>223528-Refrigeration-&lt;15 cubic ft ENERGY STAR Commercial Solid Door Freezer Replacing Non ENERGY STAR Unit</t>
  </si>
  <si>
    <t>&lt;15 cubic ft ENERGY STAR Commercial Solid Door Freezer Replacing Non ENERGY STAR Unit</t>
  </si>
  <si>
    <t>&lt;15 cubic ft ENERGY STAR Commercial Solid Door Freezer</t>
  </si>
  <si>
    <t>223628</t>
  </si>
  <si>
    <t>223628-Refrigeration-15-30 cubic ft ENERGY STAR Commercial Solid Door Freezer Replacing Non ENERGY STAR Unit</t>
  </si>
  <si>
    <t>15-30 cubic ft ENERGY STAR Commercial Solid Door Freezer Replacing Non ENERGY STAR Unit</t>
  </si>
  <si>
    <t>15-30 cubic ft ENERGY STAR Commercial Solid Door Freezer</t>
  </si>
  <si>
    <t>223728</t>
  </si>
  <si>
    <t>223728-Refrigeration-31-50 cubic ft ENERGY STAR Commercial Solid Door Freezer Replacing Non ENERGY STAR Unit</t>
  </si>
  <si>
    <t>31-50 cubic ft ENERGY STAR Commercial Solid Door Freezer Replacing Non ENERGY STAR Unit</t>
  </si>
  <si>
    <t>31-50 cubic ft ENERGY STAR Commercial Solid Door Freezer</t>
  </si>
  <si>
    <t>223828</t>
  </si>
  <si>
    <t>223828-Refrigeration-&gt;50 cubic ft ENERGY STAR Commercial Solid Door Freezer Replacing Non ENERGY STAR Unit</t>
  </si>
  <si>
    <t>&gt;50 cubic ft ENERGY STAR Commercial Solid Door Freezer Replacing Non ENERGY STAR Unit</t>
  </si>
  <si>
    <t>&gt;50 cubic ft ENERGY STAR Commercial Solid Door Freezer</t>
  </si>
  <si>
    <t>262426</t>
  </si>
  <si>
    <t>262426-Motors-Pool Pump w/ Variable Frequency Drive Replacing Pool Pump w/ No Variable Frequency Drive</t>
  </si>
  <si>
    <t>Pool Pump w/ Variable Frequency Drive Replacing Pool Pump w/ No Variable Frequency Drive</t>
  </si>
  <si>
    <t>Pool Pump w/ Variable Frequency Drive</t>
  </si>
  <si>
    <t>Pool Pump w/ No Variable Frequency Drive</t>
  </si>
  <si>
    <t>T8 Lamps 32W</t>
  </si>
  <si>
    <t>T8 Lamps 28W</t>
  </si>
  <si>
    <t>T8 Lamps 25W</t>
  </si>
  <si>
    <t>T12 Lamps ≤40W</t>
  </si>
  <si>
    <t>ENERGY STAR Commercial Glass Door Freezers &lt;15ft3</t>
  </si>
  <si>
    <t>ENERGY STAR Commercial Glass Door Freezers 15-30ft3</t>
  </si>
  <si>
    <t>ENERGY STAR Commercial Glass Door Freezers 30-50ft3</t>
  </si>
  <si>
    <t>ENERGY STAR Commercial Glass Door Freezers &gt;50ft3</t>
  </si>
  <si>
    <t>ENERGY STAR Commercial Solid Door Freezers &lt;15ft3</t>
  </si>
  <si>
    <t>ENERGY STAR Commercial Solid Door Freezers 15-30ft3</t>
  </si>
  <si>
    <t>ENERGY STAR Commercial Solid Door Freezers 30-50ft3</t>
  </si>
  <si>
    <t>ENERGY STAR Commercial Solid Door Freezers &gt;50ft3</t>
  </si>
  <si>
    <t>ENERGY STAR Steam Cookers 3 Pan</t>
  </si>
  <si>
    <t>ENERGY STAR Steam Cookers 4 Pan</t>
  </si>
  <si>
    <t>ENERGY STAR Steam Cookers 5 Pan</t>
  </si>
  <si>
    <t>ENERGY STAR Steam Cookers 6 Pan</t>
  </si>
  <si>
    <t>Heat Pump Water Heater 2.9-14.6 kW (10 to 50 MBH)</t>
  </si>
  <si>
    <t>Heat Pump Water Heater 14.7-29.3 kW (50 to 100 MBH)</t>
  </si>
  <si>
    <t>Heat Pump Water Heater 29.4-87.9 kW (100 to 300 MBH)</t>
  </si>
  <si>
    <t>Heat Pump Water Heater 88-146.5 kW (300 to 500 MBH)</t>
  </si>
  <si>
    <t>Heat Pump Water Heater &gt;146.6 kW (above 500 MBH)</t>
  </si>
  <si>
    <t>Custom/Standard</t>
  </si>
  <si>
    <t>Ameren Missouri BizSavers program</t>
  </si>
  <si>
    <t xml:space="preserve">Standard Measure </t>
  </si>
  <si>
    <t>Commercial Cooking / Water Heating</t>
  </si>
  <si>
    <r>
      <t xml:space="preserve">Once you're ready to submit, you can start drafting an email by pressing  "Draft Email" or send an email to:
</t>
    </r>
    <r>
      <rPr>
        <sz val="11"/>
        <color rgb="FF1B6CB5"/>
        <rFont val="Arial"/>
        <family val="2"/>
      </rPr>
      <t>BizSavers@ameren.com</t>
    </r>
  </si>
  <si>
    <t>Summary Form</t>
  </si>
  <si>
    <t>Pre-approval Required</t>
  </si>
  <si>
    <t>v</t>
  </si>
  <si>
    <t>Project Number :</t>
  </si>
  <si>
    <t>*click on section titles to jump to section</t>
  </si>
  <si>
    <t>Enter Utility Rate (Project Info Tab)</t>
  </si>
  <si>
    <t>Each measure could have unique operating hours depending on the technology and use. Use this calculator to record the specific operating hours for each measure as required.</t>
  </si>
  <si>
    <t>InvoiceDate</t>
  </si>
  <si>
    <t>InstallDate</t>
  </si>
  <si>
    <r>
      <t xml:space="preserve">• Specification sheets of all new equipment </t>
    </r>
    <r>
      <rPr>
        <b/>
        <sz val="11"/>
        <color theme="1"/>
        <rFont val="Arial"/>
        <family val="2"/>
      </rPr>
      <t>(required)</t>
    </r>
  </si>
  <si>
    <r>
      <t xml:space="preserve">• Payee Company's W-9 </t>
    </r>
    <r>
      <rPr>
        <b/>
        <sz val="11"/>
        <color theme="1"/>
        <rFont val="Arial"/>
        <family val="2"/>
      </rPr>
      <t>(recommended)</t>
    </r>
  </si>
  <si>
    <t>Once your application has been emailed you can expect to see a confirmation email within 5 business days. If you applied for a custom application, you will receive an offer or request for additional information. You may proceed with installation after signing offer.</t>
  </si>
  <si>
    <t>Application Progress</t>
  </si>
  <si>
    <t>Company and Site</t>
  </si>
  <si>
    <t>Trade Ally</t>
  </si>
  <si>
    <t>T&amp;C</t>
  </si>
  <si>
    <t>Payment</t>
  </si>
  <si>
    <t>Spillover kWh</t>
  </si>
  <si>
    <t>Spillover kW</t>
  </si>
  <si>
    <t>Equipment Cost</t>
  </si>
  <si>
    <t>Labor Cost</t>
  </si>
  <si>
    <t>Step 1:  
Select how many hours per day the technology is being utilized.</t>
  </si>
  <si>
    <t>Project ID/Site Name</t>
  </si>
  <si>
    <r>
      <rPr>
        <sz val="8"/>
        <color rgb="FFFF0000"/>
        <rFont val="Arial"/>
        <family val="2"/>
      </rPr>
      <t>*</t>
    </r>
    <r>
      <rPr>
        <sz val="8"/>
        <color theme="1"/>
        <rFont val="Arial"/>
        <family val="2"/>
      </rPr>
      <t>Assuming 12 year average EUL</t>
    </r>
  </si>
  <si>
    <t>Facility Operating Hours Calculator</t>
  </si>
  <si>
    <t>Company (Check)</t>
  </si>
  <si>
    <t>Other (Check)</t>
  </si>
  <si>
    <t>Site (Check)</t>
  </si>
  <si>
    <t>Site (Bill Credit)</t>
  </si>
  <si>
    <t>As a participant in Ameren Missouri's BizSavers® Program, you have the option to have your incentive for energy efficiency upgrades credited to your electric utility bill instead of receiving a check from Ameren Missouri.  A line item that reads "credit" will appear on your next electric bill.  Please check the box below and enter the Ameren Missouri account you would like to receive a bill credit.  Tax Liability:  Incentives are taxable if greater than $600 for business customers, and will be reported to the IRS unless you are exempt.  Ameren Missouri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t>
  </si>
  <si>
    <t>Trade Ally (Check)</t>
  </si>
  <si>
    <t>TA</t>
  </si>
  <si>
    <t>Gary Gao</t>
  </si>
  <si>
    <t>4.0</t>
  </si>
  <si>
    <t>Release of  the new application tool layout.</t>
  </si>
  <si>
    <t>Project</t>
  </si>
  <si>
    <t>Step 3:  
Enter weeks per year the technology is being utilized.</t>
  </si>
  <si>
    <r>
      <rPr>
        <b/>
        <sz val="10"/>
        <color theme="3"/>
        <rFont val="Arial"/>
        <family val="2"/>
      </rPr>
      <t>Additional Considerations:</t>
    </r>
    <r>
      <rPr>
        <sz val="10"/>
        <color theme="1"/>
        <rFont val="Arial"/>
        <family val="2"/>
      </rPr>
      <t xml:space="preserve">
1.)  </t>
    </r>
    <r>
      <rPr>
        <i/>
        <sz val="10"/>
        <color rgb="FFC00000"/>
        <rFont val="Arial"/>
        <family val="2"/>
      </rPr>
      <t>Each measure could have unique operating hours depending on the     technology and use.  Use this calculator to record the specific operating hours for each measure as required.</t>
    </r>
    <r>
      <rPr>
        <sz val="10"/>
        <color theme="1"/>
        <rFont val="Arial"/>
        <family val="2"/>
      </rPr>
      <t xml:space="preserve">
2.)  24/7 hours of operation all year = 8,760  (52.14 Weeks per year)
3.)  Dusk to dawn operating hours are 4,300 for the Ameren Missouri territory.
</t>
    </r>
  </si>
  <si>
    <t>M02S04F06.1</t>
  </si>
  <si>
    <t>Bill Credit Acc</t>
  </si>
  <si>
    <t>Diversity Type</t>
  </si>
  <si>
    <t>Issued Org.</t>
  </si>
  <si>
    <t>Cert. Number</t>
  </si>
  <si>
    <t>Issued / Exp. Date</t>
  </si>
  <si>
    <t>PaymentPreference</t>
  </si>
  <si>
    <t>Payment Preference</t>
  </si>
  <si>
    <t>Invoiced Date</t>
  </si>
  <si>
    <t>Installed Date</t>
  </si>
  <si>
    <t xml:space="preserve">Efficient Air Compressor </t>
  </si>
  <si>
    <t>Efficient Air Compressor (Incremental)</t>
  </si>
  <si>
    <t>Impl. Specialist</t>
  </si>
  <si>
    <t>Application</t>
  </si>
  <si>
    <t>Initial Spec Sheets</t>
  </si>
  <si>
    <t>Calculations</t>
  </si>
  <si>
    <t>Invoices</t>
  </si>
  <si>
    <t>Tax Exempt Letter</t>
  </si>
  <si>
    <t>Design Team Form</t>
  </si>
  <si>
    <t>Received</t>
  </si>
  <si>
    <t>Not Required</t>
  </si>
  <si>
    <t>Submitted Document Tracking</t>
  </si>
  <si>
    <t>InitialSpecSheets</t>
  </si>
  <si>
    <t>TaxExemptLetter</t>
  </si>
  <si>
    <t>DesignTeamForm</t>
  </si>
  <si>
    <t>ProgramContactPC</t>
  </si>
  <si>
    <t>4.01</t>
  </si>
  <si>
    <t>4.02</t>
  </si>
  <si>
    <t>T8 25 Watt - 4 ft - 6 Lamp</t>
  </si>
  <si>
    <t>T8 28 Watt - 4 ft - 6 Lamp</t>
  </si>
  <si>
    <t>T8 32 Watt - 4 ft - 6 Lamp</t>
  </si>
  <si>
    <t>ComEd (Interpolated)</t>
  </si>
  <si>
    <t>Incentive Less Than $150</t>
  </si>
  <si>
    <t>Project #</t>
  </si>
  <si>
    <t>4.03</t>
  </si>
  <si>
    <t>ProjectType</t>
  </si>
  <si>
    <t>Op Hr 1</t>
  </si>
  <si>
    <t>Op Hr 2</t>
  </si>
  <si>
    <t>Hours</t>
  </si>
  <si>
    <t>Custom Holiday</t>
  </si>
  <si>
    <t>(enter date range)</t>
  </si>
  <si>
    <t>(enter description)</t>
  </si>
  <si>
    <t>If you should like to add a custom holiday schedule, use the last line to provide a date or date range, a description, and the total amount of work hours removed due to the holiday. Example: 12/26-12/30, Post Christmas to NYE Break, 40 hours total (8hrs/day x 5 work days)</t>
  </si>
  <si>
    <t>Payee Type</t>
  </si>
  <si>
    <t>Removed "Enter Watts" autofill, 
halogen baseline auto calculated in custom, 
PC and document tracking added to summary and autoupload, 
added Air Compressor custom measure</t>
  </si>
  <si>
    <t>Fixed total cost field, 
added 6L T8 to custom, 
changed TA vs self language</t>
  </si>
  <si>
    <t>Added "under $150" incentive status, 
data validation for # of floor to numeric values only, 
add project # to all measure tabs, 
updated popup box to "lamp wattage" for standard lighting efficient equipment tab.</t>
  </si>
  <si>
    <t>X.0.0</t>
  </si>
  <si>
    <t>0.X.0</t>
  </si>
  <si>
    <t>0.0.X</t>
  </si>
  <si>
    <t>Complete application redesign or program year changes</t>
  </si>
  <si>
    <t>Versioning Guidelines (using the highest hierarchy in a group of changes)</t>
  </si>
  <si>
    <t>Added "Project Type" to export file in column BW linked to M02S02F12, 
data validation on custom light wattage to prevent letters, 
validation and formatting to prevent less than 8760 for standard and custom lighting, 
added payee type to PC Summary, 
Offer and completion form changes (paperwork submission date wording, submission date to be 12 month after signed date, exclude spillover kwh from kwh in offer/completion), 
added project # to footer, 
updated Custom incentive rates based on end use - approved by Ameren,
data validation for custom lighting so "W" is always added to watts</t>
  </si>
  <si>
    <t>4.1.0</t>
  </si>
  <si>
    <t>4.1.1</t>
  </si>
  <si>
    <t>bug fixes, calculation adjustments, additional custom options, additional features that does not affect program guideline, LM Captures changes that would not affect compatability</t>
  </si>
  <si>
    <t>Added two new custom meausures, chiller optimization and advanced RTU compressor optimization</t>
  </si>
  <si>
    <t>Chiller Control Optimization</t>
  </si>
  <si>
    <t>Chiller Control Optimization (Incremental)</t>
  </si>
  <si>
    <t>Advanced RTU Compressor Controller</t>
  </si>
  <si>
    <t>Advanced RTU Compressor Controller (Incremental)</t>
  </si>
  <si>
    <t>4.1.2</t>
  </si>
  <si>
    <t>Fixed issue in custom lighting from 12mo payback to 18mo</t>
  </si>
  <si>
    <t>~~~~~~~~~~~~~~~~~~~~~~~~~~~~~</t>
  </si>
  <si>
    <t>Eff Equip</t>
  </si>
  <si>
    <t>Measure Validator</t>
  </si>
  <si>
    <t>End of Expiration changes, program guideline changes, prescriptive measure additions, LM Captures compatibility related changes</t>
  </si>
  <si>
    <t>Total kWh</t>
  </si>
  <si>
    <t>Total kW</t>
  </si>
  <si>
    <t>Total Therm</t>
  </si>
  <si>
    <t>Taken out</t>
  </si>
  <si>
    <t>Cooling Only HVAC Equipment (Incremental)</t>
  </si>
  <si>
    <t>VFD for Process Motor</t>
  </si>
  <si>
    <t>Eff. Wattage Not Met</t>
  </si>
  <si>
    <t>Linear Feet Exceeded</t>
  </si>
  <si>
    <t>Operating Hours Invalid</t>
  </si>
  <si>
    <t>4.2.0</t>
  </si>
  <si>
    <t>Updated to Standard Measure List v2, added Standard Linear Lighting tab
Added two custom measures, VFD for process motors and Cooling only HVAC equipment
Source incentive based on end use and not measure type
fixed custom lighting dropdown not locking options, removed blank rows
In inspection form, description and future potential word boxes are word now word wrapped
Offer and Completion form using only incentivized kWh</t>
  </si>
  <si>
    <t>Cooling Only HVAC Equipment</t>
  </si>
  <si>
    <t>VFD for Process Motor (Incremental)</t>
  </si>
  <si>
    <t>4.2.1</t>
  </si>
  <si>
    <t>Hide extra lines in Standard Linear tab</t>
  </si>
  <si>
    <t>Project Number</t>
  </si>
  <si>
    <t>Project Name ID</t>
  </si>
  <si>
    <t>Company Contact</t>
  </si>
  <si>
    <t>Project Site Address</t>
  </si>
  <si>
    <t>Project Contact</t>
  </si>
  <si>
    <t>Energy Efficiency Incentive Offer</t>
  </si>
  <si>
    <t>Approving Engineer</t>
  </si>
  <si>
    <t>Program Type</t>
  </si>
  <si>
    <t>Electrcity Savings kWh</t>
  </si>
  <si>
    <t>Estimated Measure Costs</t>
  </si>
  <si>
    <t>3. Customer Signature</t>
  </si>
  <si>
    <t>sign here</t>
  </si>
  <si>
    <t>date here</t>
  </si>
  <si>
    <t>Sign and date here. We encourage electronic submission. A typewritten signature is acceptable and will have the same effect as a pen signature.</t>
  </si>
  <si>
    <r>
      <t xml:space="preserve">Ameren Missouri’s </t>
    </r>
    <r>
      <rPr>
        <b/>
        <i/>
        <sz val="11"/>
        <color theme="0"/>
        <rFont val="Arial"/>
        <family val="2"/>
      </rPr>
      <t>BizSavers</t>
    </r>
    <r>
      <rPr>
        <sz val="11"/>
        <color theme="0"/>
        <rFont val="Arial"/>
        <family val="2"/>
      </rPr>
      <t xml:space="preserve"> Program • 866.941.7299 • BizSavers@ameren.com • AmerenMissouri.com/</t>
    </r>
    <r>
      <rPr>
        <b/>
        <i/>
        <sz val="11"/>
        <color theme="0"/>
        <rFont val="Arial"/>
        <family val="2"/>
      </rPr>
      <t>BizSavers</t>
    </r>
  </si>
  <si>
    <t>1. Update Installed Measures</t>
  </si>
  <si>
    <t>Tax Status</t>
  </si>
  <si>
    <t>2. Review Payee Information</t>
  </si>
  <si>
    <t>Payment Type</t>
  </si>
  <si>
    <t>Payment To</t>
  </si>
  <si>
    <t xml:space="preserve">By signing above, I hereby certify that this application includes the entire efficiency project scope and estimated total project cost including both materials and labor for this site. Details of this Program, including incentive levels and availability, and measure eligibility are subject to change. Ameren Missouri reserves the right to adjust and/or negotiate the incentive amount based on its independent assessment of appropriate savings or cost estimates or if the quantity and/or cost of EEMs actually installed by the Customer differ from that stated in the application.
If the "Payee" above is a third party, then I am authorizing this payment of my incentive to the third party (“Payee”) named below and I understand that I will not be receiving the incentive check from Ameren Missouri.  I also understand that my release of the payment to the third party does not exempt me from the incentive requirements outlined in this application. Incentives are taxable if greater than $600 for business customers, and will be reported to the IRS unless you are exempt.  Ameren Missouri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
</t>
  </si>
  <si>
    <r>
      <t>Is the following payment information correct? If not, change your selection in the</t>
    </r>
    <r>
      <rPr>
        <sz val="11"/>
        <color rgb="FF0000FF"/>
        <rFont val="Arial"/>
        <family val="2"/>
      </rPr>
      <t xml:space="preserve"> Payee</t>
    </r>
    <r>
      <rPr>
        <sz val="11"/>
        <color theme="1"/>
        <rFont val="Arial"/>
        <family val="2"/>
      </rPr>
      <t xml:space="preserve"> tab.</t>
    </r>
  </si>
  <si>
    <t>Completed and Signed Custom Completion Form</t>
  </si>
  <si>
    <t>Trade Ally/ Vendor Information</t>
  </si>
  <si>
    <t>Energy Savings kWh</t>
  </si>
  <si>
    <t>BizSavers Program Approval</t>
  </si>
  <si>
    <r>
      <rPr>
        <b/>
        <sz val="16"/>
        <rFont val="Arial"/>
        <family val="2"/>
      </rPr>
      <t>New Construction Incentive Application</t>
    </r>
    <r>
      <rPr>
        <b/>
        <sz val="11"/>
        <rFont val="Arial"/>
        <family val="2"/>
      </rPr>
      <t xml:space="preserve">
For Ameren Missouri's Commercial &amp; Industrial Electric Customers</t>
    </r>
  </si>
  <si>
    <t>New Construction Handbook</t>
  </si>
  <si>
    <t>Applicant and Site Information</t>
  </si>
  <si>
    <t>Design Team Information</t>
  </si>
  <si>
    <t>Application Review</t>
  </si>
  <si>
    <t>Design Team Meeting</t>
  </si>
  <si>
    <t>Whole Building Performance</t>
  </si>
  <si>
    <t>Installed Interior Lighting</t>
  </si>
  <si>
    <t>Standard Measures</t>
  </si>
  <si>
    <t>Summary and Submittal Info</t>
  </si>
  <si>
    <t>Completion Checklist</t>
  </si>
  <si>
    <t>NEXT STEPS</t>
  </si>
  <si>
    <t>Please Submit Initial Application</t>
  </si>
  <si>
    <t>NC Project Type</t>
  </si>
  <si>
    <t>New Building</t>
  </si>
  <si>
    <t>Addition/Expansion</t>
  </si>
  <si>
    <t>Gut Rehab</t>
  </si>
  <si>
    <t>Warm Shell</t>
  </si>
  <si>
    <t>NC Baseline</t>
  </si>
  <si>
    <t>ASHRAE 90.1 2007</t>
  </si>
  <si>
    <t>ASHRAE 90.1 2010</t>
  </si>
  <si>
    <t>ASHRAE 90.1 2013</t>
  </si>
  <si>
    <t>Completed Design</t>
  </si>
  <si>
    <t>Local Energy/Building Code</t>
  </si>
  <si>
    <t>Legal/Contractual Requirement</t>
  </si>
  <si>
    <t>Preliminary Design</t>
  </si>
  <si>
    <t>Design Development</t>
  </si>
  <si>
    <t>Preparing Custom Incentive Application</t>
  </si>
  <si>
    <t>Construction</t>
  </si>
  <si>
    <t>Delayed/Behind Schedule</t>
  </si>
  <si>
    <t>Construction Complete</t>
  </si>
  <si>
    <t>Lack of Information</t>
  </si>
  <si>
    <t>Building Area Type</t>
  </si>
  <si>
    <t>Automotive Facility</t>
  </si>
  <si>
    <t>Convention Center</t>
  </si>
  <si>
    <t>Courthouse</t>
  </si>
  <si>
    <t>Dining: Bar</t>
  </si>
  <si>
    <t>Dining: Cafeteria / Fast Food</t>
  </si>
  <si>
    <t>Dining: Family</t>
  </si>
  <si>
    <t>Dormitory</t>
  </si>
  <si>
    <t>Exercise Center</t>
  </si>
  <si>
    <t>Fire Station</t>
  </si>
  <si>
    <t>Gymnasium</t>
  </si>
  <si>
    <t>Healthcare/clinic</t>
  </si>
  <si>
    <t>Hospital</t>
  </si>
  <si>
    <t>Hotel</t>
  </si>
  <si>
    <t>Library</t>
  </si>
  <si>
    <t>Manufacturing Facility</t>
  </si>
  <si>
    <t>Motel</t>
  </si>
  <si>
    <t>Motion Picture Theater</t>
  </si>
  <si>
    <t>Multi-Family</t>
  </si>
  <si>
    <t>Museum</t>
  </si>
  <si>
    <t>Penitentiary</t>
  </si>
  <si>
    <t>Performing Arts Theater</t>
  </si>
  <si>
    <t>Police/Fire Station</t>
  </si>
  <si>
    <t>Post Office</t>
  </si>
  <si>
    <t>Religious Building</t>
  </si>
  <si>
    <t>School/University</t>
  </si>
  <si>
    <t>Sports Arena</t>
  </si>
  <si>
    <t>Town Hall</t>
  </si>
  <si>
    <t>Transportation</t>
  </si>
  <si>
    <t>Workshop</t>
  </si>
  <si>
    <t>Guide to Energy Efficiency Incentives for New Construction</t>
  </si>
  <si>
    <t>Ameren Missouri’s BizSavers® Energy Efficiency Program 2016-2019</t>
  </si>
  <si>
    <t>Page 1 of 2</t>
  </si>
  <si>
    <t>Program Overview</t>
  </si>
  <si>
    <t>Program Objectives</t>
  </si>
  <si>
    <t>Ameren Missouri’s New Construction Incentive Program is designed to help fund the cost of increasing the energy efficiency potential for construction projects. The New Construction Incentive Program will capture energy and demand reductions from new construction projects by interacting with building owners and designers during the design and/or construction process. The Program encourages building owners and designers to evaluate and install systems with higher energy efficiencies than the standard or planned systems through training, design incentives, and installation incentives.</t>
  </si>
  <si>
    <t>Customer Eligibility</t>
  </si>
  <si>
    <r>
      <t xml:space="preserve">Incentives are available for eligible equipment purchased and/or installed after </t>
    </r>
    <r>
      <rPr>
        <b/>
        <sz val="12"/>
        <color theme="1"/>
        <rFont val="Arial"/>
        <family val="2"/>
      </rPr>
      <t>March 1, 2016</t>
    </r>
    <r>
      <rPr>
        <sz val="12"/>
        <color theme="1"/>
        <rFont val="Arial"/>
        <family val="2"/>
      </rPr>
      <t xml:space="preserve">, and all completion paperwork (completed applications, invoices, documentation) is due </t>
    </r>
    <r>
      <rPr>
        <b/>
        <sz val="12"/>
        <color theme="1"/>
        <rFont val="Arial"/>
        <family val="2"/>
      </rPr>
      <t>within 180 days</t>
    </r>
    <r>
      <rPr>
        <sz val="12"/>
        <color theme="1"/>
        <rFont val="Arial"/>
        <family val="2"/>
      </rPr>
      <t xml:space="preserve"> of project completion but no later than </t>
    </r>
    <r>
      <rPr>
        <b/>
        <sz val="12"/>
        <color theme="1"/>
        <rFont val="Arial"/>
        <family val="2"/>
      </rPr>
      <t>January 31, 2019</t>
    </r>
    <r>
      <rPr>
        <sz val="12"/>
        <color theme="1"/>
        <rFont val="Arial"/>
        <family val="2"/>
      </rPr>
      <t>.
Eligible customers are commercial and industrial electric customers of Ameren Missouri that are classified under one of the following rates: Small General Service Rate 2(M), Large General Service Rate 3(M), Small Primary Service Rate 4(M), or Large Primary Service Rate 11(M).</t>
    </r>
  </si>
  <si>
    <t>New construction projects may include any of the following:</t>
  </si>
  <si>
    <t>●</t>
  </si>
  <si>
    <t>New building projects wherein no structure or site footprint presently exists</t>
  </si>
  <si>
    <t>Addition or expansion of an existing building or site footprint</t>
  </si>
  <si>
    <t>A gut rehab for a change of purpose requiring replacement of all electrical systems/equipment</t>
  </si>
  <si>
    <t>“Warm Shell” projects, where the building envelope, central mechanical system and core lighting systems are included in the design but future build out work or tenant improvements are permitted separately. In these cases, the incentives will be evaluated on a per measure basis.</t>
  </si>
  <si>
    <t>Incentive Offerings</t>
  </si>
  <si>
    <t>There are four types of energy efficiency incentives available to New Construction customers:</t>
  </si>
  <si>
    <r>
      <t xml:space="preserve">Whole Building Performance incentives </t>
    </r>
    <r>
      <rPr>
        <sz val="12"/>
        <rFont val="Arial"/>
        <family val="2"/>
      </rPr>
      <t>provide an incentive to encourage holistic energy efficient building design and construction.</t>
    </r>
  </si>
  <si>
    <r>
      <t xml:space="preserve">Installed Interior Lighting incentives </t>
    </r>
    <r>
      <rPr>
        <sz val="12"/>
        <rFont val="Arial"/>
        <family val="2"/>
      </rPr>
      <t>are based upon the efficiency of the installed interior lighting system relative to the baseline lighting power density.</t>
    </r>
  </si>
  <si>
    <r>
      <t xml:space="preserve">Standard incentives </t>
    </r>
    <r>
      <rPr>
        <sz val="12"/>
        <rFont val="Arial"/>
        <family val="2"/>
      </rPr>
      <t>have pre-determined energy savings and incentive values and are paid on a per unit basis.</t>
    </r>
  </si>
  <si>
    <r>
      <t xml:space="preserve">Custom incentives </t>
    </r>
    <r>
      <rPr>
        <sz val="12"/>
        <rFont val="Arial"/>
        <family val="2"/>
      </rPr>
      <t>are available for all other energy efficiency measures which are determined to be cost-effective and meet program terms and conditions.</t>
    </r>
  </si>
  <si>
    <t>Guidelines</t>
  </si>
  <si>
    <t>Program Rules</t>
  </si>
  <si>
    <t>Customers must submit the New Construction Incentive Application to initiate the process.</t>
  </si>
  <si>
    <t>New Construction incentives must be applied for and approved prior to the purchase and installation of equipment.</t>
  </si>
  <si>
    <r>
      <t xml:space="preserve">Incentives are available for eligible equipment purchased and/or installed after </t>
    </r>
    <r>
      <rPr>
        <b/>
        <sz val="12"/>
        <rFont val="Arial"/>
        <family val="2"/>
      </rPr>
      <t>March 1, 2016</t>
    </r>
    <r>
      <rPr>
        <sz val="12"/>
        <rFont val="Arial"/>
        <family val="2"/>
      </rPr>
      <t>.</t>
    </r>
  </si>
  <si>
    <r>
      <t xml:space="preserve">All completion paperwork (completed applications, invoices, documentation) must be submitted within </t>
    </r>
    <r>
      <rPr>
        <b/>
        <sz val="12"/>
        <rFont val="Arial"/>
        <family val="2"/>
      </rPr>
      <t xml:space="preserve">180 days </t>
    </r>
    <r>
      <rPr>
        <sz val="12"/>
        <rFont val="Arial"/>
        <family val="2"/>
      </rPr>
      <t>of construction completion or by January 31, 2019, whichever is sooner.</t>
    </r>
  </si>
  <si>
    <r>
      <t xml:space="preserve">Customers must install measures achieving a minimum total incentive of </t>
    </r>
    <r>
      <rPr>
        <b/>
        <sz val="12"/>
        <rFont val="Arial"/>
        <family val="2"/>
      </rPr>
      <t xml:space="preserve">$150 </t>
    </r>
    <r>
      <rPr>
        <sz val="12"/>
        <rFont val="Arial"/>
        <family val="2"/>
      </rPr>
      <t xml:space="preserve">per application and incentives shall be capped at </t>
    </r>
    <r>
      <rPr>
        <b/>
        <sz val="12"/>
        <rFont val="Arial"/>
        <family val="2"/>
      </rPr>
      <t>$3,000,000 per customer per program cycle.</t>
    </r>
  </si>
  <si>
    <t>Incentives shall be capped according to their incentive measure type.</t>
  </si>
  <si>
    <t>Incentives are taxable and, if more than $600, will be reported to the IRS. Proof of tax exemption must be provided with the final application.</t>
  </si>
  <si>
    <t>All New Construction projects will receive a post-construction inspection.</t>
  </si>
  <si>
    <t>Initiating the Process</t>
  </si>
  <si>
    <t>The customer will submit a New Construction Incentive Application that will provide the preliminary site, customer, and project information.</t>
  </si>
  <si>
    <t>Note: The baseline for the project will be established based on program and site specific codes unless design effort has already been performed and is higher than required code compliance. Please contact the program office as early in the process as possible.</t>
  </si>
  <si>
    <t>After the program office receives your application the New Construction representative will schedule the Design Team Meeting (DTM) to accomplish the following activities:</t>
  </si>
  <si>
    <t>Review the application process for the new construction incentives.</t>
  </si>
  <si>
    <t>Establish the project baseline for calculating energy impacts and financial incentives.</t>
  </si>
  <si>
    <t>Identify energy savings and demand reduction potential.</t>
  </si>
  <si>
    <t>A New Construction representative will provide the customer with the incentive options following the DTM.</t>
  </si>
  <si>
    <t>Baseline Determination</t>
  </si>
  <si>
    <t>Since the state of Missouri does not have a statewide building code, the building design baseline will be established on a case-by-case basis. The baseline will be the most stringent of:</t>
  </si>
  <si>
    <t>ASHRAE 90.1-2001</t>
  </si>
  <si>
    <t>The facility’s completed design, if the design is 100% complete at the time of the DTM</t>
  </si>
  <si>
    <t>The ASHRAE 90.1 standard complying with the current local energy code or building code</t>
  </si>
  <si>
    <t>Any legal or contractual construction requirements</t>
  </si>
  <si>
    <t>The Program representative will have the discretion to determine the building design baseline for any special situations that do not fall into one of these categories.</t>
  </si>
  <si>
    <t>Application Process</t>
  </si>
  <si>
    <t>Page 2 of 2</t>
  </si>
  <si>
    <t>Incentive Types</t>
  </si>
  <si>
    <t>The Whole Building Performance Incentive aims to encourage energy efficient designs that improve overall building performance. This incentive helps offset the additional costs of performing a Technical Analysis Study (TAS).</t>
  </si>
  <si>
    <r>
      <t xml:space="preserve">Building performance, as evaluated by energy modeling simulation, must be </t>
    </r>
    <r>
      <rPr>
        <b/>
        <sz val="12"/>
        <rFont val="Arial"/>
        <family val="2"/>
      </rPr>
      <t xml:space="preserve">at least 10% below </t>
    </r>
    <r>
      <rPr>
        <sz val="12"/>
        <rFont val="Arial"/>
        <family val="2"/>
      </rPr>
      <t>the approved baseline. The incentive level increases incrementally with the improved performance.</t>
    </r>
  </si>
  <si>
    <r>
      <t xml:space="preserve">Incentives range between </t>
    </r>
    <r>
      <rPr>
        <b/>
        <sz val="12"/>
        <rFont val="Arial"/>
        <family val="2"/>
      </rPr>
      <t xml:space="preserve">$0.02/kWh - $0.04/kWh </t>
    </r>
    <r>
      <rPr>
        <sz val="12"/>
        <rFont val="Arial"/>
        <family val="2"/>
      </rPr>
      <t>based on the level of energy efficiency designed and installed below the established baseline.</t>
    </r>
  </si>
  <si>
    <r>
      <t xml:space="preserve">The Whole Building Performance Incentive cap is </t>
    </r>
    <r>
      <rPr>
        <b/>
        <sz val="12"/>
        <rFont val="Arial"/>
        <family val="2"/>
      </rPr>
      <t xml:space="preserve">$50,000 </t>
    </r>
    <r>
      <rPr>
        <sz val="12"/>
        <rFont val="Arial"/>
        <family val="2"/>
      </rPr>
      <t>per site, per program year.</t>
    </r>
  </si>
  <si>
    <t>The energy model – also referred to as the Technical Analysis Study – must be submitted with the Whole Building Performance Incentive application. Each TAS must satisfy the following:</t>
  </si>
  <si>
    <t>Describe the proposed facility (typically with a sketch or blueprint showing site layout or floor plan).</t>
  </si>
  <si>
    <t>Describe the baseline building design and provide its estimated electricity use and estimated annual Operations &amp; Maintenance costs.</t>
  </si>
  <si>
    <t>Describe the efficient equipment to be added along with key performance specifications.</t>
  </si>
  <si>
    <t>Provide estimated electricity use for the efficient condition.</t>
  </si>
  <si>
    <t>Provide the energy and demand savings calculations, together with the source of input parameter numbers and justification for each assumption made.</t>
  </si>
  <si>
    <t>Provide the incremental cost to implement the project.</t>
  </si>
  <si>
    <t>The following table lists the accepted modeling software and corresponding reports that are required with the incentive application.</t>
  </si>
  <si>
    <t>DOE2, eQuest &amp; Visual DOE</t>
  </si>
  <si>
    <t>EnergyPlus</t>
  </si>
  <si>
    <t>Carrier HAP</t>
  </si>
  <si>
    <t>Trane TRACE</t>
  </si>
  <si>
    <t>Building Energy Performance (BEPS)</t>
  </si>
  <si>
    <t>Annual Building Utility Performance Summary (ABUPS)</t>
  </si>
  <si>
    <t>Annual Cost Summary</t>
  </si>
  <si>
    <t>Energy Cost Budget/PRM Summary</t>
  </si>
  <si>
    <t>Building Utility Performance (BEPU)</t>
  </si>
  <si>
    <t>System Summary showing unmet load</t>
  </si>
  <si>
    <t>Unmet load reports for all plants and systems</t>
  </si>
  <si>
    <t>Energy Consumption Summary Reports</t>
  </si>
  <si>
    <t>Energy Cost Summary (ES-D)</t>
  </si>
  <si>
    <t>Report that shows energy cost by fuel source</t>
  </si>
  <si>
    <t>Systems Energy Budget by Energy Source</t>
  </si>
  <si>
    <t>Performance Rating Method Details</t>
  </si>
  <si>
    <t>System Design Parameters (SV-A)</t>
  </si>
  <si>
    <t>Equipment Summary &amp; System Summary</t>
  </si>
  <si>
    <t>System Input Data Reports</t>
  </si>
  <si>
    <t>Equipment Energy Consumption</t>
  </si>
  <si>
    <t>Summary of Exterior Surfaces (LV-D)</t>
  </si>
  <si>
    <t>Envelope Summary</t>
  </si>
  <si>
    <t>Wall Constructions</t>
  </si>
  <si>
    <t>Entered Values Report (all rooms and systems)</t>
  </si>
  <si>
    <t>Baseline models must follow the protocol outlined in ASHRAE 90.1 for the approved baseline. Should the state of Missouri adopt a statewide energy code or building standard, Ameren Missouri may adjust the approved baseline requirements for the New Construction Incentive Program accordingly.</t>
  </si>
  <si>
    <t>Incentives are available for lighting systems where the installed interior lighting power density (watt per square foot) is at least 10% lower than the baseline-allowed lighting power density (LPD).</t>
  </si>
  <si>
    <t>Baseline LPD is established at the DTM and is based on the applicable ASHRAE 90.1 standard.</t>
  </si>
  <si>
    <t>The “Whole Building” or “Space-by-Space” method may be used to calculate the LPD.</t>
  </si>
  <si>
    <r>
      <t xml:space="preserve">The incentive offered is based on </t>
    </r>
    <r>
      <rPr>
        <b/>
        <sz val="12"/>
        <rFont val="Arial"/>
        <family val="2"/>
      </rPr>
      <t xml:space="preserve">$0.40 per watt </t>
    </r>
    <r>
      <rPr>
        <sz val="12"/>
        <rFont val="Arial"/>
        <family val="2"/>
      </rPr>
      <t>below the wattage required under the ASHRAE standard multiplied by the associated area measured in square feet.</t>
    </r>
  </si>
  <si>
    <r>
      <t xml:space="preserve">Incentives will be capped at </t>
    </r>
    <r>
      <rPr>
        <b/>
        <sz val="12"/>
        <rFont val="Arial"/>
        <family val="2"/>
      </rPr>
      <t>50% of total costs.</t>
    </r>
  </si>
  <si>
    <t>ASHRAE Standard 90.1 - 2013</t>
  </si>
  <si>
    <t>ASHRAE Standard 90.1 - 2010</t>
  </si>
  <si>
    <t>ASHRAE Standard 90.1 - 2004/2007</t>
  </si>
  <si>
    <t>ASHRAE Standard 90.1 - 2001</t>
  </si>
  <si>
    <t>Standard Incentives</t>
  </si>
  <si>
    <t>Custom incentives are available for specific equipment or systems other than installed interior lighting and standard measures.</t>
  </si>
  <si>
    <r>
      <t xml:space="preserve">Custom incentives require pre-approval </t>
    </r>
    <r>
      <rPr>
        <sz val="12"/>
        <rFont val="Arial"/>
        <family val="2"/>
      </rPr>
      <t>prior to the purchase or installation of equipment.</t>
    </r>
  </si>
  <si>
    <t>All proposed projects will be subject to engineering review to ensure that the measure(s) satisfy program requirements, including the Ameren Missouri Benefit Cost Test to verify the energy efficiency impact of the measure(s), and a simple payback that is greater than 18 months.</t>
  </si>
  <si>
    <t>Measures will be approved if determined to have reliable and cost-effective energy savings potential in the proposed use and site.</t>
  </si>
  <si>
    <t>Submitted Custom incentive applications will be reviewed by Program Engineers to:</t>
  </si>
  <si>
    <t>Calculate energy savings and demand reduction potential.</t>
  </si>
  <si>
    <t>Verify project, measure, and installation cost estimates.</t>
  </si>
  <si>
    <t>Determine the total final value of the incentive.</t>
  </si>
  <si>
    <t>Verify Benefit Cost Test eligibility.</t>
  </si>
  <si>
    <r>
      <t xml:space="preserve">The customer will receive a written incentive offer for qualifying measures following engineering review and approval. The customer must sign and return the offer to the Program office within 30 days and prior to the purchase </t>
    </r>
    <r>
      <rPr>
        <u/>
        <sz val="12"/>
        <rFont val="Arial"/>
        <family val="2"/>
      </rPr>
      <t>and</t>
    </r>
    <r>
      <rPr>
        <sz val="12"/>
        <rFont val="Arial"/>
        <family val="2"/>
      </rPr>
      <t xml:space="preserve"> installation of the equipment, to signify acceptance of the offer.</t>
    </r>
  </si>
  <si>
    <t>A change of project scope may result in recalculation or disqualification of the incentive offer.</t>
  </si>
  <si>
    <r>
      <t xml:space="preserve">Incentives are capped at </t>
    </r>
    <r>
      <rPr>
        <b/>
        <sz val="12"/>
        <rFont val="Arial"/>
        <family val="2"/>
      </rPr>
      <t>100% of incremental cost</t>
    </r>
    <r>
      <rPr>
        <sz val="12"/>
        <rFont val="Arial"/>
        <family val="2"/>
      </rPr>
      <t>.</t>
    </r>
  </si>
  <si>
    <t>Custom incentives are offered at a rate based on the type of technology. See below for Custom incentive rates.</t>
  </si>
  <si>
    <t>Custom Measure Type</t>
  </si>
  <si>
    <t>Incentive Rate</t>
  </si>
  <si>
    <t>$0.15/kwh</t>
  </si>
  <si>
    <t>Building Shell, Commercial Cooking, and Ventilation</t>
  </si>
  <si>
    <t>$0.08/kwh</t>
  </si>
  <si>
    <t>$0.075/kwh</t>
  </si>
  <si>
    <t>Air Compressors, Motors, and Process Improvements</t>
  </si>
  <si>
    <t>$0.07/kwh</t>
  </si>
  <si>
    <t>Refrigeration and Miscellaneous</t>
  </si>
  <si>
    <t>$0.6/kwh</t>
  </si>
  <si>
    <t>From Baseline</t>
  </si>
  <si>
    <t>Whole Building (Design)</t>
  </si>
  <si>
    <t>$0.02/kWh</t>
  </si>
  <si>
    <t>20-29% energy savings</t>
  </si>
  <si>
    <t>$0.03/kWh</t>
  </si>
  <si>
    <t>30% energy savings and above</t>
  </si>
  <si>
    <t>$0.04/kWh</t>
  </si>
  <si>
    <r>
      <t xml:space="preserve">For more information about Ameren Missouri’s </t>
    </r>
    <r>
      <rPr>
        <b/>
        <i/>
        <sz val="12"/>
        <rFont val="Arial"/>
        <family val="2"/>
      </rPr>
      <t xml:space="preserve">BizSavers </t>
    </r>
    <r>
      <rPr>
        <sz val="12"/>
        <rFont val="Arial"/>
        <family val="2"/>
      </rPr>
      <t xml:space="preserve">Energy </t>
    </r>
  </si>
  <si>
    <t>Efficiency Program for New Construction, please contact:</t>
  </si>
  <si>
    <t>Toll free: 1.866.941.7299</t>
  </si>
  <si>
    <r>
      <t xml:space="preserve">Web: </t>
    </r>
    <r>
      <rPr>
        <sz val="12"/>
        <color rgb="FF0000FF"/>
        <rFont val="Arial"/>
        <family val="2"/>
      </rPr>
      <t>AmerenMissouri.com/BizSavers</t>
    </r>
  </si>
  <si>
    <t>The Whole Building Performance Incentive is offered at a tiered rate based on performance. See below for Whole Building Performance incentives.</t>
  </si>
  <si>
    <r>
      <t>Construction Type</t>
    </r>
    <r>
      <rPr>
        <sz val="11"/>
        <color rgb="FFFF0000"/>
        <rFont val="Arial"/>
        <family val="2"/>
      </rPr>
      <t>*</t>
    </r>
  </si>
  <si>
    <r>
      <t>Estimated Design Date</t>
    </r>
    <r>
      <rPr>
        <sz val="11"/>
        <color rgb="FFFF0000"/>
        <rFont val="Arial"/>
        <family val="2"/>
      </rPr>
      <t>*</t>
    </r>
  </si>
  <si>
    <r>
      <t>Estimated Bid Date</t>
    </r>
    <r>
      <rPr>
        <sz val="11"/>
        <color rgb="FFFF0000"/>
        <rFont val="Arial"/>
        <family val="2"/>
      </rPr>
      <t>*</t>
    </r>
  </si>
  <si>
    <r>
      <t>Est. Construction Start Date</t>
    </r>
    <r>
      <rPr>
        <sz val="11"/>
        <color rgb="FFFF0000"/>
        <rFont val="Arial"/>
        <family val="2"/>
      </rPr>
      <t>*</t>
    </r>
  </si>
  <si>
    <r>
      <t>Est. Construction End Date</t>
    </r>
    <r>
      <rPr>
        <sz val="11"/>
        <color rgb="FFFF0000"/>
        <rFont val="Arial"/>
        <family val="2"/>
      </rPr>
      <t>*</t>
    </r>
  </si>
  <si>
    <r>
      <t>Estimated Baseline</t>
    </r>
    <r>
      <rPr>
        <sz val="11"/>
        <color rgb="FFFF0000"/>
        <rFont val="Arial"/>
        <family val="2"/>
      </rPr>
      <t>*</t>
    </r>
  </si>
  <si>
    <r>
      <t>Planned Square Footage</t>
    </r>
    <r>
      <rPr>
        <sz val="11"/>
        <color rgb="FFFF0000"/>
        <rFont val="Arial"/>
        <family val="2"/>
      </rPr>
      <t>*</t>
    </r>
  </si>
  <si>
    <t>Account Number 1</t>
  </si>
  <si>
    <r>
      <t>Project Summary</t>
    </r>
    <r>
      <rPr>
        <sz val="11"/>
        <color rgb="FFFF0000"/>
        <rFont val="Arial"/>
        <family val="2"/>
      </rPr>
      <t>*</t>
    </r>
  </si>
  <si>
    <t>Contractor / Trade Ally Information</t>
  </si>
  <si>
    <r>
      <t>Company Name</t>
    </r>
    <r>
      <rPr>
        <sz val="11"/>
        <color rgb="FFFF0000"/>
        <rFont val="Arial"/>
        <family val="2"/>
      </rPr>
      <t>*</t>
    </r>
  </si>
  <si>
    <r>
      <t>Contact First Name</t>
    </r>
    <r>
      <rPr>
        <sz val="11"/>
        <color rgb="FFFF0000"/>
        <rFont val="Arial"/>
        <family val="2"/>
      </rPr>
      <t>*</t>
    </r>
  </si>
  <si>
    <r>
      <t>Contact Last Name</t>
    </r>
    <r>
      <rPr>
        <sz val="11"/>
        <color rgb="FFFF0000"/>
        <rFont val="Arial"/>
        <family val="2"/>
      </rPr>
      <t>*</t>
    </r>
  </si>
  <si>
    <t>Primary Trade Ally / Vendor Diversity Information</t>
  </si>
  <si>
    <t>Architect / Design Team Leader</t>
  </si>
  <si>
    <t>Contact First Name</t>
  </si>
  <si>
    <t>Contact Last Name</t>
  </si>
  <si>
    <t>Architect / Design Team Leader Diversity Information</t>
  </si>
  <si>
    <t>Diverse Business Type</t>
  </si>
  <si>
    <t>Issued Organization Type</t>
  </si>
  <si>
    <t>Certificate Number</t>
  </si>
  <si>
    <t>Certificate Issued Date</t>
  </si>
  <si>
    <t>Certificate Expiration Date</t>
  </si>
  <si>
    <t>Mechanical Engineer Diversity Information</t>
  </si>
  <si>
    <t>Electrical Engineer Diversity Information</t>
  </si>
  <si>
    <t>General Contractor</t>
  </si>
  <si>
    <t>General Contractor Diversity Information</t>
  </si>
  <si>
    <t>Other 1</t>
  </si>
  <si>
    <t>Other 1 Diversity Information</t>
  </si>
  <si>
    <t>Other 2</t>
  </si>
  <si>
    <t>Other 2 Diversity Information</t>
  </si>
  <si>
    <t>Initial Application Submission Information</t>
  </si>
  <si>
    <t>Once your application has been emailed you can expect to see a confirmation email within 5 business days.</t>
  </si>
  <si>
    <t>We will reach out to you to schedule a Design Team Meeting and provide guidance on additional steps.</t>
  </si>
  <si>
    <t>Please review the information discussed during the Design Team Meeting. You may contact the New Construction program representative stated below for any addition questions.</t>
  </si>
  <si>
    <t>Project Name</t>
  </si>
  <si>
    <t>Meeting Date</t>
  </si>
  <si>
    <t>Attendees</t>
  </si>
  <si>
    <t>Project Description (Include project summary, timeline, baseline reasoning, etc)</t>
  </si>
  <si>
    <t>Baseline</t>
  </si>
  <si>
    <t xml:space="preserve">Whole Building Performance </t>
  </si>
  <si>
    <r>
      <t xml:space="preserve">The Whole Building Performance Incentive is based on the identified savings within an approved energy model. Energy Models must satisfy the requirements of the Ameren Missouri Business Energy Efficiency Program as outlined in the </t>
    </r>
    <r>
      <rPr>
        <b/>
        <sz val="11"/>
        <color rgb="FF1B6CB5"/>
        <rFont val="Arial"/>
        <family val="2"/>
      </rPr>
      <t>New Construction Handbook</t>
    </r>
    <r>
      <rPr>
        <sz val="11"/>
        <color theme="1"/>
        <rFont val="Arial"/>
        <family val="2"/>
      </rPr>
      <t>. Please consult the handbook for accepted model software and reporting requirements.</t>
    </r>
  </si>
  <si>
    <t>Does the customer expect to complete an Energy Model?</t>
  </si>
  <si>
    <t>Whole Building Performance Summary (Include model software type)</t>
  </si>
  <si>
    <r>
      <t xml:space="preserve">New Construction Energy Efficiency Incentives for Installed Interior Lighting are based on the applicable Lighting Power Density (LPD) as defined by the Design Baseline. To qualify for the incentive, the actual installed LPD (total installed wattage divided by square feet) must be reduced </t>
    </r>
    <r>
      <rPr>
        <b/>
        <sz val="11"/>
        <color theme="1"/>
        <rFont val="Arial"/>
        <family val="2"/>
      </rPr>
      <t>at least 10% below</t>
    </r>
    <r>
      <rPr>
        <sz val="11"/>
        <color theme="1"/>
        <rFont val="Arial"/>
        <family val="2"/>
      </rPr>
      <t xml:space="preserve"> the baseline. Click </t>
    </r>
    <r>
      <rPr>
        <b/>
        <sz val="11"/>
        <color rgb="FF1B6CB5"/>
        <rFont val="Arial"/>
        <family val="2"/>
      </rPr>
      <t>HERE</t>
    </r>
    <r>
      <rPr>
        <sz val="11"/>
        <color theme="1"/>
        <rFont val="Arial"/>
        <family val="2"/>
      </rPr>
      <t xml:space="preserve"> to jump to the New Construction Handbook for additional information.</t>
    </r>
  </si>
  <si>
    <t>Space Type #1</t>
  </si>
  <si>
    <t>Space Area #1 (Sq. Ft)</t>
  </si>
  <si>
    <t>Baseline LPD #1 (W/Sq Ft)</t>
  </si>
  <si>
    <t>Space Type #2</t>
  </si>
  <si>
    <t>Space Area #2 (Sq. Ft)</t>
  </si>
  <si>
    <t>Baseline LPD #2 (W/Sq Ft)</t>
  </si>
  <si>
    <t>Space Type #3</t>
  </si>
  <si>
    <t>Space Area #3 (Sq. Ft)</t>
  </si>
  <si>
    <t>Baseline LPD #3 (W/Sq Ft)</t>
  </si>
  <si>
    <t>Space Type #4</t>
  </si>
  <si>
    <t>Space Area #4 (Sq. Ft)</t>
  </si>
  <si>
    <t>Baseline LPD #4 (W/Sq Ft)</t>
  </si>
  <si>
    <t>Installed Interior Lighting Summary</t>
  </si>
  <si>
    <r>
      <t xml:space="preserve">Standard Incentives are available for standard equipment that have been evaluated and the estimated energy savings and incentive values pre-determined. Customers are eligible for Standard Incentives available at the time of the Design Team Meeting and will apply for standard measures upon </t>
    </r>
    <r>
      <rPr>
        <b/>
        <sz val="11"/>
        <color theme="1"/>
        <rFont val="Arial"/>
        <family val="2"/>
      </rPr>
      <t>construction completion</t>
    </r>
    <r>
      <rPr>
        <sz val="11"/>
        <color theme="1"/>
        <rFont val="Arial"/>
        <family val="2"/>
      </rPr>
      <t xml:space="preserve">. Click </t>
    </r>
    <r>
      <rPr>
        <b/>
        <sz val="11"/>
        <color rgb="FF1B6CB5"/>
        <rFont val="Arial"/>
        <family val="2"/>
      </rPr>
      <t>HERE</t>
    </r>
    <r>
      <rPr>
        <sz val="11"/>
        <color theme="1"/>
        <rFont val="Arial"/>
        <family val="2"/>
      </rPr>
      <t xml:space="preserve"> to see the Standard Measures available for your project.</t>
    </r>
  </si>
  <si>
    <t>Recommended Standard Categories</t>
  </si>
  <si>
    <t>Standard Measures Summary</t>
  </si>
  <si>
    <t>Custom Incentives</t>
  </si>
  <si>
    <r>
      <t xml:space="preserve">Custom incentives are available for specific equipment or systems other than installed interior lighting and standard measures and satisfy the requirements of the Ameren Missouri Business Energy Efficiency Program. To apply for the Custom Incentive, the applicant must provide information on the baseline design, proposed energy efficiency upgrade, the estimated cost of the upgrade and energy savings from the upgrade. Custom incentives </t>
    </r>
    <r>
      <rPr>
        <b/>
        <sz val="11"/>
        <color theme="1"/>
        <rFont val="Arial"/>
        <family val="2"/>
      </rPr>
      <t>require pre-approval</t>
    </r>
    <r>
      <rPr>
        <sz val="11"/>
        <color theme="1"/>
        <rFont val="Arial"/>
        <family val="2"/>
      </rPr>
      <t xml:space="preserve"> prior to the purchase or installation of equipment. Click </t>
    </r>
    <r>
      <rPr>
        <b/>
        <sz val="11"/>
        <color rgb="FF1B6CB5"/>
        <rFont val="Arial"/>
        <family val="2"/>
      </rPr>
      <t>HERE</t>
    </r>
    <r>
      <rPr>
        <sz val="11"/>
        <color theme="1"/>
        <rFont val="Arial"/>
        <family val="2"/>
      </rPr>
      <t xml:space="preserve"> to see full custom incentive requirements.</t>
    </r>
  </si>
  <si>
    <t>Recommended Custom Categories</t>
  </si>
  <si>
    <t>Custom Measures Summary</t>
  </si>
  <si>
    <t>Other Notes</t>
  </si>
  <si>
    <t>Contact Information</t>
  </si>
  <si>
    <t>Performance Goals and Energy Efficiency Narrative</t>
  </si>
  <si>
    <t>Please provide a brief narrative of the energy efficiency goals targeted for the project and describe how design and equipment selection helped the project toward this goal.</t>
  </si>
  <si>
    <t>Energy Model Summary</t>
  </si>
  <si>
    <t>Energy Modeling Software</t>
  </si>
  <si>
    <t>Model Completion Date</t>
  </si>
  <si>
    <t>Model Cost</t>
  </si>
  <si>
    <t>Model based on as-built condition?</t>
  </si>
  <si>
    <t>If "No", please explain</t>
  </si>
  <si>
    <t>Conditioned Square Footage</t>
  </si>
  <si>
    <t>Number of Stories Above Grade</t>
  </si>
  <si>
    <t>New Construction Percentage</t>
  </si>
  <si>
    <t>Existing Renovation Percentage</t>
  </si>
  <si>
    <t>Vinatage Year of Existing Building</t>
  </si>
  <si>
    <t>Energy Model Savings</t>
  </si>
  <si>
    <t>ASHRAE Baseline kWh</t>
  </si>
  <si>
    <t>Final Building kWh</t>
  </si>
  <si>
    <t>Total kWh Saved</t>
  </si>
  <si>
    <t>% More Efficient over Baseline</t>
  </si>
  <si>
    <t>Whole Building Performance Incentive</t>
  </si>
  <si>
    <t>Whole Building Performance Incentive Calculation</t>
  </si>
  <si>
    <t>Whole Building Design ($/kWh)</t>
  </si>
  <si>
    <t>Supporting Documentations</t>
  </si>
  <si>
    <t>Please submit the following project documentations along with this application:</t>
  </si>
  <si>
    <t>Architectural Floor Plans and Window Schedule</t>
  </si>
  <si>
    <t>Equipment &amp; Fixture Schedule</t>
  </si>
  <si>
    <t>Mechanical Equipment Schedule and Floor Plans</t>
  </si>
  <si>
    <t>Modeling Software Input and Output Reports (see table) or Modeling Software files</t>
  </si>
  <si>
    <t>Technical Analysis Study (TAS)</t>
  </si>
  <si>
    <t>Space Type</t>
  </si>
  <si>
    <t>Baseline LPD (Watts/Sq Ft)</t>
  </si>
  <si>
    <t>Space Area (Sq. Ft)</t>
  </si>
  <si>
    <t>Efficient LPD (Watts/Sq Ft)</t>
  </si>
  <si>
    <t>Fixture Type</t>
  </si>
  <si>
    <t>Qty</t>
  </si>
  <si>
    <t>Watts/Unit</t>
  </si>
  <si>
    <t>Total Watts</t>
  </si>
  <si>
    <t>Architect/Design Team Lead</t>
  </si>
  <si>
    <t>Trade Ally Company</t>
  </si>
  <si>
    <t>Trade Ally Name</t>
  </si>
  <si>
    <t>Savings Summary</t>
  </si>
  <si>
    <t>New Construction Project Completion Checklist</t>
  </si>
  <si>
    <t>Entered Ameren account number</t>
  </si>
  <si>
    <t>Completed payment information</t>
  </si>
  <si>
    <t>Tax status and ID for entity receiving incentive payment</t>
  </si>
  <si>
    <t>Agreed to the Payment Terms and Conditions</t>
  </si>
  <si>
    <t>Completed Whole Building Performance tab</t>
  </si>
  <si>
    <t>Modeling input and output reports or modeling software files as defined in the Ameren Missouri New Construction Handbook</t>
  </si>
  <si>
    <t>Thorough description of baseline systems/equipment assumptions and proposed alternative systems/equipment assumptions used for creation of building energy model.</t>
  </si>
  <si>
    <t>Architectural floor plans and window schedule</t>
  </si>
  <si>
    <t>Equipment and fixture schedule</t>
  </si>
  <si>
    <t>Mechanical equipment schedule and floor plans</t>
  </si>
  <si>
    <t>Completed Installed Interior Lighting tab</t>
  </si>
  <si>
    <t>Primary Payee Information</t>
  </si>
  <si>
    <t>Please enter the Payee Information below. The payee information may be autofilled based on your selection, but you can overwrite the data if necessary.</t>
  </si>
  <si>
    <r>
      <t>Payment Type</t>
    </r>
    <r>
      <rPr>
        <sz val="11"/>
        <color rgb="FFFF0000"/>
        <rFont val="Arial"/>
        <family val="2"/>
      </rPr>
      <t>*</t>
    </r>
  </si>
  <si>
    <r>
      <t>Payee Company Name</t>
    </r>
    <r>
      <rPr>
        <sz val="11"/>
        <color rgb="FFFF0000"/>
        <rFont val="Arial"/>
        <family val="2"/>
      </rPr>
      <t>*</t>
    </r>
  </si>
  <si>
    <r>
      <t>Payee First Name</t>
    </r>
    <r>
      <rPr>
        <sz val="11"/>
        <color rgb="FFFF0000"/>
        <rFont val="Arial"/>
        <family val="2"/>
      </rPr>
      <t>*</t>
    </r>
  </si>
  <si>
    <r>
      <t>Payee Last Name</t>
    </r>
    <r>
      <rPr>
        <sz val="11"/>
        <color rgb="FFFF0000"/>
        <rFont val="Arial"/>
        <family val="2"/>
      </rPr>
      <t>*</t>
    </r>
  </si>
  <si>
    <r>
      <t>Phone Number</t>
    </r>
    <r>
      <rPr>
        <sz val="11"/>
        <color rgb="FFFF0000"/>
        <rFont val="Arial"/>
        <family val="2"/>
      </rPr>
      <t>*</t>
    </r>
  </si>
  <si>
    <t>Bill Credit Account*</t>
  </si>
  <si>
    <r>
      <t>Tax Entity</t>
    </r>
    <r>
      <rPr>
        <sz val="11"/>
        <color rgb="FFFF0000"/>
        <rFont val="Arial"/>
        <family val="2"/>
      </rPr>
      <t>*</t>
    </r>
  </si>
  <si>
    <r>
      <t>Federal Tax ID Number</t>
    </r>
    <r>
      <rPr>
        <sz val="11"/>
        <color rgb="FFFF0000"/>
        <rFont val="Arial"/>
        <family val="2"/>
      </rPr>
      <t>*</t>
    </r>
  </si>
  <si>
    <t>-</t>
  </si>
  <si>
    <t xml:space="preserve"> Whole Building Performance Payee Information (if applicable)</t>
  </si>
  <si>
    <t>Please enter the WBP Payee Information below. If it is the same as the Primary Payee, answer "Yes" below and the information will autopopulate.</t>
  </si>
  <si>
    <t>Is this Payee same as Primary?</t>
  </si>
  <si>
    <t>Terms and Conditions for Payment of Incentive</t>
  </si>
  <si>
    <r>
      <t xml:space="preserve">I understand and agree to comply with the Payment Terms and Conditions of the Ameren Missouri’s </t>
    </r>
    <r>
      <rPr>
        <b/>
        <i/>
        <sz val="14"/>
        <color theme="1"/>
        <rFont val="Arial"/>
        <family val="2"/>
      </rPr>
      <t>BizSavers</t>
    </r>
    <r>
      <rPr>
        <b/>
        <sz val="14"/>
        <color theme="1"/>
        <rFont val="Arial"/>
        <family val="2"/>
      </rPr>
      <t xml:space="preserve"> Program. </t>
    </r>
    <r>
      <rPr>
        <b/>
        <sz val="14"/>
        <color rgb="FFFF0000"/>
        <rFont val="Arial"/>
        <family val="2"/>
      </rPr>
      <t>*</t>
    </r>
  </si>
  <si>
    <t>WBP Payee Company</t>
  </si>
  <si>
    <t>WBP Payee Name</t>
  </si>
  <si>
    <t>WBP Payee Address</t>
  </si>
  <si>
    <t>WBP City, State, Zip</t>
  </si>
  <si>
    <t>WBP Payee Phone</t>
  </si>
  <si>
    <t>WBP Payee Email</t>
  </si>
  <si>
    <t>WBP Tax Entity</t>
  </si>
  <si>
    <t>WBP Tax ID</t>
  </si>
  <si>
    <t>WBP EndUse / kWh</t>
  </si>
  <si>
    <t>LPD kWh</t>
  </si>
  <si>
    <t>Project # / kWh</t>
  </si>
  <si>
    <t>Select ASHRAE Baseline</t>
  </si>
  <si>
    <t>Potential Incentive</t>
  </si>
  <si>
    <t>LMCapture ID/Group</t>
  </si>
  <si>
    <t>Total Material Cost</t>
  </si>
  <si>
    <t>Total Labor Cost</t>
  </si>
  <si>
    <t>M02S05F01</t>
  </si>
  <si>
    <t>M02S05F02</t>
  </si>
  <si>
    <t>M02S05F03</t>
  </si>
  <si>
    <t>M02S05F04</t>
  </si>
  <si>
    <t>M02S05F05</t>
  </si>
  <si>
    <t>M02S05F06</t>
  </si>
  <si>
    <t>M02S05F07</t>
  </si>
  <si>
    <t>M02S05F08</t>
  </si>
  <si>
    <t>M02S05F09</t>
  </si>
  <si>
    <t>M02S05F10</t>
  </si>
  <si>
    <t>M02S05F11</t>
  </si>
  <si>
    <t>M02S05F12</t>
  </si>
  <si>
    <t>M02S05F13</t>
  </si>
  <si>
    <t>M02S05F14</t>
  </si>
  <si>
    <t>M02S05F15</t>
  </si>
  <si>
    <t>M02S05F16</t>
  </si>
  <si>
    <t>M02S05F17</t>
  </si>
  <si>
    <t>M02S05F18</t>
  </si>
  <si>
    <t>M02S05F19</t>
  </si>
  <si>
    <t>M02S05F20</t>
  </si>
  <si>
    <t>M02S05F21</t>
  </si>
  <si>
    <t>M02S05F22</t>
  </si>
  <si>
    <t>M02S05F23</t>
  </si>
  <si>
    <t>M02S05F24</t>
  </si>
  <si>
    <t>M02S05F25</t>
  </si>
  <si>
    <t>M02S05F26</t>
  </si>
  <si>
    <t>M02S05F27</t>
  </si>
  <si>
    <t>M02S05F28</t>
  </si>
  <si>
    <t>M02S05F29</t>
  </si>
  <si>
    <t>M02S05F30</t>
  </si>
  <si>
    <t>M02S05F31</t>
  </si>
  <si>
    <t>M02S05F32</t>
  </si>
  <si>
    <t>222218</t>
  </si>
  <si>
    <t>222218-Refrigeration-Anti-Sweat Heater Controls Replacing No Controls</t>
  </si>
  <si>
    <t>Anti-Sweat Heater Controls Replacing No Controls</t>
  </si>
  <si>
    <t>Anti-Sweat Heater Controls</t>
  </si>
  <si>
    <t>No Controls</t>
  </si>
  <si>
    <t>Control Unit</t>
  </si>
  <si>
    <t>No Anti-Sweat Heater Control</t>
  </si>
  <si>
    <t>Anti-Sweat Heater Controls - Cooler</t>
  </si>
  <si>
    <t>262318</t>
  </si>
  <si>
    <t>262318-Motors-Pool Pump Timer Replacing No Controls</t>
  </si>
  <si>
    <t>Pool Pump Timer Replacing No Controls</t>
  </si>
  <si>
    <t>Pool Pump Timer</t>
  </si>
  <si>
    <t>Pump</t>
  </si>
  <si>
    <t>301818</t>
  </si>
  <si>
    <t>301818-Lighting-Fixture Mounted Occupancy Sensor Controlling &gt;50 and &lt;=200 Watts Replacing No Controls</t>
  </si>
  <si>
    <t>Fixture Mounted Occupancy Sensor Controlling &gt;50 and &lt;=200 Watts Replacing No Controls</t>
  </si>
  <si>
    <t>Fixture Mounted Occupancy Sensor Controlling &gt;50 and &lt;=200 Watts</t>
  </si>
  <si>
    <t>Sensor</t>
  </si>
  <si>
    <t>Fixture Mounted Occupancy Sensor &gt;50 and ≤200W</t>
  </si>
  <si>
    <t>Controls &gt;50 and ≤200W</t>
  </si>
  <si>
    <t>301918</t>
  </si>
  <si>
    <t>301918-Lighting-Fixture Mounted Occupancy Sensor Controlling &gt;=201 and &lt;=500 Watts Replacing No Controls</t>
  </si>
  <si>
    <t>Fixture Mounted Occupancy Sensor Controlling &gt;=201 and &lt;=500 Watts Replacing No Controls</t>
  </si>
  <si>
    <t>Fixture Mounted Occupancy Sensor Controlling &gt;=201 and &lt;=500 Watts</t>
  </si>
  <si>
    <t>Fixture Mounted Occupancy Sensor &gt;200 and ≤500W</t>
  </si>
  <si>
    <t>Controls &gt;200 and ≤500W</t>
  </si>
  <si>
    <t>201518</t>
  </si>
  <si>
    <t>201518-Lighting-Single Technology Occupancy Sensor Controlling Lighting Circuit &gt;50 and &lt;=120 Watts</t>
  </si>
  <si>
    <t>Single Technology Occupancy Sensor Controlling Lighting Circuit &gt;50 and &lt;=120 Watts</t>
  </si>
  <si>
    <t>Circuit Single Tech. Occ. Sensor &gt;50 and ≤120W</t>
  </si>
  <si>
    <t>Controls &gt;50 and ≤120W</t>
  </si>
  <si>
    <t>201618</t>
  </si>
  <si>
    <t>201618-Lighting-Single Technology Occupancy Sensor Controlling Lighting Circuit &gt;120 Watts</t>
  </si>
  <si>
    <t>Single Technology Occupancy Sensor Controlling Lighting Circuit &gt;120 Watts</t>
  </si>
  <si>
    <t>Circuit Single Tech. Occ. Sensor &gt;120 W</t>
  </si>
  <si>
    <t>Controls &gt;120W</t>
  </si>
  <si>
    <t>201718</t>
  </si>
  <si>
    <t>201718-Lighting-Dual Technology Occupancy Sensor Controlling Lighting Circuit &gt;150 Watts</t>
  </si>
  <si>
    <t>Dual Technology Occupancy Sensor Controlling Lighting Circuit &gt;150 Watts</t>
  </si>
  <si>
    <t>Circuit Dual Tech. Occ. Sensor</t>
  </si>
  <si>
    <t>Controls &gt;150W</t>
  </si>
  <si>
    <t>Annual Op Hours</t>
  </si>
  <si>
    <t>Baseline Lighting System</t>
  </si>
  <si>
    <t>New Construction Lighting Power Density (LPD)</t>
  </si>
  <si>
    <t>Watt Base</t>
  </si>
  <si>
    <t>Watt Eff</t>
  </si>
  <si>
    <t>kWh Base</t>
  </si>
  <si>
    <t>kWh Eff</t>
  </si>
  <si>
    <t>New Construction Building Model Study</t>
  </si>
  <si>
    <t>New Construction Energy Efficiency Upgrades Over Baseline Building</t>
  </si>
  <si>
    <t>ASHRAE 90.1 Standard</t>
  </si>
  <si>
    <t>Total Deemed</t>
  </si>
  <si>
    <t>Application Submittal Attachment Steps</t>
  </si>
  <si>
    <t>Submittal and Next Steps</t>
  </si>
  <si>
    <t>Whole Building Incentive</t>
  </si>
  <si>
    <t>Custom Measures</t>
  </si>
  <si>
    <t>0-19% energy savings</t>
  </si>
  <si>
    <r>
      <t>Email:</t>
    </r>
    <r>
      <rPr>
        <sz val="12"/>
        <color rgb="FF0000FF"/>
        <rFont val="Arial"/>
        <family val="2"/>
      </rPr>
      <t xml:space="preserve"> BizSavers@ameren.com</t>
    </r>
    <r>
      <rPr>
        <sz val="12"/>
        <rFont val="Arial"/>
        <family val="2"/>
      </rPr>
      <t xml:space="preserve"> </t>
    </r>
  </si>
  <si>
    <t>Please fill out the contractor information below. If you do not have one at this moment, select "No" in the first question and continue to next tab.</t>
  </si>
  <si>
    <r>
      <t xml:space="preserve">For more information about Ameren Missouri’s BizSavers Energy Efficiency Program for New Construction, please contact:
Toll free: 1.866.941.7299
Email: </t>
    </r>
    <r>
      <rPr>
        <sz val="11"/>
        <color rgb="FF1B6CB5"/>
        <rFont val="Arial"/>
        <family val="2"/>
      </rPr>
      <t>BizSavers@ameren.com</t>
    </r>
    <r>
      <rPr>
        <sz val="11"/>
        <color theme="1"/>
        <rFont val="Arial"/>
        <family val="2"/>
      </rPr>
      <t xml:space="preserve">
Web: </t>
    </r>
    <r>
      <rPr>
        <sz val="11"/>
        <color rgb="FF1B6CB5"/>
        <rFont val="Arial"/>
        <family val="2"/>
      </rPr>
      <t>AmerenMissouri.com/BizSavers</t>
    </r>
  </si>
  <si>
    <t>Gross Square Footage</t>
  </si>
  <si>
    <t>Please review the Offer Form below and fill in the highlighted fields. If you have any questions, please contact us.</t>
  </si>
  <si>
    <r>
      <t xml:space="preserve">Please review the Completion Form for accuracy. If there have been adjustments to the project, please click on the associated tab name highlighted in </t>
    </r>
    <r>
      <rPr>
        <sz val="13"/>
        <color rgb="FF0000FF"/>
        <rFont val="Arial"/>
        <family val="2"/>
      </rPr>
      <t>blue</t>
    </r>
    <r>
      <rPr>
        <sz val="13"/>
        <rFont val="Arial"/>
        <family val="2"/>
      </rPr>
      <t xml:space="preserve"> in steps 1 and 2 below.  
</t>
    </r>
  </si>
  <si>
    <r>
      <t>Verify the above Measures Summary is accurate. Has your energy efficiency project scope changed from the original plan? If so, please navigate back to the</t>
    </r>
    <r>
      <rPr>
        <sz val="11"/>
        <color theme="1"/>
        <rFont val="Arial"/>
        <family val="2"/>
      </rPr>
      <t xml:space="preserve"> Measure Input tabs to review and update the measures, quantities, and costs associated with each line item.</t>
    </r>
  </si>
  <si>
    <t>4. Submit Final Applications and Supporting Documentation</t>
  </si>
  <si>
    <r>
      <t xml:space="preserve">Please submit this signed document, completed incentive applications, equipment and labor invoices, and all required supporting documentation to </t>
    </r>
    <r>
      <rPr>
        <sz val="11"/>
        <color rgb="FF0000FF"/>
        <rFont val="Arial"/>
        <family val="2"/>
      </rPr>
      <t>BizSavers@ameren.com</t>
    </r>
    <r>
      <rPr>
        <sz val="11"/>
        <color theme="1"/>
        <rFont val="Arial"/>
        <family val="2"/>
      </rPr>
      <t xml:space="preserve"> for review.</t>
    </r>
  </si>
  <si>
    <t>Summary and Submittal Information</t>
  </si>
  <si>
    <t>New Construction Custom Incentive Offer Form</t>
  </si>
  <si>
    <t>New Construction Custom Incentive Offer for</t>
  </si>
  <si>
    <t>New Construction Completion Form</t>
  </si>
  <si>
    <t>New Construction Incentive Completion for</t>
  </si>
  <si>
    <r>
      <t xml:space="preserve">Please review the checklist below for project completion details. Items in </t>
    </r>
    <r>
      <rPr>
        <u/>
        <sz val="13"/>
        <color rgb="FF235591"/>
        <rFont val="Arial"/>
        <family val="2"/>
      </rPr>
      <t>BLUE</t>
    </r>
    <r>
      <rPr>
        <sz val="13"/>
        <rFont val="Arial"/>
        <family val="2"/>
      </rPr>
      <t xml:space="preserve"> can be completed in this application and you may click on each item to jump to location. Items in </t>
    </r>
    <r>
      <rPr>
        <sz val="13"/>
        <color theme="5" tint="-0.249977111117893"/>
        <rFont val="Arial"/>
        <family val="2"/>
      </rPr>
      <t>ORANGE</t>
    </r>
    <r>
      <rPr>
        <sz val="13"/>
        <rFont val="Arial"/>
        <family val="2"/>
      </rPr>
      <t xml:space="preserve"> are additional documents that needs to be attached and submitted through email.</t>
    </r>
  </si>
  <si>
    <t>Update application as necessary to reflect changes to pre-approved custom energy efficiency measures</t>
  </si>
  <si>
    <t>Please Complete Initial Application</t>
  </si>
  <si>
    <t>Please Review and Submit Application</t>
  </si>
  <si>
    <t>NC Provisional Measure</t>
  </si>
  <si>
    <t>kWh Forecast</t>
  </si>
  <si>
    <t>Incentive Forecast</t>
  </si>
  <si>
    <t>Project Completed?</t>
  </si>
  <si>
    <t>NCEstimatedDesignDate</t>
  </si>
  <si>
    <t>NCEstimatedBidDate</t>
  </si>
  <si>
    <t>NCEstimatedStartDate</t>
  </si>
  <si>
    <r>
      <t>Do you have a Primary Contractor or Trade Ally?</t>
    </r>
    <r>
      <rPr>
        <sz val="11"/>
        <color rgb="FFFF0000"/>
        <rFont val="Arial"/>
        <family val="2"/>
      </rPr>
      <t>*</t>
    </r>
  </si>
  <si>
    <t>BD Lead</t>
  </si>
  <si>
    <t>Lincoln Boschert</t>
  </si>
  <si>
    <t>NC Design Date</t>
  </si>
  <si>
    <t>NC Bid Date</t>
  </si>
  <si>
    <t>NC Start Date</t>
  </si>
  <si>
    <t>NC Complete Date</t>
  </si>
  <si>
    <t>NCProjectType</t>
  </si>
  <si>
    <t>ProjectGroup</t>
  </si>
  <si>
    <t>NCBaseline</t>
  </si>
  <si>
    <t>NCAnnualHrs</t>
  </si>
  <si>
    <t>ProjectNarrative</t>
  </si>
  <si>
    <t>NCSquareFootage</t>
  </si>
  <si>
    <t>BDLead</t>
  </si>
  <si>
    <t>Toll-Free 866-941-7299</t>
  </si>
  <si>
    <t>Payment Info and Submittals</t>
  </si>
  <si>
    <t>v2.0.0</t>
  </si>
  <si>
    <t>Energy Efficiency Incentive Summary</t>
  </si>
  <si>
    <t>Reviewed and signed Completion Certificate</t>
  </si>
  <si>
    <t>Total Baseline Wattage #1</t>
  </si>
  <si>
    <t>Total Baseline Wattage #2</t>
  </si>
  <si>
    <t>Total Baseline Wattage #3</t>
  </si>
  <si>
    <t>Total Baseline Wattage #4</t>
  </si>
  <si>
    <t>Converted to Ameren New Construction Application v2.0.0 Release Edition
Added new PCs to dropdown list
Fixed export file column AI equation
added BD dropdown
added rate class to PC summary
fixed Enterntainment building type text issue
New Offer and Completion forms</t>
  </si>
  <si>
    <t>Travis Jones</t>
  </si>
  <si>
    <t>2.0.1</t>
  </si>
  <si>
    <t>Rate Class/ Rate</t>
  </si>
  <si>
    <t>Equip. Use</t>
  </si>
  <si>
    <t>HVAC Uses</t>
  </si>
  <si>
    <t>In LPD form, it now only calculates spaces that qualify- no negative savings
Wrap text in notes section of PC summary
Correct cell references for Historic Tax Credit disqualification in Template
Move rate class on PC summary to Site Information
Added Data Validation to all date fields
Fixed LPD values for ASHRAE 90.1-2013
ASHRAE baseline from DTM autofills on LPD tab
Removed KWHTOTALWPB circular reference from WBP tab and PC Summary
Corrected zip code auto populate on payment info
Removed "Totals" from Offer form, only thing on Offer is Custom
Linked design team contacts on Summary Info tab to appropriate team member, not main TA
Added dropdown for customer to select Cooling/HVAC end use on custom HVAC tab- revised Export file to accomodate</t>
  </si>
  <si>
    <t>2.0.2</t>
  </si>
  <si>
    <t>Corrected savings and incentive calculations formulas when Cooling/HVAC end use is selected on the HVAC tab</t>
  </si>
  <si>
    <t>2.1.0</t>
  </si>
  <si>
    <t>Applicant / Customer Company Information</t>
  </si>
  <si>
    <t>Jim Travis</t>
  </si>
  <si>
    <t>Adjusted tool (along with toolbar) to lock and gray-out WBP Payee Information when WBP tab is not unlocked
LPD section savings = 0 kWh when the efficient LPD is 0
Updated T&amp;C
Changed expiration date from 2/28/17 to 4/30/17
Changed applicatant contact section to specify customer contact, not contractor
Added Jordan Thompson and Jim Travis to their appropriate dropdown lists
Corrected some instances of ENERGY STAR formatting
Updated holidays in operation hours calculator to 2017 dates</t>
  </si>
  <si>
    <t>Robert Yakel</t>
  </si>
  <si>
    <t>2.1.1</t>
  </si>
  <si>
    <t>Deleted LPD tab values and replaced them with autofill equations</t>
  </si>
  <si>
    <t>Monique Gale</t>
  </si>
  <si>
    <t>Rick Gabrielson</t>
  </si>
  <si>
    <t>2.2.0</t>
  </si>
  <si>
    <t>Exterior Area Type</t>
  </si>
  <si>
    <t>Walkway</t>
  </si>
  <si>
    <t>Plaza</t>
  </si>
  <si>
    <t>Stairway</t>
  </si>
  <si>
    <t>Pedestrian Tunnel</t>
  </si>
  <si>
    <t>Landscaping</t>
  </si>
  <si>
    <t>Main Entries</t>
  </si>
  <si>
    <t>Other Doors</t>
  </si>
  <si>
    <t>Entry Canopy</t>
  </si>
  <si>
    <t>Uncovered Loading Dock</t>
  </si>
  <si>
    <t>Sales Canopy</t>
  </si>
  <si>
    <t>Outdoor Sales Lot</t>
  </si>
  <si>
    <t>Building Façade</t>
  </si>
  <si>
    <t>Gatehouse</t>
  </si>
  <si>
    <t>Emergency Parking</t>
  </si>
  <si>
    <t>Inc Rate Exterior</t>
  </si>
  <si>
    <t>Uncovered Parking</t>
  </si>
  <si>
    <t>Added John Cornell, Bob Ackerman, and Rick Gabrielson to BD list. Removed Kelly and Laurie from IS list
Changed expiration date to 8/31/17
Added custom exterior lighting incentives and revised Export tab
Changed references to 2016 to 2017 in operating hours calculator
Corrected references for Cost Basis on Export tab</t>
  </si>
  <si>
    <t>2.3.0</t>
  </si>
  <si>
    <t>Attached Energy Model/Technical Analysis Study (TAS)</t>
  </si>
  <si>
    <t>Attached additional documentation</t>
  </si>
  <si>
    <t>Attached specification sheets</t>
  </si>
  <si>
    <t>Attached layout, design drawings, ComCheck Report, if available</t>
  </si>
  <si>
    <t>Attached contractor or AIA Invoices (quotes or purchase orders are not acceptable substitute for invoices)</t>
  </si>
  <si>
    <t>Completed payment method (Check, Bill Credit, or Third Party)</t>
  </si>
  <si>
    <t>Identified baseline power density</t>
  </si>
  <si>
    <t>Listed describing the fixtures (i.e. model/make), quantity, and wattage</t>
  </si>
  <si>
    <t>Submitted any updated calculations, analyses, spec sheets, etc. to show energy savings</t>
  </si>
  <si>
    <t>Application and Completion Form</t>
  </si>
  <si>
    <t>Installed Interior Lighting Incentive</t>
  </si>
  <si>
    <t>Removed Historic Tax Credit Disqualifier
Staffing changes
Changed project status at Offer to be based on insertion of date (designated ENGSIGNDATE)  rather than signature
Changed expiration date  to 12/31/17
Minor formatting and typographical corrections on checklist
Added "Preliminary" to Status dropdown on PC Summary</t>
  </si>
  <si>
    <t>2.4.0</t>
  </si>
  <si>
    <t>Jake Bushman</t>
  </si>
  <si>
    <t>Changed expiration date to 4/30/18
Staffing changes
Changed holidays in OH calculator to 2018 dates</t>
  </si>
  <si>
    <t>Alana Heier</t>
  </si>
  <si>
    <t>Samantha Cready</t>
  </si>
  <si>
    <t>2.5.0</t>
  </si>
  <si>
    <t>Changed expiration date
Staffing changes for BD and IS
Added proper captialization tags to PC Summary</t>
  </si>
  <si>
    <t>ASHRAE 90.1 2016</t>
  </si>
  <si>
    <t>Healthcare Clinic</t>
  </si>
  <si>
    <t>Hotel (include Motel post-2010)</t>
  </si>
  <si>
    <t>2.5.1</t>
  </si>
  <si>
    <t>Added ASHRAE 90.1 2016 LPD baselines
Corrected display of Standard Measure costs on Completion Form</t>
  </si>
  <si>
    <t>Based on Ameren data provided in July 2018</t>
  </si>
  <si>
    <t>Transferred by Travis Jones 9/28/2018</t>
  </si>
  <si>
    <t>2.6.0</t>
  </si>
  <si>
    <t>Updated avoided cost data with latest values from Ameren
Changed expiration date
Added ASHRAE 90.1 2016 Information to information page in introduction</t>
  </si>
  <si>
    <t>ASHRAE 90.1 - 2016</t>
  </si>
  <si>
    <t>Step 2:  
Select the 2019 holidays that the site will be closed or the measure will be turned off.</t>
  </si>
  <si>
    <t>Taylor Sizemore</t>
  </si>
  <si>
    <t>3.0.0</t>
  </si>
  <si>
    <t>Lighting Incentives</t>
  </si>
  <si>
    <t>WBP Incentives</t>
  </si>
  <si>
    <t>Update operating hours calculator
Updated version number to 3.0.0 and expiration date to 12/31/19
Removed standard incentive section from project checklist
Removed standard incnetives from Summary and Submittal Info tab
Removed standard incentives from completion form
Removed standard incentive list tab
Removed standard incentive from PC Summary
Updated T&amp;Cs
Removed standard meausures tab
Removed extra operating hour calculators
Updated custom incentive rates
Removed exterior lighting
Removed ASHRAE 2001 and 2004
Updated Cost/ Benefit Table for 2019 -TJ</t>
  </si>
  <si>
    <t>Halogen Lamp</t>
  </si>
  <si>
    <t>T12 - 2ft - 1 Lamp - 20W Actual</t>
  </si>
  <si>
    <t>T12 - 2ft - 2 Lamp - 40W Actual</t>
  </si>
  <si>
    <t>T12 - 2 ft - 3 Lamp</t>
  </si>
  <si>
    <t>T12 - 2ft - 3 Lamp - 60W Actual</t>
  </si>
  <si>
    <t>T12 - 2 ft - 4 Lamp</t>
  </si>
  <si>
    <t>T12 - 2ft - 4 Lamp - 80W Actual</t>
  </si>
  <si>
    <t>T12 - 3ft - 1 Lamp - 30W Actual</t>
  </si>
  <si>
    <t>T12 - 3ft - 2 Lamp - 60W Actual</t>
  </si>
  <si>
    <t>T12 - 3 ft - 3 Lamp</t>
  </si>
  <si>
    <t>T12 - 3ft - 3 Lamp - 90W Actual</t>
  </si>
  <si>
    <t>T12 - 3 ft - 4 Lamp</t>
  </si>
  <si>
    <t>T12 - 3ft - 4 Lamp - 120W Actual</t>
  </si>
  <si>
    <t>T12 - 4ft - 1 Lamp - 40W Actual</t>
  </si>
  <si>
    <t>T12 - 4ft - 2 Lamp - 80W Actual</t>
  </si>
  <si>
    <t>T12 - 4ft - 3 Lamp - 120W Actual</t>
  </si>
  <si>
    <t>T12 - 4 ft - 6 Lamp</t>
  </si>
  <si>
    <t>T12 - 4ft - 6 Lamp - 240W Actual</t>
  </si>
  <si>
    <t>6 lamp</t>
  </si>
  <si>
    <t>T12 - 5 ft - 1 Lamp</t>
  </si>
  <si>
    <t>T12 - 5ft - 1 Lamp - 72W Actual</t>
  </si>
  <si>
    <t>5 ft</t>
  </si>
  <si>
    <t>Xcel</t>
  </si>
  <si>
    <t>T12 - 5 ft - 2 Lamp</t>
  </si>
  <si>
    <t>T12 - 5ft - 2 Lamp - 111W Actual</t>
  </si>
  <si>
    <t>T12 - 6 ft - 1 Lamp</t>
  </si>
  <si>
    <t>T12 - 6ft - 1 Lamp - 80W Actual</t>
  </si>
  <si>
    <t>6 ft</t>
  </si>
  <si>
    <t>T12 - 6 ft - 2 Lamp</t>
  </si>
  <si>
    <t>T12 - 6ft - 2 Lamp - 122W Actual</t>
  </si>
  <si>
    <t>T12 - 8ft - 3 Lamp - HO - 352W Actual</t>
  </si>
  <si>
    <t>T12 - 8ft - 3 Lamp - HO - 454W Actual</t>
  </si>
  <si>
    <t>T12 - 8ft - 3 Lamp - VHO - 800W Actual</t>
  </si>
  <si>
    <t>T12 - U-Tube - 3 Lamp</t>
  </si>
  <si>
    <t>T12 - U-Tube - 2 Lamp - 102W Actual</t>
  </si>
  <si>
    <t>T8 - 2 ft - 3 Lamp</t>
  </si>
  <si>
    <t>T8 - 2ft - 3 Lamp - 18W</t>
  </si>
  <si>
    <t>T8 - 2 ft - 4 Lamp</t>
  </si>
  <si>
    <t>T8 - 2ft - 4 Lamp - 18W</t>
  </si>
  <si>
    <t>T8 - 3ft - 1 Lamp - 25W</t>
  </si>
  <si>
    <t>T8 - 3ft - 2 Lamp - 25W</t>
  </si>
  <si>
    <t>T8 - 3 ft - 3 Lamp</t>
  </si>
  <si>
    <t>T8 - 3ft - 3 Lamp - 25W</t>
  </si>
  <si>
    <t>T8 - 3 ft - 4 Lamp</t>
  </si>
  <si>
    <t>T8 - 3ft - 4 Lamp - 25W</t>
  </si>
  <si>
    <t>T8 - 4ft - 2 Lamp - 64W</t>
  </si>
  <si>
    <t>T8 - 4 ft - 6 Lamp</t>
  </si>
  <si>
    <t>T8 - 4ft - 6 Lamp - 32W</t>
  </si>
  <si>
    <t>T8 - 4 ft - 6 L High Bay</t>
  </si>
  <si>
    <t>T8 - 4ft - 6 Lamp - 32W HBF</t>
  </si>
  <si>
    <t>T8 - 4 ft - 8 L High Bay</t>
  </si>
  <si>
    <t>T8 - 4ft - 8 Lamp - 32W HBF</t>
  </si>
  <si>
    <t>T8 - 5 ft - 1 Lamp</t>
  </si>
  <si>
    <t>T8 - 5ft - 1 Lamp - 40W</t>
  </si>
  <si>
    <t>T8 - 5 ft - 2 Lamp</t>
  </si>
  <si>
    <t>T8 - 5ft - 2 Lamp - 40W</t>
  </si>
  <si>
    <t>T8 - 5 ft - 3 Lamp</t>
  </si>
  <si>
    <t>T8 - 5ft - 3 Lamp - 40W</t>
  </si>
  <si>
    <t>T8 - 5 ft - 4 Lamp</t>
  </si>
  <si>
    <t>T8 - 5ft - 4 Lamp - 40W</t>
  </si>
  <si>
    <t>T8 - 6 ft - 1 Lamp</t>
  </si>
  <si>
    <t>T8 - 6ft - 1 Lamp - 46W</t>
  </si>
  <si>
    <t>T8 - 6 ft - 2 Lamp</t>
  </si>
  <si>
    <t>T8 - 6ft - 2 Lamp - 46W</t>
  </si>
  <si>
    <t>T8 - 8 ft - 6 Lamp</t>
  </si>
  <si>
    <t>T8 - 8ft - 6 Lamp - 59W</t>
  </si>
  <si>
    <t>T8 - U-Tube - 3 Lamp</t>
  </si>
  <si>
    <t>T8 - U-Tube - 3 Lamp - 30W</t>
  </si>
  <si>
    <t>T5 - 2 ft - 1 Lamp</t>
  </si>
  <si>
    <t>T5 - 2ft - 1 Lamp - 14W</t>
  </si>
  <si>
    <t>T5 - 2 ft - 2 Lamp</t>
  </si>
  <si>
    <t>T5 - 2ft - 2 Lamp - 14W</t>
  </si>
  <si>
    <t>T5 - 4ft - 1 Lamp - 28W</t>
  </si>
  <si>
    <t>T5 - 4ft - 2 Lamp - 28W</t>
  </si>
  <si>
    <t>T5 - 4 ft - 3 Lamp</t>
  </si>
  <si>
    <t>T5 - 4ft - 3 Lamp - 28W</t>
  </si>
  <si>
    <t>T5 - 4ft - 4 Lamp - 28W</t>
  </si>
  <si>
    <t>T5 - 4ft - 6 Lamp - 28W</t>
  </si>
  <si>
    <t>T5 - 4 ft - 8 Lamp</t>
  </si>
  <si>
    <t>T5 - 4ft - 8 Lamp - 28W</t>
  </si>
  <si>
    <t>T5 - 5 ft - 1 Lamp</t>
  </si>
  <si>
    <t>T5 - 5ft - 1 Lamp - 35W</t>
  </si>
  <si>
    <t>T5 - 5 ft - 2 Lamp</t>
  </si>
  <si>
    <t>T5 - 5ft - 2 Lamp - 35W</t>
  </si>
  <si>
    <t>T5 HO - 4 ft - 3 Lamp</t>
  </si>
  <si>
    <t>T5 - 4ft - 3 Lamp - 54W - HO</t>
  </si>
  <si>
    <t>MH - 50 Watt</t>
  </si>
  <si>
    <t>MH 50W</t>
  </si>
  <si>
    <t>MH - 150 Watt</t>
  </si>
  <si>
    <t>MH 150W</t>
  </si>
  <si>
    <t>MH - 1500 Watt</t>
  </si>
  <si>
    <t>MH 1500W</t>
  </si>
  <si>
    <t>1500 Watt</t>
  </si>
  <si>
    <t>MH - 2000 Watt</t>
  </si>
  <si>
    <t>MH 2000W</t>
  </si>
  <si>
    <t>2000 Watt</t>
  </si>
  <si>
    <t>Pulse Start MH - 350 Watt</t>
  </si>
  <si>
    <t>350 Watt</t>
  </si>
  <si>
    <t>Pulse Start MH - 1000 Watt</t>
  </si>
  <si>
    <t>MV - 1000 Watt</t>
  </si>
  <si>
    <t>MV 1000W</t>
  </si>
  <si>
    <t>Industrial Ceiling Fan (Incremental)</t>
  </si>
  <si>
    <t>Industrial Ceiling Fan</t>
  </si>
  <si>
    <t>4030501</t>
  </si>
  <si>
    <t>4040301</t>
  </si>
  <si>
    <t>4030500</t>
  </si>
  <si>
    <t>4040300</t>
  </si>
  <si>
    <t>4020601</t>
  </si>
  <si>
    <t>4020401</t>
  </si>
  <si>
    <t>4090101</t>
  </si>
  <si>
    <t>4020801</t>
  </si>
  <si>
    <t>4090201</t>
  </si>
  <si>
    <t>4090301</t>
  </si>
  <si>
    <t>4020301</t>
  </si>
  <si>
    <t>4040501</t>
  </si>
  <si>
    <t>4080101</t>
  </si>
  <si>
    <t>4080201</t>
  </si>
  <si>
    <t>4052121</t>
  </si>
  <si>
    <t>4080801</t>
  </si>
  <si>
    <t>4052111</t>
  </si>
  <si>
    <t>4080701</t>
  </si>
  <si>
    <t>4050801</t>
  </si>
  <si>
    <t>4100401</t>
  </si>
  <si>
    <t>4040401</t>
  </si>
  <si>
    <t>4100201</t>
  </si>
  <si>
    <t>4100301</t>
  </si>
  <si>
    <t>4100511</t>
  </si>
  <si>
    <t>4100521</t>
  </si>
  <si>
    <t>4100601</t>
  </si>
  <si>
    <t>Controls (Incremental)</t>
  </si>
  <si>
    <t>4040601</t>
  </si>
  <si>
    <t>4100200</t>
  </si>
  <si>
    <t>4100300</t>
  </si>
  <si>
    <t>4100400</t>
  </si>
  <si>
    <t>Controls</t>
  </si>
  <si>
    <t>4110200</t>
  </si>
  <si>
    <t>Buidling Shell</t>
  </si>
  <si>
    <t>4010101</t>
  </si>
  <si>
    <t>4010201</t>
  </si>
  <si>
    <t>4010301</t>
  </si>
  <si>
    <t>4010100</t>
  </si>
  <si>
    <t>4010200</t>
  </si>
  <si>
    <t>4010300</t>
  </si>
  <si>
    <t>4100520</t>
  </si>
  <si>
    <t>4100600</t>
  </si>
  <si>
    <t>4040600</t>
  </si>
  <si>
    <t>SpecLife</t>
  </si>
  <si>
    <t>EffEffeciency</t>
  </si>
  <si>
    <t>EquipmentLife</t>
  </si>
  <si>
    <t>Removed NC Handbook.
Updated EXPORT with new columns
Updated measure numbers
Updated welcome page graphics</t>
  </si>
  <si>
    <t>Location Type</t>
  </si>
  <si>
    <t>Baseline Fixture Type</t>
  </si>
  <si>
    <t>Description</t>
  </si>
  <si>
    <t>Fixture Quantity</t>
  </si>
  <si>
    <t>Input Watt</t>
  </si>
  <si>
    <t>Hours per Year</t>
  </si>
  <si>
    <t>Efficient Fixture Type</t>
  </si>
  <si>
    <t>Description (Brand,Model)</t>
  </si>
  <si>
    <t>New Quantity</t>
  </si>
  <si>
    <t>Base kWh</t>
  </si>
  <si>
    <t>Efficient kWh</t>
  </si>
  <si>
    <t>Actual kW</t>
  </si>
  <si>
    <t>Exterior Lighting</t>
  </si>
  <si>
    <t>Sarah Moran</t>
  </si>
  <si>
    <t>Katie Palazzola</t>
  </si>
  <si>
    <t>3.0.1</t>
  </si>
  <si>
    <t>Added Exterior Lighting back to custom measures- but with a 24/7 required
Staffing changes to IS and Engineering lists
Updated links on welcome pages</t>
  </si>
  <si>
    <t>3.0.2</t>
  </si>
  <si>
    <t>Update Terms and Conditions</t>
  </si>
  <si>
    <t>3.1.0</t>
  </si>
  <si>
    <t>Updated expiration date to 8/30</t>
  </si>
  <si>
    <t>Police Station (include Fire Station pre-2010)</t>
  </si>
  <si>
    <t>IECC 2009</t>
  </si>
  <si>
    <t>IECC 2012</t>
  </si>
  <si>
    <t>IECC 2015</t>
  </si>
  <si>
    <t>IECC 2018</t>
  </si>
  <si>
    <t>Baseline Code</t>
  </si>
  <si>
    <t>3.1.1</t>
  </si>
  <si>
    <t>Added IECC codes to list of baselines
Set Provisional Measure to use the Lighting Demand Factor for kW calculations</t>
  </si>
  <si>
    <t>3.2.0</t>
  </si>
  <si>
    <t>Updated expiration date to  1/31/20
Removed T&amp;Cs and linked to them
Staffing changes</t>
  </si>
  <si>
    <t>David Azar</t>
  </si>
  <si>
    <t>LED Lighting</t>
  </si>
  <si>
    <t>Savings and Incentive Summary</t>
  </si>
  <si>
    <t>Type</t>
  </si>
  <si>
    <t>Existing Fixture</t>
  </si>
  <si>
    <t>Existing Detail</t>
  </si>
  <si>
    <t>Existing Qty</t>
  </si>
  <si>
    <t>Fixture Watt (W)</t>
  </si>
  <si>
    <t>New Lighting Type</t>
  </si>
  <si>
    <t>Efficient Model</t>
  </si>
  <si>
    <t>LED Fixt. Qty</t>
  </si>
  <si>
    <t>Lamps per Fixt.</t>
  </si>
  <si>
    <t>Location Detail</t>
  </si>
  <si>
    <t>Material Cost</t>
  </si>
  <si>
    <t>Redesign</t>
  </si>
  <si>
    <t>Space 1</t>
  </si>
  <si>
    <t>Total Cost for Space Redesign</t>
  </si>
  <si>
    <t>Space Description</t>
  </si>
  <si>
    <t>Existing Fixture Type</t>
  </si>
  <si>
    <t>New Fixture Type</t>
  </si>
  <si>
    <r>
      <rPr>
        <sz val="10"/>
        <color theme="1"/>
        <rFont val="Arial"/>
        <family val="2"/>
      </rPr>
      <t>Lamp Life</t>
    </r>
    <r>
      <rPr>
        <sz val="11"/>
        <color theme="1"/>
        <rFont val="Arial"/>
        <family val="2"/>
      </rPr>
      <t xml:space="preserve"> </t>
    </r>
    <r>
      <rPr>
        <sz val="10"/>
        <color theme="1"/>
        <rFont val="Arial"/>
        <family val="2"/>
      </rPr>
      <t>(hours)</t>
    </r>
  </si>
  <si>
    <t>Space 2</t>
  </si>
  <si>
    <t>Space 3</t>
  </si>
  <si>
    <t>Space 4</t>
  </si>
  <si>
    <t>Actual</t>
  </si>
  <si>
    <t>Existing kWh</t>
  </si>
  <si>
    <t>Existing Watts</t>
  </si>
  <si>
    <t>Efficient Watts</t>
  </si>
  <si>
    <t>Capped</t>
  </si>
  <si>
    <t>Base Watts</t>
  </si>
  <si>
    <t>HIF</t>
  </si>
  <si>
    <t>Measure Category</t>
  </si>
  <si>
    <t>T5HO</t>
  </si>
  <si>
    <t>Redesign with Controls</t>
  </si>
  <si>
    <t>T12-LED-Plug and Play (Type A)</t>
  </si>
  <si>
    <t>T8-LED-Plug and Play (Type A)</t>
  </si>
  <si>
    <t>T5-LED-Plug and Play (Type A)</t>
  </si>
  <si>
    <t>T5HO-LED-Plug and Play (Type A)</t>
  </si>
  <si>
    <t>T12-LED-Type A/B Hybrid</t>
  </si>
  <si>
    <t>T8-LED-Type A/B Hybrid</t>
  </si>
  <si>
    <t>T5-LED-Type A/B Hybrid</t>
  </si>
  <si>
    <t>T5HO-LED-Type A/B Hybrid</t>
  </si>
  <si>
    <t>T12-LED-Direct Wire (Type B)</t>
  </si>
  <si>
    <t>T8-LED-Direct Wire (Type B)</t>
  </si>
  <si>
    <t>T5-LED-Direct Wire (Type B)</t>
  </si>
  <si>
    <t>T5HO-LED-Direct Wire (Type B)</t>
  </si>
  <si>
    <t>T12-LED-External Driver (Type C)</t>
  </si>
  <si>
    <t>T8-LED-External Driver (Type C)</t>
  </si>
  <si>
    <t>T5-LED-External Driver (Type C)</t>
  </si>
  <si>
    <t>T5HO-LED-External Driver (Type C)</t>
  </si>
  <si>
    <t>T12-LED-Retrofit Kit</t>
  </si>
  <si>
    <t>T8-LED-Retrofit Kit</t>
  </si>
  <si>
    <t>T5-LED-Retrofit Kit</t>
  </si>
  <si>
    <t>T5HO-LED-Retrofit Kit</t>
  </si>
  <si>
    <t>T12-LED-Fixture</t>
  </si>
  <si>
    <t>T8-LED-Fixture</t>
  </si>
  <si>
    <t>T5-LED-Fixture</t>
  </si>
  <si>
    <t>T5HO-LED-Fixture</t>
  </si>
  <si>
    <t>T12-LED-Kit w/ Network Cntrls</t>
  </si>
  <si>
    <t>T8-LED-Kit w/ Network Cntrls</t>
  </si>
  <si>
    <t>T5-LED-Kit w/ Network Cntrls</t>
  </si>
  <si>
    <t>T5HO-LED-Kit w/ Network Cntrls</t>
  </si>
  <si>
    <t>T12-LED-Fixture w/ Network Cntrl</t>
  </si>
  <si>
    <t>T8-LED-Fixture w/ Network Cntrl</t>
  </si>
  <si>
    <t>T5-LED-Fixture w/ Network Cntrl</t>
  </si>
  <si>
    <t>T5HO-LED-Fixture w/ Network Cntrl</t>
  </si>
  <si>
    <t>Redesign-LED-No</t>
  </si>
  <si>
    <t>Redesign-LED-Yes</t>
  </si>
  <si>
    <t>Linear Tube LED Retrofit</t>
  </si>
  <si>
    <t>T12 HO- 4 ft - 1 Lamp</t>
  </si>
  <si>
    <t>T12 HO- 4 ft - 1 Lamp - 60W Actual</t>
  </si>
  <si>
    <t>T12 HO - 4 ft - 2 Lamp</t>
  </si>
  <si>
    <t>T12 HO - 4 ft - 2 Lamp - 120W Actual</t>
  </si>
  <si>
    <t>T12 HO - 4 ft - 4 Lamp</t>
  </si>
  <si>
    <t>T12 HO - 4 ft - 4 Lamp - 240W Actual</t>
  </si>
  <si>
    <t>PROJSTATFILLINITIAL</t>
  </si>
  <si>
    <t>PROJSTATSSUBMITINITIAL</t>
  </si>
  <si>
    <t>PROJSTATPREAPPROVE</t>
  </si>
  <si>
    <t>PROJSTATREVIEW</t>
  </si>
  <si>
    <t>PROJSTATEXP</t>
  </si>
  <si>
    <t>PROJSTATELI</t>
  </si>
  <si>
    <t>PROJSTATUNDER</t>
  </si>
  <si>
    <t>Redesign LED</t>
  </si>
  <si>
    <t>Non-Linear LED Lamp Retrofit</t>
  </si>
  <si>
    <t>LED Fixture</t>
  </si>
  <si>
    <t>Baseline Lighting</t>
  </si>
  <si>
    <t>Efficient Design</t>
  </si>
  <si>
    <t>3.2.1</t>
  </si>
  <si>
    <t>Added section for LPD exempt interior lighting savings</t>
  </si>
  <si>
    <t>Pre-Approval Incentives</t>
  </si>
  <si>
    <t>Completed Pre-Approval Incentive tab(s)</t>
  </si>
  <si>
    <t>Pre0Approval kWh</t>
  </si>
  <si>
    <t>LPD Interior Lighting</t>
  </si>
  <si>
    <t>LPD-Exempt Interior Lighting</t>
  </si>
  <si>
    <t>PRE-APPROVAL MEASURES</t>
  </si>
  <si>
    <t>CODE-BASELINE MEASURES</t>
  </si>
  <si>
    <t>3.2.2</t>
  </si>
  <si>
    <t>Enabled entering 2020 dates in signature of T&amp;C</t>
  </si>
  <si>
    <t>3.3.0</t>
  </si>
  <si>
    <t>Jane Parker</t>
  </si>
  <si>
    <t>Independence Day (Observed)</t>
  </si>
  <si>
    <t>Updated expiration date to 5/1/20
Updated cost benefit data for 2020
Updated holidays in the operating hours calculator to 2020 dates
BD personnel changes</t>
  </si>
  <si>
    <t>Product of TRC Companies</t>
  </si>
  <si>
    <t>3.3.1</t>
  </si>
  <si>
    <t>Changed expirationm date</t>
  </si>
  <si>
    <t>Madeline Emerson</t>
  </si>
  <si>
    <t>3.4.0</t>
  </si>
  <si>
    <t>Changed expiration date
IS and BD personnel changes</t>
  </si>
  <si>
    <t>3.5.0</t>
  </si>
  <si>
    <r>
      <t xml:space="preserve">The New Construction Baseline is based on minimum program baseline, the current building code, or the equipment which the participant has committed to purchase. The final design efficiency is often compared to the ASHRAE 90.1 baseline to determine actual energy savings resulting from the upgrades. Click </t>
    </r>
    <r>
      <rPr>
        <b/>
        <sz val="11"/>
        <color rgb="FF1B6CB5"/>
        <rFont val="Arial"/>
        <family val="2"/>
      </rPr>
      <t>HERE</t>
    </r>
    <r>
      <rPr>
        <sz val="11"/>
        <color theme="1"/>
        <rFont val="Arial"/>
        <family val="2"/>
      </rPr>
      <t xml:space="preserve"> to jump to the New Construction Handbook for additional information.</t>
    </r>
  </si>
  <si>
    <t>By my signature (type in your name for electronic signature) below I certify and authorize the following:</t>
  </si>
  <si>
    <t>1)</t>
  </si>
  <si>
    <t>I am the owner, or an authorized representative associated with the Ameren Missouri account number(s) on this application.</t>
  </si>
  <si>
    <t xml:space="preserve">2) </t>
  </si>
  <si>
    <t>I authorize Ameren Missouri to access energy usage data for the specified accounts at the physical site address of the project listed above and release to the Trade Ally listed on this application.</t>
  </si>
  <si>
    <t>3)</t>
  </si>
  <si>
    <t>I agree that Ameren Missouri may include my name, city or county of business, Program services/ incentives and resulting energy savings in reports or other documentation submitted to Ameren Missouri</t>
  </si>
  <si>
    <t>and relevant agencies administering energy programs. Ameren Missouri will treat all other information gathered through the program as confidential.</t>
  </si>
  <si>
    <t>4)</t>
  </si>
  <si>
    <t>5)</t>
  </si>
  <si>
    <t>By my signature (type in your name for electronic signature) below, I hereby certify that this form includes the entire energy efficiency project scope and estimated total project cost including</t>
  </si>
  <si>
    <t>materials and labor for this site.</t>
  </si>
  <si>
    <t>6)</t>
  </si>
  <si>
    <t>I acknowledge that details of this Program, including incentive levels and availability, are subject to change without notice.</t>
  </si>
  <si>
    <t>7)</t>
  </si>
  <si>
    <r>
      <t xml:space="preserve">I acknowledge </t>
    </r>
    <r>
      <rPr>
        <b/>
        <sz val="11"/>
        <color theme="1"/>
        <rFont val="Arial"/>
        <family val="2"/>
      </rPr>
      <t>THIS CONTRACT CONTAINS A BINDING ARBITRATION PROVISION WHICH MAY BE ENFORCED BY THE PARTIES.</t>
    </r>
  </si>
  <si>
    <t>Customer Information Release and Terms and Conditions Acknowledgement</t>
  </si>
  <si>
    <t>a) If the Customer does not complete the installation of the measures and submit all the required completion paperwork within 12 months from the date the incentive offer was signed by the applicant, or by November 30, 2021 (whichever is soonest), Ameren Missouri may cancel this Application without liability of any kind. c) A Customer who fails to advise Ameren Missouri that a project is complete, or who fails to provide required post-installation documentation as described elsewhere in the Terms and Conditions within 180 days of project installation or by November 30, 2021 may be denied incentive payment.
Accepting this offer acknowledges that this application includes the entire efficiency project scope and estimated total project cost including both materials and labor for this site. I have reviewed all measures included in this application and agree to the incentive amount. Details of this Program, including incentive levels and availability, and measure eligibility are subject to change. This offer is contingent upon completion of other projects' actual savings associated with the $3,000,000 annual cap per company for the program cycle extending from March 1, 2019 through December 31, 2021.</t>
  </si>
  <si>
    <t>Completion Date on File</t>
  </si>
  <si>
    <t>&lt;RECFR Date&gt;</t>
  </si>
  <si>
    <t>Enter estimated completion date</t>
  </si>
  <si>
    <t>Is this date still accurate? If not, please provide an updated completion date and return to BizSavers@ameren.com</t>
  </si>
  <si>
    <t>or contact an Ameren Missouri BizSavers representative at 1-866-941-7299</t>
  </si>
  <si>
    <t>Maddie Emerson</t>
  </si>
  <si>
    <t>Changed expiration date
Changed URL links to new guidelines
Revamped T&amp;C page
Changed custom payback minimum to 1 year
Allowed display of "Other" custom measures once engineer updates EUL and End Use
Removed standard incentive section from DTM form
Updated offer page
BD personnel changes</t>
  </si>
  <si>
    <t>The Customer Information Release and Terms Acknowledgement below has been extracted from the full Terms and Conditions.</t>
  </si>
  <si>
    <r>
      <t xml:space="preserve">The full Terms and Conditions may be viewed </t>
    </r>
    <r>
      <rPr>
        <b/>
        <u/>
        <sz val="12"/>
        <color theme="4" tint="-0.249977111117893"/>
        <rFont val="Arial"/>
        <family val="2"/>
      </rPr>
      <t>HERE.</t>
    </r>
  </si>
  <si>
    <r>
      <t xml:space="preserve">I have read, understand, and agree to the </t>
    </r>
    <r>
      <rPr>
        <u/>
        <sz val="11"/>
        <color theme="4" tint="-0.249977111117893"/>
        <rFont val="Arial"/>
        <family val="2"/>
      </rPr>
      <t>Ameren Missouri BizSavers Terms and Conditions for MEEIA 2019 - 2021.</t>
    </r>
  </si>
  <si>
    <t>3.5.1</t>
  </si>
  <si>
    <t>Revamped Terms Page and Terms URL
Extended expiration date to 10/2</t>
  </si>
  <si>
    <t>3.6.0</t>
  </si>
  <si>
    <t>Removed date restrictions throughout</t>
  </si>
  <si>
    <t>3.7.0</t>
  </si>
  <si>
    <t>Alberta</t>
  </si>
  <si>
    <t>AB</t>
  </si>
  <si>
    <t>British Columbia</t>
  </si>
  <si>
    <t>BC</t>
  </si>
  <si>
    <t>Manitoba</t>
  </si>
  <si>
    <t>MB</t>
  </si>
  <si>
    <t>New Brunswick</t>
  </si>
  <si>
    <t>NB</t>
  </si>
  <si>
    <t>Newfoundland and Labrador</t>
  </si>
  <si>
    <t>NL</t>
  </si>
  <si>
    <t>Northwest Territories</t>
  </si>
  <si>
    <t>NT</t>
  </si>
  <si>
    <t>Nova Scotia</t>
  </si>
  <si>
    <t>NS</t>
  </si>
  <si>
    <t>Nunavut</t>
  </si>
  <si>
    <t>NU</t>
  </si>
  <si>
    <t>Ontario</t>
  </si>
  <si>
    <t>ON</t>
  </si>
  <si>
    <t>Prince Edward Island</t>
  </si>
  <si>
    <t>PE</t>
  </si>
  <si>
    <t>Quebec</t>
  </si>
  <si>
    <t>QC</t>
  </si>
  <si>
    <t>Saskatchewan</t>
  </si>
  <si>
    <t>SK</t>
  </si>
  <si>
    <t>Yukon</t>
  </si>
  <si>
    <t>YT</t>
  </si>
  <si>
    <t>District of Columbia</t>
  </si>
  <si>
    <t>DC</t>
  </si>
  <si>
    <r>
      <t>State/ Province</t>
    </r>
    <r>
      <rPr>
        <sz val="11"/>
        <color rgb="FFFF0000"/>
        <rFont val="Arial"/>
        <family val="2"/>
      </rPr>
      <t>*</t>
    </r>
  </si>
  <si>
    <r>
      <t>Zip/ Postal Code</t>
    </r>
    <r>
      <rPr>
        <sz val="11"/>
        <color rgb="FFFF0000"/>
        <rFont val="Arial"/>
        <family val="2"/>
      </rPr>
      <t>*</t>
    </r>
  </si>
  <si>
    <t>State/ Province</t>
  </si>
  <si>
    <t>Zip/ Postal Code</t>
  </si>
  <si>
    <t>IS/ Cust. Submitted</t>
  </si>
  <si>
    <t>CustomerSubmittedApp</t>
  </si>
  <si>
    <t>Updated holidays in operating hours calculator to 2021 dates
Updated C/B data for 2021
Changed expiration dates
Allow entry of Canadian provinces in certain address fields
Added indicator of customer submitted application on PC Summary and csv</t>
  </si>
  <si>
    <r>
      <t>How Did You Hear About the Program?</t>
    </r>
    <r>
      <rPr>
        <sz val="11"/>
        <color rgb="FFFF0000"/>
        <rFont val="Arial"/>
        <family val="2"/>
      </rPr>
      <t>*</t>
    </r>
  </si>
  <si>
    <t>Marketing</t>
  </si>
  <si>
    <t>I'm a Past Program Participant</t>
  </si>
  <si>
    <t>Ameren Website</t>
  </si>
  <si>
    <t>Ameren / BizSavers Program Representative</t>
  </si>
  <si>
    <t>Contractor, Vendor, or Trade Ally</t>
  </si>
  <si>
    <t>Program Brochure</t>
  </si>
  <si>
    <t>Program Email</t>
  </si>
  <si>
    <t>Event</t>
  </si>
  <si>
    <t>Video</t>
  </si>
  <si>
    <t>Online Advertisement</t>
  </si>
  <si>
    <t>Online Search Engine</t>
  </si>
  <si>
    <t>Ameren Facebook / LinkedIn Post</t>
  </si>
  <si>
    <t>Print Advertisement</t>
  </si>
  <si>
    <t>Mailer / Postcard</t>
  </si>
  <si>
    <t>HearAbout</t>
  </si>
  <si>
    <t>HearAboutOther</t>
  </si>
  <si>
    <t>M02S01F04</t>
  </si>
  <si>
    <t>M02S01F05</t>
  </si>
  <si>
    <t>Other Detail</t>
  </si>
  <si>
    <t>3.8.0</t>
  </si>
  <si>
    <t>Corrected LPD for Office Space under IECC 2015</t>
  </si>
  <si>
    <t>New Construction v3.8.0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</si>
</sst>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8" formatCode="&quot;$&quot;#,##0.00_);[Red]\(&quot;$&quot;#,##0.00\)"/>
    <numFmt numFmtId="44" formatCode="_(&quot;$&quot;* #,##0.00_);_(&quot;$&quot;* \(#,##0.00\);_(&quot;$&quot;* &quot;-&quot;??_);_(@_)"/>
    <numFmt numFmtId="43" formatCode="_(* #,##0.00_);_(* \(#,##0.00\);_(* &quot;-&quot;??_);_(@_)"/>
    <numFmt numFmtId="164" formatCode="##\)"/>
    <numFmt numFmtId="165" formatCode="[$-F800]dddd\,\ mmmm\ dd\,\ yyyy"/>
    <numFmt numFmtId="166" formatCode="00000"/>
    <numFmt numFmtId="167" formatCode="&quot;$&quot;#,##0.00"/>
    <numFmt numFmtId="168" formatCode="m/d/yy;@"/>
    <numFmt numFmtId="169" formatCode="&quot;$&quot;#,##0"/>
    <numFmt numFmtId="170" formatCode="0.000"/>
    <numFmt numFmtId="171" formatCode="#,###\ &quot;kWh&quot;"/>
    <numFmt numFmtId="172" formatCode="#,##0.000"/>
    <numFmt numFmtId="173" formatCode="0.00000"/>
    <numFmt numFmtId="174" formatCode="[&lt;=9999999]###\-####;\(###\)\ ###\-####"/>
    <numFmt numFmtId="175" formatCode="000000"/>
    <numFmt numFmtId="176" formatCode="#,###\ &quot;therms&quot;"/>
    <numFmt numFmtId="177" formatCode="0.0000"/>
    <numFmt numFmtId="178" formatCode="#,##0.0000"/>
    <numFmt numFmtId="179" formatCode="0.0000000000"/>
    <numFmt numFmtId="180" formatCode="_(* #,##0_);_(* \(#,##0\);_(* &quot;-&quot;??_);_(@_)"/>
    <numFmt numFmtId="181" formatCode="&quot;$&quot;#,##0.0000"/>
    <numFmt numFmtId="182" formatCode="0.0"/>
    <numFmt numFmtId="183" formatCode="0.0%"/>
    <numFmt numFmtId="184" formatCode="#,##0\ &quot;kWh&quot;"/>
    <numFmt numFmtId="185" formatCode="m/d/yyyy;@"/>
    <numFmt numFmtId="186" formatCode="###\ &quot;W&quot;"/>
    <numFmt numFmtId="187" formatCode="##\ &quot;ft&quot;"/>
    <numFmt numFmtId="188" formatCode="####\ &quot;W&quot;"/>
    <numFmt numFmtId="189" formatCode="#,###\ &quot;W&quot;"/>
    <numFmt numFmtId="190" formatCode="&quot;$&quot;#,##0.00&quot; /W&quot;"/>
  </numFmts>
  <fonts count="167"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u/>
      <sz val="11"/>
      <color theme="10"/>
      <name val="Calibri"/>
      <family val="2"/>
      <scheme val="minor"/>
    </font>
    <font>
      <sz val="10"/>
      <color theme="1"/>
      <name val="Calibri"/>
      <family val="2"/>
      <scheme val="minor"/>
    </font>
    <font>
      <sz val="11"/>
      <color theme="1"/>
      <name val="Calibri"/>
      <family val="2"/>
      <scheme val="minor"/>
    </font>
    <font>
      <b/>
      <sz val="10"/>
      <color theme="1"/>
      <name val="Arial"/>
      <family val="2"/>
    </font>
    <font>
      <b/>
      <sz val="10"/>
      <color indexed="8"/>
      <name val="Arial"/>
      <family val="2"/>
    </font>
    <font>
      <b/>
      <sz val="11"/>
      <color theme="1"/>
      <name val="Arial"/>
      <family val="2"/>
    </font>
    <font>
      <sz val="11"/>
      <color theme="1"/>
      <name val="Arial"/>
      <family val="2"/>
    </font>
    <font>
      <sz val="8"/>
      <color indexed="8"/>
      <name val="Arial"/>
      <family val="2"/>
    </font>
    <font>
      <sz val="8"/>
      <color theme="1"/>
      <name val="Arial"/>
      <family val="2"/>
    </font>
    <font>
      <sz val="9"/>
      <color theme="1"/>
      <name val="Arial"/>
      <family val="2"/>
    </font>
    <font>
      <i/>
      <sz val="9"/>
      <color theme="1"/>
      <name val="Arial"/>
      <family val="2"/>
    </font>
    <font>
      <i/>
      <sz val="8"/>
      <color theme="1"/>
      <name val="Arial"/>
      <family val="2"/>
    </font>
    <font>
      <sz val="11"/>
      <color theme="1"/>
      <name val="Script MT Bold"/>
      <family val="4"/>
    </font>
    <font>
      <b/>
      <sz val="8"/>
      <color theme="1"/>
      <name val="Arial"/>
      <family val="2"/>
    </font>
    <font>
      <b/>
      <i/>
      <sz val="9"/>
      <color theme="1"/>
      <name val="Arial"/>
      <family val="2"/>
    </font>
    <font>
      <sz val="6"/>
      <color theme="1"/>
      <name val="Arial"/>
      <family val="2"/>
      <charset val="204"/>
    </font>
    <font>
      <sz val="8"/>
      <color theme="1"/>
      <name val="Arial"/>
      <family val="2"/>
      <charset val="204"/>
    </font>
    <font>
      <sz val="8"/>
      <color theme="1"/>
      <name val="Calibri"/>
      <family val="2"/>
      <scheme val="minor"/>
    </font>
    <font>
      <sz val="11"/>
      <color indexed="8"/>
      <name val="Calibri"/>
      <family val="2"/>
    </font>
    <font>
      <sz val="10"/>
      <color theme="1"/>
      <name val="Arial"/>
      <family val="2"/>
    </font>
    <font>
      <sz val="11"/>
      <name val="Arial"/>
      <family val="2"/>
    </font>
    <font>
      <b/>
      <sz val="11"/>
      <color theme="1"/>
      <name val="Script MT Bold"/>
      <family val="4"/>
    </font>
    <font>
      <b/>
      <sz val="11"/>
      <color theme="0"/>
      <name val="Arial"/>
      <family val="2"/>
    </font>
    <font>
      <sz val="10"/>
      <color theme="1"/>
      <name val="Calibri Light"/>
      <family val="2"/>
    </font>
    <font>
      <b/>
      <sz val="10"/>
      <color theme="1"/>
      <name val="Calibri Light"/>
      <family val="2"/>
    </font>
    <font>
      <b/>
      <i/>
      <sz val="18"/>
      <color theme="3"/>
      <name val="Book Antiqua"/>
      <family val="1"/>
    </font>
    <font>
      <b/>
      <i/>
      <sz val="9"/>
      <color theme="3"/>
      <name val="Century Gothic"/>
      <family val="2"/>
    </font>
    <font>
      <sz val="8"/>
      <color theme="1"/>
      <name val="Century Gothic"/>
      <family val="2"/>
    </font>
    <font>
      <b/>
      <sz val="10"/>
      <color theme="0"/>
      <name val="Calibri Light"/>
      <family val="2"/>
    </font>
    <font>
      <b/>
      <sz val="10"/>
      <color theme="1"/>
      <name val="Calibri Light"/>
      <family val="2"/>
    </font>
    <font>
      <sz val="10"/>
      <name val="Calibri Light"/>
      <family val="2"/>
    </font>
    <font>
      <b/>
      <sz val="11"/>
      <color theme="1"/>
      <name val="Calibri"/>
      <family val="2"/>
      <scheme val="minor"/>
    </font>
    <font>
      <sz val="11"/>
      <color theme="1"/>
      <name val="Calibri"/>
      <family val="2"/>
    </font>
    <font>
      <b/>
      <u/>
      <sz val="25"/>
      <color theme="0"/>
      <name val="Calibri"/>
      <family val="2"/>
    </font>
    <font>
      <b/>
      <sz val="11"/>
      <color rgb="FFFF0000"/>
      <name val="Calibri"/>
      <family val="2"/>
      <scheme val="minor"/>
    </font>
    <font>
      <sz val="15"/>
      <color rgb="FFBADD8B"/>
      <name val="Calibri"/>
      <family val="2"/>
      <scheme val="minor"/>
    </font>
    <font>
      <b/>
      <sz val="14"/>
      <color theme="1"/>
      <name val="Calibri"/>
      <family val="2"/>
      <scheme val="minor"/>
    </font>
    <font>
      <sz val="13"/>
      <color rgb="FF00334E"/>
      <name val="Calibri"/>
      <family val="2"/>
      <scheme val="minor"/>
    </font>
    <font>
      <b/>
      <sz val="13"/>
      <color rgb="FF00334E"/>
      <name val="Calibri"/>
      <family val="2"/>
      <scheme val="minor"/>
    </font>
    <font>
      <sz val="11"/>
      <name val="Calibri"/>
      <family val="2"/>
      <scheme val="minor"/>
    </font>
    <font>
      <b/>
      <sz val="10"/>
      <name val="Arial"/>
      <family val="2"/>
    </font>
    <font>
      <b/>
      <i/>
      <sz val="10"/>
      <color theme="1"/>
      <name val="Arial"/>
      <family val="2"/>
    </font>
    <font>
      <sz val="7"/>
      <color theme="1"/>
      <name val="Arial"/>
      <family val="2"/>
      <charset val="204"/>
    </font>
    <font>
      <sz val="11"/>
      <color rgb="FFFF0000"/>
      <name val="Calibri"/>
      <family val="2"/>
      <scheme val="minor"/>
    </font>
    <font>
      <i/>
      <sz val="10"/>
      <color theme="1"/>
      <name val="Arial"/>
      <family val="2"/>
    </font>
    <font>
      <b/>
      <sz val="11"/>
      <name val="Arial"/>
      <family val="2"/>
    </font>
    <font>
      <sz val="11"/>
      <color theme="0"/>
      <name val="Calibri"/>
      <family val="2"/>
      <scheme val="minor"/>
    </font>
    <font>
      <u/>
      <sz val="11"/>
      <color theme="0"/>
      <name val="Calibri"/>
      <family val="2"/>
      <scheme val="minor"/>
    </font>
    <font>
      <sz val="9"/>
      <color indexed="81"/>
      <name val="Tahoma"/>
      <family val="2"/>
    </font>
    <font>
      <b/>
      <sz val="9"/>
      <color indexed="81"/>
      <name val="Tahoma"/>
      <family val="2"/>
    </font>
    <font>
      <sz val="11"/>
      <color theme="0" tint="-0.34998626667073579"/>
      <name val="Calibri"/>
      <family val="2"/>
      <scheme val="minor"/>
    </font>
    <font>
      <b/>
      <sz val="18"/>
      <name val="Arial"/>
      <family val="2"/>
    </font>
    <font>
      <b/>
      <sz val="11"/>
      <color rgb="FFFF0000"/>
      <name val="Arial"/>
      <family val="2"/>
    </font>
    <font>
      <sz val="11"/>
      <color theme="0"/>
      <name val="Arial"/>
      <family val="2"/>
    </font>
    <font>
      <u/>
      <sz val="11"/>
      <color theme="0"/>
      <name val="Arial"/>
      <family val="2"/>
    </font>
    <font>
      <b/>
      <sz val="18"/>
      <color rgb="FF00334E"/>
      <name val="Arial"/>
      <family val="2"/>
    </font>
    <font>
      <sz val="13"/>
      <color rgb="FF00334E"/>
      <name val="Arial"/>
      <family val="2"/>
    </font>
    <font>
      <sz val="13"/>
      <name val="Arial"/>
      <family val="2"/>
    </font>
    <font>
      <sz val="11"/>
      <color rgb="FFFF0000"/>
      <name val="Arial"/>
      <family val="2"/>
    </font>
    <font>
      <u/>
      <sz val="11"/>
      <color theme="10"/>
      <name val="Arial"/>
      <family val="2"/>
    </font>
    <font>
      <b/>
      <sz val="14"/>
      <color rgb="FF00334E"/>
      <name val="Arial"/>
      <family val="2"/>
    </font>
    <font>
      <b/>
      <u/>
      <sz val="25"/>
      <color theme="0"/>
      <name val="Arial"/>
      <family val="2"/>
    </font>
    <font>
      <b/>
      <sz val="16"/>
      <name val="Arial"/>
      <family val="2"/>
    </font>
    <font>
      <sz val="11"/>
      <color rgb="FF00334E"/>
      <name val="Arial"/>
      <family val="2"/>
    </font>
    <font>
      <sz val="12"/>
      <color theme="1"/>
      <name val="Arial"/>
      <family val="2"/>
    </font>
    <font>
      <sz val="14"/>
      <color theme="3"/>
      <name val="Arial"/>
      <family val="2"/>
    </font>
    <font>
      <sz val="14"/>
      <color theme="4"/>
      <name val="Arial"/>
      <family val="2"/>
    </font>
    <font>
      <b/>
      <sz val="9"/>
      <color rgb="FF008000"/>
      <name val="Arial"/>
      <family val="2"/>
    </font>
    <font>
      <b/>
      <sz val="10"/>
      <color theme="3"/>
      <name val="Arial"/>
      <family val="2"/>
    </font>
    <font>
      <b/>
      <sz val="10"/>
      <color theme="0"/>
      <name val="Arial"/>
      <family val="2"/>
    </font>
    <font>
      <sz val="8"/>
      <color theme="0"/>
      <name val="Arial"/>
      <family val="2"/>
    </font>
    <font>
      <b/>
      <sz val="13"/>
      <color theme="0"/>
      <name val="Arial"/>
      <family val="2"/>
    </font>
    <font>
      <b/>
      <sz val="13"/>
      <color theme="1"/>
      <name val="Arial"/>
      <family val="2"/>
    </font>
    <font>
      <sz val="12"/>
      <color theme="0"/>
      <name val="Arial"/>
      <family val="2"/>
    </font>
    <font>
      <b/>
      <sz val="11"/>
      <color theme="1"/>
      <name val="Calibri Light"/>
      <family val="2"/>
    </font>
    <font>
      <sz val="11"/>
      <color theme="1"/>
      <name val="Calibri Light"/>
      <family val="2"/>
    </font>
    <font>
      <b/>
      <sz val="11"/>
      <color theme="1"/>
      <name val="Calibri"/>
      <family val="2"/>
    </font>
    <font>
      <b/>
      <u/>
      <sz val="11"/>
      <color theme="10"/>
      <name val="Arial"/>
      <family val="2"/>
    </font>
    <font>
      <sz val="11"/>
      <color rgb="FF1B6CB5"/>
      <name val="Arial"/>
      <family val="2"/>
    </font>
    <font>
      <b/>
      <sz val="14"/>
      <name val="Arial"/>
      <family val="2"/>
    </font>
    <font>
      <b/>
      <sz val="13"/>
      <name val="Arial"/>
      <family val="2"/>
    </font>
    <font>
      <sz val="8"/>
      <color rgb="FFFF0000"/>
      <name val="Arial"/>
      <family val="2"/>
    </font>
    <font>
      <b/>
      <sz val="11"/>
      <color theme="0"/>
      <name val="Segoe UI"/>
      <family val="2"/>
    </font>
    <font>
      <b/>
      <sz val="11"/>
      <color theme="0"/>
      <name val="Arial Narrow"/>
      <family val="2"/>
    </font>
    <font>
      <sz val="11"/>
      <color theme="4" tint="0.59999389629810485"/>
      <name val="Arial"/>
      <family val="2"/>
    </font>
    <font>
      <i/>
      <sz val="10"/>
      <color rgb="FFC00000"/>
      <name val="Arial"/>
      <family val="2"/>
    </font>
    <font>
      <sz val="10"/>
      <color theme="1"/>
      <name val="Wingdings"/>
      <charset val="2"/>
    </font>
    <font>
      <sz val="10"/>
      <color rgb="FFC00000"/>
      <name val="Arial"/>
      <family val="2"/>
    </font>
    <font>
      <sz val="10"/>
      <name val="Calibri Light"/>
      <family val="2"/>
    </font>
    <font>
      <sz val="10"/>
      <color theme="0" tint="-0.34998626667073579"/>
      <name val="Calibri Light"/>
      <family val="2"/>
    </font>
    <font>
      <b/>
      <sz val="10"/>
      <color theme="1"/>
      <name val="Calibri"/>
      <family val="2"/>
      <scheme val="minor"/>
    </font>
    <font>
      <sz val="12"/>
      <color rgb="FF000000"/>
      <name val="Arial"/>
      <family val="2"/>
    </font>
    <font>
      <b/>
      <sz val="12"/>
      <color theme="1"/>
      <name val="Arial"/>
      <family val="2"/>
    </font>
    <font>
      <sz val="10"/>
      <name val="Arial"/>
      <family val="2"/>
    </font>
    <font>
      <sz val="16"/>
      <color theme="0"/>
      <name val="Arial"/>
      <family val="2"/>
    </font>
    <font>
      <sz val="24"/>
      <color theme="0"/>
      <name val="Arial"/>
      <family val="2"/>
    </font>
    <font>
      <b/>
      <sz val="18"/>
      <color theme="1"/>
      <name val="Arial"/>
      <family val="2"/>
    </font>
    <font>
      <sz val="18"/>
      <color theme="1"/>
      <name val="Arial"/>
      <family val="2"/>
    </font>
    <font>
      <b/>
      <i/>
      <sz val="11"/>
      <color theme="0"/>
      <name val="Arial"/>
      <family val="2"/>
    </font>
    <font>
      <sz val="11"/>
      <color rgb="FFD98C24"/>
      <name val="Arial"/>
      <family val="2"/>
    </font>
    <font>
      <sz val="11"/>
      <color rgb="FF0000FF"/>
      <name val="Arial"/>
      <family val="2"/>
    </font>
    <font>
      <b/>
      <sz val="11"/>
      <color rgb="FF1B6CB5"/>
      <name val="Arial"/>
      <family val="2"/>
    </font>
    <font>
      <b/>
      <sz val="12"/>
      <color rgb="FF1B6CB5"/>
      <name val="Arial"/>
      <family val="2"/>
    </font>
    <font>
      <sz val="12"/>
      <color rgb="FFD98C24"/>
      <name val="Arial"/>
      <family val="2"/>
    </font>
    <font>
      <sz val="12"/>
      <color rgb="FF1B6CB5"/>
      <name val="Arial"/>
      <family val="2"/>
    </font>
    <font>
      <sz val="12"/>
      <name val="Arial"/>
      <family val="2"/>
    </font>
    <font>
      <b/>
      <sz val="12"/>
      <name val="Arial"/>
      <family val="2"/>
    </font>
    <font>
      <sz val="9"/>
      <color rgb="FF1B6CB5"/>
      <name val="Arial"/>
      <family val="2"/>
    </font>
    <font>
      <sz val="12"/>
      <color rgb="FFFFFFFF"/>
      <name val="Arial"/>
      <family val="2"/>
    </font>
    <font>
      <u/>
      <sz val="12"/>
      <name val="Arial"/>
      <family val="2"/>
    </font>
    <font>
      <b/>
      <i/>
      <sz val="12"/>
      <name val="Arial"/>
      <family val="2"/>
    </font>
    <font>
      <sz val="12"/>
      <color rgb="FF0000FF"/>
      <name val="Arial"/>
      <family val="2"/>
    </font>
    <font>
      <sz val="11"/>
      <color rgb="FF000000"/>
      <name val="Calibri"/>
      <family val="2"/>
      <scheme val="minor"/>
    </font>
    <font>
      <b/>
      <sz val="16"/>
      <color rgb="FFC61D10"/>
      <name val="Arial"/>
      <family val="2"/>
    </font>
    <font>
      <b/>
      <sz val="13"/>
      <color rgb="FFC61D10"/>
      <name val="Arial"/>
      <family val="2"/>
    </font>
    <font>
      <b/>
      <sz val="16"/>
      <color rgb="FF439639"/>
      <name val="Arial"/>
      <family val="2"/>
    </font>
    <font>
      <b/>
      <sz val="13"/>
      <color rgb="FF439639"/>
      <name val="Arial"/>
      <family val="2"/>
    </font>
    <font>
      <b/>
      <sz val="16"/>
      <color rgb="FF17375E"/>
      <name val="Arial"/>
      <family val="2"/>
    </font>
    <font>
      <b/>
      <sz val="13"/>
      <color rgb="FF17375E"/>
      <name val="Arial"/>
      <family val="2"/>
    </font>
    <font>
      <b/>
      <sz val="16"/>
      <color rgb="FFE1A14B"/>
      <name val="Arial"/>
      <family val="2"/>
    </font>
    <font>
      <b/>
      <sz val="13"/>
      <color rgb="FFE1A14B"/>
      <name val="Arial"/>
      <family val="2"/>
    </font>
    <font>
      <b/>
      <sz val="16"/>
      <color theme="0" tint="-0.499984740745262"/>
      <name val="Arial"/>
      <family val="2"/>
    </font>
    <font>
      <b/>
      <sz val="13"/>
      <color theme="0" tint="-0.499984740745262"/>
      <name val="Arial"/>
      <family val="2"/>
    </font>
    <font>
      <sz val="11"/>
      <color rgb="FF000000"/>
      <name val="Calibri"/>
      <family val="2"/>
    </font>
    <font>
      <b/>
      <sz val="13"/>
      <color rgb="FF1B6CB5"/>
      <name val="Arial"/>
      <family val="2"/>
    </font>
    <font>
      <sz val="11"/>
      <color rgb="FFFFFFFF"/>
      <name val="Arial"/>
      <family val="2"/>
    </font>
    <font>
      <sz val="11"/>
      <color rgb="FF000000"/>
      <name val="Arial"/>
      <family val="2"/>
    </font>
    <font>
      <u/>
      <sz val="13"/>
      <color rgb="FF235591"/>
      <name val="Arial"/>
      <family val="2"/>
    </font>
    <font>
      <sz val="13"/>
      <color theme="5" tint="-0.249977111117893"/>
      <name val="Arial"/>
      <family val="2"/>
    </font>
    <font>
      <b/>
      <u/>
      <sz val="16"/>
      <name val="Arial"/>
      <family val="2"/>
    </font>
    <font>
      <sz val="13"/>
      <color theme="1"/>
      <name val="Arial"/>
      <family val="2"/>
    </font>
    <font>
      <sz val="10"/>
      <color rgb="FF439639"/>
      <name val="Arial"/>
      <family val="2"/>
    </font>
    <font>
      <sz val="15"/>
      <color theme="1"/>
      <name val="Arial"/>
      <family val="2"/>
    </font>
    <font>
      <i/>
      <u/>
      <sz val="13"/>
      <color rgb="FF235591"/>
      <name val="Arial"/>
      <family val="2"/>
    </font>
    <font>
      <b/>
      <u/>
      <sz val="13"/>
      <color theme="1"/>
      <name val="Arial"/>
      <family val="2"/>
    </font>
    <font>
      <i/>
      <sz val="13"/>
      <color theme="1"/>
      <name val="Arial"/>
      <family val="2"/>
    </font>
    <font>
      <b/>
      <u/>
      <sz val="11"/>
      <color theme="1"/>
      <name val="Arial"/>
      <family val="2"/>
    </font>
    <font>
      <sz val="10"/>
      <color theme="0"/>
      <name val="Arial"/>
      <family val="2"/>
    </font>
    <font>
      <i/>
      <sz val="13"/>
      <color theme="5" tint="-0.249977111117893"/>
      <name val="Arial"/>
      <family val="2"/>
    </font>
    <font>
      <sz val="11"/>
      <color theme="5" tint="-0.249977111117893"/>
      <name val="Arial"/>
      <family val="2"/>
    </font>
    <font>
      <i/>
      <sz val="13"/>
      <name val="Arial"/>
      <family val="2"/>
    </font>
    <font>
      <b/>
      <u/>
      <sz val="13"/>
      <name val="Arial"/>
      <family val="2"/>
    </font>
    <font>
      <sz val="13"/>
      <color rgb="FF439639"/>
      <name val="Arial"/>
      <family val="2"/>
    </font>
    <font>
      <sz val="13"/>
      <color rgb="FF235591"/>
      <name val="Arial"/>
      <family val="2"/>
    </font>
    <font>
      <b/>
      <sz val="14"/>
      <color theme="1"/>
      <name val="Arial"/>
      <family val="2"/>
    </font>
    <font>
      <b/>
      <i/>
      <sz val="14"/>
      <color theme="1"/>
      <name val="Arial"/>
      <family val="2"/>
    </font>
    <font>
      <b/>
      <sz val="14"/>
      <color rgb="FFFF0000"/>
      <name val="Arial"/>
      <family val="2"/>
    </font>
    <font>
      <sz val="13"/>
      <color rgb="FF0000FF"/>
      <name val="Arial"/>
      <family val="2"/>
    </font>
    <font>
      <i/>
      <sz val="12"/>
      <color rgb="FF000000"/>
      <name val="Arial"/>
      <family val="2"/>
    </font>
    <font>
      <strike/>
      <sz val="8"/>
      <color theme="1"/>
      <name val="Century Gothic"/>
      <family val="2"/>
    </font>
    <font>
      <i/>
      <sz val="11"/>
      <color rgb="FFFF0000"/>
      <name val="Arial"/>
      <family val="2"/>
    </font>
    <font>
      <b/>
      <sz val="16"/>
      <color theme="0"/>
      <name val="Arial"/>
      <family val="2"/>
    </font>
    <font>
      <b/>
      <sz val="11"/>
      <color rgb="FF0000FF"/>
      <name val="Arial"/>
      <family val="2"/>
    </font>
    <font>
      <b/>
      <u/>
      <sz val="12"/>
      <color theme="4" tint="-0.249977111117893"/>
      <name val="Arial"/>
      <family val="2"/>
    </font>
    <font>
      <u/>
      <sz val="11"/>
      <color theme="4" tint="-0.249977111117893"/>
      <name val="Arial"/>
      <family val="2"/>
    </font>
  </fonts>
  <fills count="47">
    <fill>
      <patternFill patternType="none"/>
    </fill>
    <fill>
      <patternFill patternType="gray125"/>
    </fill>
    <fill>
      <patternFill patternType="solid">
        <fgColor theme="0" tint="-4.9989318521683403E-2"/>
        <bgColor indexed="64"/>
      </patternFill>
    </fill>
    <fill>
      <patternFill patternType="solid">
        <fgColor theme="7" tint="0.59999389629810485"/>
        <bgColor indexed="64"/>
      </patternFill>
    </fill>
    <fill>
      <patternFill patternType="solid">
        <fgColor theme="0"/>
        <bgColor indexed="64"/>
      </patternFill>
    </fill>
    <fill>
      <patternFill patternType="solid">
        <fgColor rgb="FF54BCEB"/>
        <bgColor indexed="64"/>
      </patternFill>
    </fill>
    <fill>
      <patternFill patternType="solid">
        <fgColor rgb="FFFAF5D6"/>
        <bgColor indexed="64"/>
      </patternFill>
    </fill>
    <fill>
      <patternFill patternType="solid">
        <fgColor rgb="FF00334E"/>
        <bgColor indexed="64"/>
      </patternFill>
    </fill>
    <fill>
      <patternFill patternType="solid">
        <fgColor theme="0" tint="-0.14999847407452621"/>
        <bgColor indexed="64"/>
      </patternFill>
    </fill>
    <fill>
      <patternFill patternType="solid">
        <fgColor rgb="FF7BC14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rgb="FFBADD8B"/>
        <bgColor indexed="64"/>
      </patternFill>
    </fill>
    <fill>
      <patternFill patternType="solid">
        <fgColor rgb="FFFF9FA1"/>
        <bgColor indexed="64"/>
      </patternFill>
    </fill>
    <fill>
      <patternFill patternType="solid">
        <fgColor rgb="FFEEBBF3"/>
        <bgColor indexed="64"/>
      </patternFill>
    </fill>
    <fill>
      <patternFill patternType="solid">
        <fgColor rgb="FFFFFF00"/>
        <bgColor indexed="64"/>
      </patternFill>
    </fill>
    <fill>
      <patternFill patternType="solid">
        <fgColor rgb="FF1B6CB5"/>
        <bgColor indexed="64"/>
      </patternFill>
    </fill>
    <fill>
      <patternFill patternType="solid">
        <fgColor theme="6" tint="0.59999389629810485"/>
        <bgColor indexed="65"/>
      </patternFill>
    </fill>
    <fill>
      <patternFill patternType="solid">
        <fgColor rgb="FF209C2C"/>
        <bgColor indexed="64"/>
      </patternFill>
    </fill>
    <fill>
      <gradientFill>
        <stop position="0">
          <color rgb="FF235591"/>
        </stop>
        <stop position="1">
          <color rgb="FF17375E"/>
        </stop>
      </gradientFill>
    </fill>
    <fill>
      <patternFill patternType="solid">
        <fgColor theme="0" tint="-0.249977111117893"/>
        <bgColor indexed="64"/>
      </patternFill>
    </fill>
    <fill>
      <patternFill patternType="solid">
        <fgColor theme="1"/>
        <bgColor indexed="64"/>
      </patternFill>
    </fill>
    <fill>
      <gradientFill degree="45">
        <stop position="0">
          <color theme="0" tint="-0.25098422193060094"/>
        </stop>
        <stop position="1">
          <color theme="0"/>
        </stop>
      </gradientFill>
    </fill>
    <fill>
      <patternFill patternType="solid">
        <fgColor theme="4" tint="0.39997558519241921"/>
        <bgColor indexed="64"/>
      </patternFill>
    </fill>
    <fill>
      <gradientFill>
        <stop position="0">
          <color rgb="FF64C058"/>
        </stop>
        <stop position="1">
          <color rgb="FF439639"/>
        </stop>
      </gradientFill>
    </fill>
    <fill>
      <gradientFill>
        <stop position="0">
          <color rgb="FFE1A14B"/>
        </stop>
        <stop position="1">
          <color rgb="FFD98C24"/>
        </stop>
      </gradientFill>
    </fill>
    <fill>
      <patternFill patternType="solid">
        <fgColor rgb="FF7BC143"/>
        <bgColor auto="1"/>
      </patternFill>
    </fill>
    <fill>
      <patternFill patternType="solid">
        <fgColor rgb="FFD98C24"/>
        <bgColor indexed="64"/>
      </patternFill>
    </fill>
    <fill>
      <patternFill patternType="solid">
        <fgColor rgb="FFD98C24"/>
        <bgColor auto="1"/>
      </patternFill>
    </fill>
    <fill>
      <patternFill patternType="solid">
        <fgColor theme="7"/>
        <bgColor theme="7"/>
      </patternFill>
    </fill>
    <fill>
      <patternFill patternType="solid">
        <fgColor theme="7" tint="0.79998168889431442"/>
        <bgColor theme="7" tint="0.79998168889431442"/>
      </patternFill>
    </fill>
    <fill>
      <patternFill patternType="solid">
        <fgColor rgb="FFEE3224"/>
        <bgColor indexed="64"/>
      </patternFill>
    </fill>
    <fill>
      <patternFill patternType="solid">
        <fgColor rgb="FFBCE3F9"/>
        <bgColor indexed="64"/>
      </patternFill>
    </fill>
    <fill>
      <patternFill patternType="solid">
        <fgColor rgb="FF72CDF4"/>
        <bgColor indexed="64"/>
      </patternFill>
    </fill>
    <fill>
      <patternFill patternType="solid">
        <fgColor rgb="FF007FC6"/>
        <bgColor indexed="64"/>
      </patternFill>
    </fill>
    <fill>
      <patternFill patternType="solid">
        <fgColor rgb="FF007EC2"/>
        <bgColor indexed="64"/>
      </patternFill>
    </fill>
    <fill>
      <patternFill patternType="solid">
        <fgColor rgb="FFF0D0A6"/>
        <bgColor indexed="64"/>
      </patternFill>
    </fill>
    <fill>
      <patternFill patternType="solid">
        <fgColor rgb="FFF3901D"/>
        <bgColor auto="1"/>
      </patternFill>
    </fill>
    <fill>
      <patternFill patternType="solid">
        <fgColor theme="9" tint="0.59999389629810485"/>
        <bgColor indexed="64"/>
      </patternFill>
    </fill>
    <fill>
      <patternFill patternType="solid">
        <fgColor rgb="FFD9D9D9"/>
        <bgColor indexed="64"/>
      </patternFill>
    </fill>
    <fill>
      <patternFill patternType="solid">
        <fgColor theme="0" tint="-0.14996795556505021"/>
        <bgColor indexed="64"/>
      </patternFill>
    </fill>
    <fill>
      <patternFill patternType="solid">
        <fgColor theme="9" tint="0.79998168889431442"/>
        <bgColor indexed="64"/>
      </patternFill>
    </fill>
  </fills>
  <borders count="21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bottom/>
      <diagonal/>
    </border>
    <border>
      <left style="medium">
        <color theme="1" tint="0.34998626667073579"/>
      </left>
      <right/>
      <top style="medium">
        <color theme="1" tint="0.34998626667073579"/>
      </top>
      <bottom style="medium">
        <color theme="0" tint="-0.34998626667073579"/>
      </bottom>
      <diagonal/>
    </border>
    <border>
      <left/>
      <right/>
      <top style="medium">
        <color theme="1" tint="0.34998626667073579"/>
      </top>
      <bottom style="medium">
        <color theme="0" tint="-0.34998626667073579"/>
      </bottom>
      <diagonal/>
    </border>
    <border>
      <left/>
      <right style="medium">
        <color theme="0" tint="-0.34998626667073579"/>
      </right>
      <top style="medium">
        <color theme="1" tint="0.34998626667073579"/>
      </top>
      <bottom style="medium">
        <color theme="0" tint="-0.34998626667073579"/>
      </bottom>
      <diagonal/>
    </border>
    <border>
      <left style="medium">
        <color theme="1" tint="0.34998626667073579"/>
      </left>
      <right/>
      <top/>
      <bottom/>
      <diagonal/>
    </border>
    <border>
      <left/>
      <right/>
      <top style="thin">
        <color indexed="64"/>
      </top>
      <bottom/>
      <diagonal/>
    </border>
    <border>
      <left style="medium">
        <color theme="1" tint="0.34998626667073579"/>
      </left>
      <right/>
      <top style="medium">
        <color theme="1" tint="0.34998626667073579"/>
      </top>
      <bottom/>
      <diagonal/>
    </border>
    <border>
      <left/>
      <right/>
      <top style="medium">
        <color theme="1" tint="0.34998626667073579"/>
      </top>
      <bottom/>
      <diagonal/>
    </border>
    <border>
      <left/>
      <right/>
      <top/>
      <bottom style="thin">
        <color indexed="64"/>
      </bottom>
      <diagonal/>
    </border>
    <border>
      <left style="medium">
        <color theme="1"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style="medium">
        <color theme="1" tint="0.34998626667073579"/>
      </top>
      <bottom/>
      <diagonal/>
    </border>
    <border>
      <left/>
      <right style="medium">
        <color theme="0" tint="-0.34998626667073579"/>
      </right>
      <top/>
      <bottom/>
      <diagonal/>
    </border>
    <border>
      <left/>
      <right style="medium">
        <color theme="0" tint="-0.34998626667073579"/>
      </right>
      <top/>
      <bottom style="medium">
        <color theme="0" tint="-0.34998626667073579"/>
      </bottom>
      <diagonal/>
    </border>
    <border>
      <left/>
      <right/>
      <top style="thin">
        <color theme="7" tint="0.39997558519241921"/>
      </top>
      <bottom style="thin">
        <color theme="7" tint="0.39997558519241921"/>
      </bottom>
      <diagonal/>
    </border>
    <border>
      <left/>
      <right/>
      <top/>
      <bottom style="thin">
        <color theme="7" tint="0.39997558519241921"/>
      </bottom>
      <diagonal/>
    </border>
    <border>
      <left/>
      <right/>
      <top style="thin">
        <color theme="7" tint="0.39997558519241921"/>
      </top>
      <bottom/>
      <diagonal/>
    </border>
    <border>
      <left style="thin">
        <color theme="7" tint="0.39997558519241921"/>
      </left>
      <right/>
      <top/>
      <bottom style="thin">
        <color theme="7" tint="0.39997558519241921"/>
      </bottom>
      <diagonal/>
    </border>
    <border>
      <left/>
      <right style="thin">
        <color theme="7" tint="0.39997558519241921"/>
      </right>
      <top/>
      <bottom style="thin">
        <color theme="7" tint="0.39997558519241921"/>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style="thin">
        <color theme="0" tint="-0.34998626667073579"/>
      </left>
      <right style="thin">
        <color theme="0" tint="-0.34998626667073579"/>
      </right>
      <top/>
      <bottom/>
      <diagonal/>
    </border>
    <border>
      <left style="thin">
        <color auto="1"/>
      </left>
      <right/>
      <top/>
      <bottom/>
      <diagonal/>
    </border>
    <border>
      <left style="thin">
        <color indexed="64"/>
      </left>
      <right/>
      <top style="thin">
        <color indexed="64"/>
      </top>
      <bottom/>
      <diagonal/>
    </border>
    <border>
      <left style="thin">
        <color indexed="64"/>
      </left>
      <right/>
      <top/>
      <bottom style="thin">
        <color indexed="64"/>
      </bottom>
      <diagonal/>
    </border>
    <border>
      <left style="thick">
        <color theme="0" tint="-0.34998626667073579"/>
      </left>
      <right/>
      <top style="thick">
        <color theme="0" tint="-0.34998626667073579"/>
      </top>
      <bottom/>
      <diagonal/>
    </border>
    <border>
      <left/>
      <right/>
      <top style="thick">
        <color theme="0" tint="-0.34998626667073579"/>
      </top>
      <bottom/>
      <diagonal/>
    </border>
    <border>
      <left/>
      <right style="thick">
        <color theme="1" tint="0.14996795556505021"/>
      </right>
      <top style="thick">
        <color theme="0" tint="-0.34998626667073579"/>
      </top>
      <bottom/>
      <diagonal/>
    </border>
    <border>
      <left style="thick">
        <color theme="0" tint="-0.34998626667073579"/>
      </left>
      <right/>
      <top/>
      <bottom/>
      <diagonal/>
    </border>
    <border>
      <left/>
      <right style="thick">
        <color theme="1" tint="0.14996795556505021"/>
      </right>
      <top/>
      <bottom/>
      <diagonal/>
    </border>
    <border>
      <left style="thick">
        <color theme="0" tint="-0.34998626667073579"/>
      </left>
      <right/>
      <top/>
      <bottom style="thick">
        <color theme="1" tint="0.14996795556505021"/>
      </bottom>
      <diagonal/>
    </border>
    <border>
      <left/>
      <right/>
      <top/>
      <bottom style="thick">
        <color theme="1" tint="0.14996795556505021"/>
      </bottom>
      <diagonal/>
    </border>
    <border>
      <left/>
      <right style="thick">
        <color theme="1" tint="0.14996795556505021"/>
      </right>
      <top/>
      <bottom style="thick">
        <color theme="1" tint="0.14996795556505021"/>
      </bottom>
      <diagonal/>
    </border>
    <border>
      <left style="thin">
        <color indexed="64"/>
      </left>
      <right/>
      <top style="thin">
        <color indexed="64"/>
      </top>
      <bottom style="thin">
        <color indexed="64"/>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theme="2" tint="-0.499984740745262"/>
      </left>
      <right/>
      <top/>
      <bottom/>
      <diagonal/>
    </border>
    <border>
      <left/>
      <right style="medium">
        <color theme="2" tint="-0.499984740745262"/>
      </right>
      <top/>
      <bottom/>
      <diagonal/>
    </border>
    <border>
      <left style="medium">
        <color theme="2" tint="-0.499984740745262"/>
      </left>
      <right/>
      <top/>
      <bottom style="medium">
        <color theme="2" tint="-0.499984740745262"/>
      </bottom>
      <diagonal/>
    </border>
    <border>
      <left/>
      <right/>
      <top/>
      <bottom style="medium">
        <color theme="2" tint="-0.499984740745262"/>
      </bottom>
      <diagonal/>
    </border>
    <border>
      <left/>
      <right style="medium">
        <color theme="2" tint="-0.499984740745262"/>
      </right>
      <top/>
      <bottom style="medium">
        <color theme="2" tint="-0.499984740745262"/>
      </bottom>
      <diagonal/>
    </border>
    <border>
      <left style="thin">
        <color theme="0" tint="-0.34998626667073579"/>
      </left>
      <right style="thin">
        <color auto="1"/>
      </right>
      <top/>
      <bottom style="thin">
        <color theme="0" tint="-0.34998626667073579"/>
      </bottom>
      <diagonal/>
    </border>
    <border>
      <left style="thin">
        <color theme="0" tint="-0.34998626667073579"/>
      </left>
      <right style="thin">
        <color auto="1"/>
      </right>
      <top/>
      <bottom/>
      <diagonal/>
    </border>
    <border>
      <left style="thin">
        <color theme="0" tint="-0.34998626667073579"/>
      </left>
      <right style="thin">
        <color theme="1"/>
      </right>
      <top/>
      <bottom style="thin">
        <color theme="0" tint="-0.34998626667073579"/>
      </bottom>
      <diagonal/>
    </border>
    <border>
      <left style="thin">
        <color theme="0" tint="-0.34998626667073579"/>
      </left>
      <right style="thin">
        <color theme="1"/>
      </right>
      <top/>
      <bottom/>
      <diagonal/>
    </border>
    <border>
      <left/>
      <right style="thin">
        <color theme="0" tint="-0.34998626667073579"/>
      </right>
      <top style="thin">
        <color theme="0" tint="-0.34998626667073579"/>
      </top>
      <bottom style="thin">
        <color theme="0" tint="-0.34998626667073579"/>
      </bottom>
      <diagonal/>
    </border>
    <border>
      <left style="thin">
        <color rgb="FF1B6CB5"/>
      </left>
      <right/>
      <top style="thin">
        <color rgb="FF1B6CB5"/>
      </top>
      <bottom/>
      <diagonal/>
    </border>
    <border>
      <left/>
      <right/>
      <top style="thin">
        <color rgb="FF1B6CB5"/>
      </top>
      <bottom/>
      <diagonal/>
    </border>
    <border>
      <left/>
      <right style="thin">
        <color rgb="FF1B6CB5"/>
      </right>
      <top style="thin">
        <color rgb="FF1B6CB5"/>
      </top>
      <bottom/>
      <diagonal/>
    </border>
    <border>
      <left style="thin">
        <color rgb="FF1B6CB5"/>
      </left>
      <right/>
      <top/>
      <bottom/>
      <diagonal/>
    </border>
    <border>
      <left/>
      <right style="thin">
        <color rgb="FF1B6CB5"/>
      </right>
      <top/>
      <bottom/>
      <diagonal/>
    </border>
    <border>
      <left style="thin">
        <color rgb="FF1B6CB5"/>
      </left>
      <right/>
      <top/>
      <bottom style="thin">
        <color rgb="FF1B6CB5"/>
      </bottom>
      <diagonal/>
    </border>
    <border>
      <left/>
      <right/>
      <top/>
      <bottom style="thin">
        <color rgb="FF1B6CB5"/>
      </bottom>
      <diagonal/>
    </border>
    <border>
      <left/>
      <right style="thin">
        <color rgb="FF1B6CB5"/>
      </right>
      <top/>
      <bottom style="thin">
        <color rgb="FF1B6CB5"/>
      </bottom>
      <diagonal/>
    </border>
    <border>
      <left style="medium">
        <color indexed="64"/>
      </left>
      <right/>
      <top/>
      <bottom/>
      <diagonal/>
    </border>
    <border>
      <left/>
      <right style="medium">
        <color indexed="64"/>
      </right>
      <top/>
      <bottom/>
      <diagonal/>
    </border>
    <border>
      <left style="medium">
        <color theme="1" tint="0.34998626667073579"/>
      </left>
      <right/>
      <top style="medium">
        <color theme="1" tint="0.34998626667073579"/>
      </top>
      <bottom style="medium">
        <color theme="0" tint="-0.499984740745262"/>
      </bottom>
      <diagonal/>
    </border>
    <border>
      <left/>
      <right/>
      <top style="medium">
        <color theme="1" tint="0.34998626667073579"/>
      </top>
      <bottom style="medium">
        <color theme="0" tint="-0.499984740745262"/>
      </bottom>
      <diagonal/>
    </border>
    <border>
      <left/>
      <right style="medium">
        <color theme="0" tint="-0.34998626667073579"/>
      </right>
      <top style="medium">
        <color theme="1" tint="0.34998626667073579"/>
      </top>
      <bottom style="medium">
        <color theme="0" tint="-0.499984740745262"/>
      </bottom>
      <diagonal/>
    </border>
    <border>
      <left/>
      <right/>
      <top/>
      <bottom style="medium">
        <color theme="1" tint="0.34998626667073579"/>
      </bottom>
      <diagonal/>
    </border>
    <border>
      <left style="medium">
        <color theme="0"/>
      </left>
      <right/>
      <top style="medium">
        <color theme="0"/>
      </top>
      <bottom/>
      <diagonal/>
    </border>
    <border>
      <left/>
      <right/>
      <top style="medium">
        <color theme="0"/>
      </top>
      <bottom/>
      <diagonal/>
    </border>
    <border>
      <left style="medium">
        <color theme="0"/>
      </left>
      <right/>
      <top/>
      <bottom/>
      <diagonal/>
    </border>
    <border>
      <left style="medium">
        <color theme="0"/>
      </left>
      <right/>
      <top/>
      <bottom style="medium">
        <color theme="0"/>
      </bottom>
      <diagonal/>
    </border>
    <border>
      <left/>
      <right/>
      <top/>
      <bottom style="medium">
        <color theme="0"/>
      </bottom>
      <diagonal/>
    </border>
    <border>
      <left/>
      <right style="thin">
        <color theme="7" tint="0.39997558519241921"/>
      </right>
      <top style="thin">
        <color theme="7" tint="0.39997558519241921"/>
      </top>
      <bottom style="thin">
        <color theme="7" tint="0.39997558519241921"/>
      </bottom>
      <diagonal/>
    </border>
    <border>
      <left style="thin">
        <color theme="7" tint="0.39997558519241921"/>
      </left>
      <right/>
      <top style="thin">
        <color theme="7" tint="0.39997558519241921"/>
      </top>
      <bottom style="thin">
        <color theme="7" tint="0.39997558519241921"/>
      </bottom>
      <diagonal/>
    </border>
    <border>
      <left style="thin">
        <color theme="0"/>
      </left>
      <right style="thin">
        <color theme="0"/>
      </right>
      <top style="thin">
        <color theme="0"/>
      </top>
      <bottom style="thin">
        <color theme="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34998626667073579"/>
      </left>
      <right style="medium">
        <color theme="1" tint="0.34998626667073579"/>
      </right>
      <top/>
      <bottom/>
      <diagonal/>
    </border>
    <border>
      <left style="thin">
        <color rgb="FFF3901D"/>
      </left>
      <right/>
      <top style="thin">
        <color rgb="FFF3901D"/>
      </top>
      <bottom/>
      <diagonal/>
    </border>
    <border>
      <left/>
      <right/>
      <top style="thin">
        <color rgb="FFF3901D"/>
      </top>
      <bottom/>
      <diagonal/>
    </border>
    <border>
      <left/>
      <right style="thin">
        <color rgb="FFF3901D"/>
      </right>
      <top style="thin">
        <color rgb="FFF3901D"/>
      </top>
      <bottom/>
      <diagonal/>
    </border>
    <border>
      <left style="thin">
        <color rgb="FFF3901D"/>
      </left>
      <right/>
      <top/>
      <bottom style="thin">
        <color rgb="FFF3901D"/>
      </bottom>
      <diagonal/>
    </border>
    <border>
      <left/>
      <right/>
      <top/>
      <bottom style="thin">
        <color rgb="FFF3901D"/>
      </bottom>
      <diagonal/>
    </border>
    <border>
      <left/>
      <right style="thin">
        <color rgb="FFF3901D"/>
      </right>
      <top/>
      <bottom style="thin">
        <color rgb="FFF3901D"/>
      </bottom>
      <diagonal/>
    </border>
    <border>
      <left style="thin">
        <color rgb="FFF3901D"/>
      </left>
      <right/>
      <top style="thin">
        <color rgb="FFF3901D"/>
      </top>
      <bottom style="thin">
        <color rgb="FFF3901D"/>
      </bottom>
      <diagonal/>
    </border>
    <border>
      <left/>
      <right/>
      <top style="thin">
        <color rgb="FFF3901D"/>
      </top>
      <bottom style="thin">
        <color rgb="FFF3901D"/>
      </bottom>
      <diagonal/>
    </border>
    <border>
      <left/>
      <right style="thin">
        <color rgb="FFF3901D"/>
      </right>
      <top style="thin">
        <color rgb="FFF3901D"/>
      </top>
      <bottom style="thin">
        <color rgb="FFF3901D"/>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right/>
      <top style="thin">
        <color theme="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24994659260841701"/>
      </left>
      <right/>
      <top/>
      <bottom/>
      <diagonal/>
    </border>
    <border>
      <left/>
      <right style="thin">
        <color theme="0" tint="-0.24994659260841701"/>
      </right>
      <top/>
      <bottom/>
      <diagonal/>
    </border>
    <border>
      <left style="thin">
        <color auto="1"/>
      </left>
      <right style="thin">
        <color theme="0" tint="-0.34998626667073579"/>
      </right>
      <top/>
      <bottom/>
      <diagonal/>
    </border>
    <border>
      <left style="thin">
        <color auto="1"/>
      </left>
      <right style="thin">
        <color theme="0" tint="-0.34998626667073579"/>
      </right>
      <top/>
      <bottom style="thin">
        <color theme="0" tint="-0.34998626667073579"/>
      </bottom>
      <diagonal/>
    </border>
    <border>
      <left style="thin">
        <color theme="1"/>
      </left>
      <right/>
      <top/>
      <bottom style="thin">
        <color theme="1"/>
      </bottom>
      <diagonal/>
    </border>
    <border>
      <left/>
      <right style="thin">
        <color theme="1"/>
      </right>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auto="1"/>
      </right>
      <top style="thin">
        <color theme="0" tint="-0.34998626667073579"/>
      </top>
      <bottom/>
      <diagonal/>
    </border>
    <border>
      <left style="thin">
        <color auto="1"/>
      </left>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1"/>
      </left>
      <right style="thin">
        <color theme="0" tint="-0.34998626667073579"/>
      </right>
      <top style="thin">
        <color theme="0" tint="-0.34998626667073579"/>
      </top>
      <bottom style="thin">
        <color theme="0" tint="-0.34998626667073579"/>
      </bottom>
      <diagonal/>
    </border>
    <border>
      <left/>
      <right style="thin">
        <color auto="1"/>
      </right>
      <top/>
      <bottom style="thin">
        <color theme="0" tint="-0.34998626667073579"/>
      </bottom>
      <diagonal/>
    </border>
    <border>
      <left style="thin">
        <color auto="1"/>
      </left>
      <right/>
      <top/>
      <bottom style="thin">
        <color theme="0" tint="-0.34998626667073579"/>
      </bottom>
      <diagonal/>
    </border>
    <border>
      <left style="thick">
        <color rgb="FF17375E"/>
      </left>
      <right/>
      <top style="thick">
        <color rgb="FF17375E"/>
      </top>
      <bottom/>
      <diagonal/>
    </border>
    <border>
      <left/>
      <right/>
      <top style="thick">
        <color rgb="FF17375E"/>
      </top>
      <bottom/>
      <diagonal/>
    </border>
    <border>
      <left/>
      <right style="thick">
        <color rgb="FF17375E"/>
      </right>
      <top style="thick">
        <color rgb="FF17375E"/>
      </top>
      <bottom/>
      <diagonal/>
    </border>
    <border>
      <left style="thick">
        <color rgb="FF17375E"/>
      </left>
      <right/>
      <top/>
      <bottom/>
      <diagonal/>
    </border>
    <border>
      <left/>
      <right style="thick">
        <color rgb="FF17375E"/>
      </right>
      <top/>
      <bottom style="medium">
        <color indexed="64"/>
      </bottom>
      <diagonal/>
    </border>
    <border>
      <left style="thick">
        <color rgb="FF17375E"/>
      </left>
      <right/>
      <top style="medium">
        <color theme="1"/>
      </top>
      <bottom/>
      <diagonal/>
    </border>
    <border>
      <left/>
      <right/>
      <top style="medium">
        <color theme="1"/>
      </top>
      <bottom/>
      <diagonal/>
    </border>
    <border>
      <left/>
      <right style="thick">
        <color rgb="FF17375E"/>
      </right>
      <top style="medium">
        <color indexed="64"/>
      </top>
      <bottom/>
      <diagonal/>
    </border>
    <border>
      <left style="thick">
        <color rgb="FF17375E"/>
      </left>
      <right/>
      <top/>
      <bottom style="medium">
        <color theme="1"/>
      </bottom>
      <diagonal/>
    </border>
    <border>
      <left/>
      <right/>
      <top/>
      <bottom style="medium">
        <color theme="1"/>
      </bottom>
      <diagonal/>
    </border>
    <border>
      <left style="thick">
        <color rgb="FF17375E"/>
      </left>
      <right style="thin">
        <color theme="0" tint="-0.34998626667073579"/>
      </right>
      <top style="medium">
        <color theme="1"/>
      </top>
      <bottom/>
      <diagonal/>
    </border>
    <border>
      <left style="thin">
        <color theme="0" tint="-0.34998626667073579"/>
      </left>
      <right style="thin">
        <color theme="0" tint="-0.34998626667073579"/>
      </right>
      <top style="medium">
        <color theme="1"/>
      </top>
      <bottom/>
      <diagonal/>
    </border>
    <border>
      <left style="thin">
        <color theme="0" tint="-0.34998626667073579"/>
      </left>
      <right style="thin">
        <color theme="0" tint="-0.34998626667073579"/>
      </right>
      <top style="medium">
        <color theme="1"/>
      </top>
      <bottom style="thin">
        <color theme="0" tint="-0.34998626667073579"/>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style="thick">
        <color rgb="FF17375E"/>
      </right>
      <top style="medium">
        <color indexed="64"/>
      </top>
      <bottom/>
      <diagonal/>
    </border>
    <border>
      <left style="thick">
        <color rgb="FF17375E"/>
      </left>
      <right style="thin">
        <color theme="0" tint="-0.34998626667073579"/>
      </right>
      <top/>
      <bottom style="thin">
        <color theme="0" tint="-0.34998626667073579"/>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ck">
        <color rgb="FF17375E"/>
      </right>
      <top/>
      <bottom style="thin">
        <color theme="0" tint="-0.34998626667073579"/>
      </bottom>
      <diagonal/>
    </border>
    <border>
      <left/>
      <right style="thick">
        <color rgb="FF17375E"/>
      </right>
      <top/>
      <bottom/>
      <diagonal/>
    </border>
    <border>
      <left style="thick">
        <color rgb="FF17375E"/>
      </left>
      <right/>
      <top/>
      <bottom style="thick">
        <color rgb="FF17375E"/>
      </bottom>
      <diagonal/>
    </border>
    <border>
      <left/>
      <right/>
      <top/>
      <bottom style="thick">
        <color rgb="FF17375E"/>
      </bottom>
      <diagonal/>
    </border>
    <border>
      <left style="thin">
        <color theme="0" tint="-0.34998626667073579"/>
      </left>
      <right/>
      <top/>
      <bottom style="thick">
        <color rgb="FF17375E"/>
      </bottom>
      <diagonal/>
    </border>
    <border>
      <left/>
      <right style="thin">
        <color theme="0" tint="-0.34998626667073579"/>
      </right>
      <top/>
      <bottom style="thick">
        <color rgb="FF17375E"/>
      </bottom>
      <diagonal/>
    </border>
    <border>
      <left/>
      <right style="thick">
        <color rgb="FF17375E"/>
      </right>
      <top/>
      <bottom style="thick">
        <color rgb="FF17375E"/>
      </bottom>
      <diagonal/>
    </border>
    <border>
      <left style="thick">
        <color rgb="FFC61D10"/>
      </left>
      <right/>
      <top style="thick">
        <color rgb="FFC61D10"/>
      </top>
      <bottom/>
      <diagonal/>
    </border>
    <border>
      <left/>
      <right/>
      <top style="thick">
        <color rgb="FFC61D10"/>
      </top>
      <bottom/>
      <diagonal/>
    </border>
    <border>
      <left/>
      <right style="thick">
        <color rgb="FFC61D10"/>
      </right>
      <top style="thick">
        <color rgb="FFC61D10"/>
      </top>
      <bottom/>
      <diagonal/>
    </border>
    <border>
      <left style="thick">
        <color rgb="FFC61D10"/>
      </left>
      <right/>
      <top/>
      <bottom/>
      <diagonal/>
    </border>
    <border>
      <left/>
      <right style="thick">
        <color rgb="FFC61D10"/>
      </right>
      <top/>
      <bottom style="medium">
        <color indexed="64"/>
      </bottom>
      <diagonal/>
    </border>
    <border>
      <left style="thick">
        <color rgb="FFC61D10"/>
      </left>
      <right/>
      <top style="medium">
        <color theme="1"/>
      </top>
      <bottom/>
      <diagonal/>
    </border>
    <border>
      <left/>
      <right style="thick">
        <color rgb="FFC61D10"/>
      </right>
      <top style="medium">
        <color indexed="64"/>
      </top>
      <bottom/>
      <diagonal/>
    </border>
    <border>
      <left style="thick">
        <color rgb="FFC61D10"/>
      </left>
      <right/>
      <top/>
      <bottom style="medium">
        <color theme="1"/>
      </bottom>
      <diagonal/>
    </border>
    <border>
      <left style="thick">
        <color rgb="FFC61D10"/>
      </left>
      <right style="thin">
        <color theme="0" tint="-0.34998626667073579"/>
      </right>
      <top style="medium">
        <color theme="1"/>
      </top>
      <bottom/>
      <diagonal/>
    </border>
    <border>
      <left style="medium">
        <color theme="1"/>
      </left>
      <right style="thin">
        <color theme="0" tint="-0.34998626667073579"/>
      </right>
      <top style="medium">
        <color indexed="64"/>
      </top>
      <bottom/>
      <diagonal/>
    </border>
    <border>
      <left style="thin">
        <color theme="0" tint="-0.34998626667073579"/>
      </left>
      <right style="thick">
        <color rgb="FFC00000"/>
      </right>
      <top style="medium">
        <color indexed="64"/>
      </top>
      <bottom/>
      <diagonal/>
    </border>
    <border>
      <left style="thick">
        <color rgb="FFC61D10"/>
      </left>
      <right style="thin">
        <color theme="0" tint="-0.34998626667073579"/>
      </right>
      <top/>
      <bottom style="thin">
        <color theme="0" tint="-0.34998626667073579"/>
      </bottom>
      <diagonal/>
    </border>
    <border>
      <left style="medium">
        <color theme="1"/>
      </left>
      <right style="thin">
        <color theme="0" tint="-0.34998626667073579"/>
      </right>
      <top/>
      <bottom style="thin">
        <color theme="0" tint="-0.34998626667073579"/>
      </bottom>
      <diagonal/>
    </border>
    <border>
      <left style="thin">
        <color theme="0" tint="-0.34998626667073579"/>
      </left>
      <right style="thick">
        <color rgb="FFC00000"/>
      </right>
      <top/>
      <bottom style="thin">
        <color theme="0" tint="-0.34998626667073579"/>
      </bottom>
      <diagonal/>
    </border>
    <border>
      <left style="medium">
        <color theme="1"/>
      </left>
      <right style="thin">
        <color theme="0" tint="-0.34998626667073579"/>
      </right>
      <top style="thin">
        <color theme="0" tint="-0.34998626667073579"/>
      </top>
      <bottom/>
      <diagonal/>
    </border>
    <border>
      <left/>
      <right style="thick">
        <color rgb="FFC61D10"/>
      </right>
      <top/>
      <bottom/>
      <diagonal/>
    </border>
    <border>
      <left style="thick">
        <color rgb="FFC61D10"/>
      </left>
      <right/>
      <top/>
      <bottom style="thick">
        <color rgb="FFC61D10"/>
      </bottom>
      <diagonal/>
    </border>
    <border>
      <left/>
      <right/>
      <top/>
      <bottom style="thick">
        <color rgb="FFC61D10"/>
      </bottom>
      <diagonal/>
    </border>
    <border>
      <left style="thin">
        <color theme="0" tint="-0.34998626667073579"/>
      </left>
      <right/>
      <top/>
      <bottom style="thick">
        <color rgb="FFC61D10"/>
      </bottom>
      <diagonal/>
    </border>
    <border>
      <left/>
      <right style="thin">
        <color theme="0" tint="-0.34998626667073579"/>
      </right>
      <top/>
      <bottom style="thick">
        <color rgb="FFC61D10"/>
      </bottom>
      <diagonal/>
    </border>
    <border>
      <left/>
      <right style="thick">
        <color rgb="FFC61D10"/>
      </right>
      <top/>
      <bottom style="thick">
        <color rgb="FFC61D10"/>
      </bottom>
      <diagonal/>
    </border>
    <border>
      <left style="thick">
        <color theme="9" tint="-0.24994659260841701"/>
      </left>
      <right/>
      <top style="thick">
        <color theme="9" tint="-0.24994659260841701"/>
      </top>
      <bottom/>
      <diagonal/>
    </border>
    <border>
      <left/>
      <right/>
      <top style="thick">
        <color theme="9" tint="-0.24994659260841701"/>
      </top>
      <bottom/>
      <diagonal/>
    </border>
    <border>
      <left/>
      <right style="thick">
        <color theme="9" tint="-0.24994659260841701"/>
      </right>
      <top style="thick">
        <color theme="9" tint="-0.24994659260841701"/>
      </top>
      <bottom/>
      <diagonal/>
    </border>
    <border>
      <left style="thick">
        <color theme="9" tint="-0.24994659260841701"/>
      </left>
      <right/>
      <top/>
      <bottom/>
      <diagonal/>
    </border>
    <border>
      <left/>
      <right style="thick">
        <color theme="9" tint="-0.24994659260841701"/>
      </right>
      <top/>
      <bottom style="medium">
        <color indexed="64"/>
      </bottom>
      <diagonal/>
    </border>
    <border>
      <left style="thick">
        <color theme="9" tint="-0.24994659260841701"/>
      </left>
      <right/>
      <top style="medium">
        <color theme="1"/>
      </top>
      <bottom/>
      <diagonal/>
    </border>
    <border>
      <left/>
      <right style="thick">
        <color theme="9" tint="-0.24994659260841701"/>
      </right>
      <top style="medium">
        <color indexed="64"/>
      </top>
      <bottom/>
      <diagonal/>
    </border>
    <border>
      <left style="thick">
        <color theme="9" tint="-0.24994659260841701"/>
      </left>
      <right/>
      <top/>
      <bottom style="medium">
        <color theme="1"/>
      </bottom>
      <diagonal/>
    </border>
    <border>
      <left style="thick">
        <color theme="9" tint="-0.24994659260841701"/>
      </left>
      <right style="thin">
        <color theme="0" tint="-0.34998626667073579"/>
      </right>
      <top style="medium">
        <color theme="1"/>
      </top>
      <bottom/>
      <diagonal/>
    </border>
    <border>
      <left style="thin">
        <color theme="0" tint="-0.34998626667073579"/>
      </left>
      <right style="thick">
        <color theme="9" tint="-0.24994659260841701"/>
      </right>
      <top style="medium">
        <color indexed="64"/>
      </top>
      <bottom/>
      <diagonal/>
    </border>
    <border>
      <left style="thick">
        <color theme="9" tint="-0.24994659260841701"/>
      </left>
      <right style="thin">
        <color theme="0" tint="-0.34998626667073579"/>
      </right>
      <top/>
      <bottom style="thin">
        <color theme="0" tint="-0.34998626667073579"/>
      </bottom>
      <diagonal/>
    </border>
    <border>
      <left style="thin">
        <color theme="0" tint="-0.34998626667073579"/>
      </left>
      <right style="thick">
        <color theme="9" tint="-0.24994659260841701"/>
      </right>
      <top/>
      <bottom style="thin">
        <color theme="0" tint="-0.34998626667073579"/>
      </bottom>
      <diagonal/>
    </border>
    <border>
      <left/>
      <right style="thick">
        <color theme="9" tint="-0.24994659260841701"/>
      </right>
      <top/>
      <bottom/>
      <diagonal/>
    </border>
    <border>
      <left style="thick">
        <color theme="9" tint="-0.24994659260841701"/>
      </left>
      <right/>
      <top/>
      <bottom style="thick">
        <color theme="9" tint="-0.24994659260841701"/>
      </bottom>
      <diagonal/>
    </border>
    <border>
      <left/>
      <right/>
      <top/>
      <bottom style="thick">
        <color theme="9" tint="-0.24994659260841701"/>
      </bottom>
      <diagonal/>
    </border>
    <border>
      <left style="thin">
        <color theme="0" tint="-0.34998626667073579"/>
      </left>
      <right/>
      <top/>
      <bottom style="thick">
        <color theme="9" tint="-0.24994659260841701"/>
      </bottom>
      <diagonal/>
    </border>
    <border>
      <left/>
      <right style="thin">
        <color theme="0" tint="-0.34998626667073579"/>
      </right>
      <top/>
      <bottom style="thick">
        <color theme="9" tint="-0.24994659260841701"/>
      </bottom>
      <diagonal/>
    </border>
    <border>
      <left/>
      <right style="thick">
        <color theme="9" tint="-0.24994659260841701"/>
      </right>
      <top/>
      <bottom style="thick">
        <color theme="9" tint="-0.24994659260841701"/>
      </bottom>
      <diagonal/>
    </border>
    <border>
      <left style="thick">
        <color theme="5" tint="-0.24994659260841701"/>
      </left>
      <right/>
      <top style="thick">
        <color theme="5" tint="-0.24994659260841701"/>
      </top>
      <bottom/>
      <diagonal/>
    </border>
    <border>
      <left/>
      <right/>
      <top style="thick">
        <color theme="5" tint="-0.24994659260841701"/>
      </top>
      <bottom/>
      <diagonal/>
    </border>
    <border>
      <left/>
      <right style="thick">
        <color theme="5" tint="-0.24994659260841701"/>
      </right>
      <top style="thick">
        <color theme="5" tint="-0.24994659260841701"/>
      </top>
      <bottom/>
      <diagonal/>
    </border>
    <border>
      <left style="thick">
        <color theme="5" tint="-0.24994659260841701"/>
      </left>
      <right/>
      <top/>
      <bottom/>
      <diagonal/>
    </border>
    <border>
      <left/>
      <right style="thick">
        <color theme="5" tint="-0.24994659260841701"/>
      </right>
      <top/>
      <bottom style="medium">
        <color indexed="64"/>
      </bottom>
      <diagonal/>
    </border>
    <border>
      <left style="thick">
        <color theme="5" tint="-0.24994659260841701"/>
      </left>
      <right/>
      <top style="medium">
        <color theme="1"/>
      </top>
      <bottom/>
      <diagonal/>
    </border>
    <border>
      <left/>
      <right style="thick">
        <color theme="5" tint="-0.24994659260841701"/>
      </right>
      <top style="medium">
        <color indexed="64"/>
      </top>
      <bottom/>
      <diagonal/>
    </border>
    <border>
      <left style="thick">
        <color theme="5" tint="-0.24994659260841701"/>
      </left>
      <right/>
      <top/>
      <bottom style="medium">
        <color theme="1"/>
      </bottom>
      <diagonal/>
    </border>
    <border>
      <left style="thick">
        <color theme="5" tint="-0.24994659260841701"/>
      </left>
      <right style="thin">
        <color theme="0" tint="-0.34998626667073579"/>
      </right>
      <top style="medium">
        <color theme="1"/>
      </top>
      <bottom/>
      <diagonal/>
    </border>
    <border>
      <left style="thin">
        <color theme="0" tint="-0.34998626667073579"/>
      </left>
      <right style="thick">
        <color theme="5" tint="-0.24994659260841701"/>
      </right>
      <top style="medium">
        <color indexed="64"/>
      </top>
      <bottom/>
      <diagonal/>
    </border>
    <border>
      <left style="thick">
        <color theme="5" tint="-0.24994659260841701"/>
      </left>
      <right style="thin">
        <color theme="0" tint="-0.34998626667073579"/>
      </right>
      <top/>
      <bottom style="thin">
        <color theme="0" tint="-0.34998626667073579"/>
      </bottom>
      <diagonal/>
    </border>
    <border>
      <left style="thin">
        <color theme="0" tint="-0.34998626667073579"/>
      </left>
      <right style="thick">
        <color theme="5" tint="-0.24994659260841701"/>
      </right>
      <top/>
      <bottom style="thin">
        <color theme="0" tint="-0.34998626667073579"/>
      </bottom>
      <diagonal/>
    </border>
    <border>
      <left/>
      <right style="thick">
        <color theme="5" tint="-0.24994659260841701"/>
      </right>
      <top/>
      <bottom/>
      <diagonal/>
    </border>
    <border>
      <left style="thick">
        <color theme="5" tint="-0.24994659260841701"/>
      </left>
      <right/>
      <top/>
      <bottom style="thick">
        <color theme="5" tint="-0.24994659260841701"/>
      </bottom>
      <diagonal/>
    </border>
    <border>
      <left/>
      <right/>
      <top/>
      <bottom style="thick">
        <color theme="5" tint="-0.24994659260841701"/>
      </bottom>
      <diagonal/>
    </border>
    <border>
      <left style="thin">
        <color theme="0" tint="-0.34998626667073579"/>
      </left>
      <right/>
      <top/>
      <bottom style="thick">
        <color theme="5" tint="-0.24994659260841701"/>
      </bottom>
      <diagonal/>
    </border>
    <border>
      <left/>
      <right style="thin">
        <color theme="0" tint="-0.34998626667073579"/>
      </right>
      <top/>
      <bottom style="thick">
        <color theme="5" tint="-0.24994659260841701"/>
      </bottom>
      <diagonal/>
    </border>
    <border>
      <left/>
      <right style="thick">
        <color theme="5" tint="-0.24994659260841701"/>
      </right>
      <top/>
      <bottom style="thick">
        <color theme="5" tint="-0.24994659260841701"/>
      </bottom>
      <diagonal/>
    </border>
  </borders>
  <cellStyleXfs count="11">
    <xf numFmtId="0" fontId="0" fillId="0" borderId="0"/>
    <xf numFmtId="0" fontId="12" fillId="0" borderId="0" applyNumberFormat="0" applyFill="0" applyBorder="0" applyAlignment="0" applyProtection="0"/>
    <xf numFmtId="0" fontId="14" fillId="0" borderId="0" applyNumberFormat="0" applyAlignment="0" applyProtection="0"/>
    <xf numFmtId="9" fontId="30" fillId="0" borderId="0" applyFont="0" applyFill="0" applyBorder="0" applyAlignment="0" applyProtection="0"/>
    <xf numFmtId="0" fontId="14" fillId="0" borderId="0" applyNumberFormat="0" applyAlignment="0" applyProtection="0"/>
    <xf numFmtId="0" fontId="35" fillId="0" borderId="0"/>
    <xf numFmtId="9" fontId="14" fillId="0" borderId="0" applyFont="0" applyFill="0" applyBorder="0" applyAlignment="0" applyProtection="0"/>
    <xf numFmtId="43" fontId="14" fillId="0" borderId="0" applyFont="0" applyFill="0" applyBorder="0" applyAlignment="0" applyProtection="0"/>
    <xf numFmtId="0" fontId="14" fillId="22" borderId="0" applyNumberFormat="0" applyBorder="0" applyAlignment="0" applyProtection="0"/>
    <xf numFmtId="0" fontId="105" fillId="0" borderId="0"/>
    <xf numFmtId="44" fontId="14" fillId="0" borderId="0" applyFont="0" applyFill="0" applyBorder="0" applyAlignment="0" applyProtection="0"/>
  </cellStyleXfs>
  <cellXfs count="1601">
    <xf numFmtId="0" fontId="0" fillId="0" borderId="0" xfId="0"/>
    <xf numFmtId="0" fontId="0" fillId="2" borderId="1" xfId="0" applyFill="1" applyBorder="1"/>
    <xf numFmtId="0" fontId="0" fillId="3" borderId="1" xfId="0" applyFill="1" applyBorder="1"/>
    <xf numFmtId="0" fontId="0" fillId="3" borderId="2" xfId="0" applyFill="1" applyBorder="1"/>
    <xf numFmtId="0" fontId="0" fillId="2" borderId="6" xfId="0" applyFill="1" applyBorder="1" applyAlignment="1">
      <alignment horizontal="right"/>
    </xf>
    <xf numFmtId="0" fontId="0" fillId="2" borderId="3" xfId="0" applyFill="1" applyBorder="1"/>
    <xf numFmtId="0" fontId="0" fillId="2" borderId="7" xfId="0" applyFill="1" applyBorder="1" applyAlignment="1">
      <alignment horizontal="right"/>
    </xf>
    <xf numFmtId="0" fontId="0" fillId="2" borderId="4" xfId="0" applyFill="1" applyBorder="1"/>
    <xf numFmtId="0" fontId="0" fillId="2" borderId="8" xfId="0" applyFill="1" applyBorder="1" applyAlignment="1">
      <alignment horizontal="right"/>
    </xf>
    <xf numFmtId="0" fontId="0" fillId="2" borderId="5" xfId="0" applyFill="1" applyBorder="1"/>
    <xf numFmtId="0" fontId="0" fillId="3" borderId="1" xfId="0" applyFill="1" applyBorder="1" applyAlignment="1">
      <alignment horizontal="right"/>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12" fillId="0" borderId="0" xfId="1"/>
    <xf numFmtId="0" fontId="0" fillId="0" borderId="0" xfId="0" applyAlignment="1">
      <alignment wrapText="1"/>
    </xf>
    <xf numFmtId="0" fontId="0" fillId="0" borderId="0" xfId="0" applyAlignment="1">
      <alignment horizontal="center"/>
    </xf>
    <xf numFmtId="0" fontId="0" fillId="0" borderId="0" xfId="0" applyAlignment="1">
      <alignment vertical="top" wrapText="1"/>
    </xf>
    <xf numFmtId="0" fontId="14" fillId="0" borderId="0" xfId="2" applyFill="1" applyBorder="1" applyAlignment="1" applyProtection="1"/>
    <xf numFmtId="0" fontId="16" fillId="0" borderId="0" xfId="2" applyFont="1" applyBorder="1" applyAlignment="1" applyProtection="1">
      <alignment horizontal="left" readingOrder="1"/>
    </xf>
    <xf numFmtId="0" fontId="18" fillId="0" borderId="0" xfId="4" applyFont="1" applyFill="1" applyBorder="1" applyAlignment="1" applyProtection="1"/>
    <xf numFmtId="0" fontId="31" fillId="0" borderId="0" xfId="4" applyFont="1" applyFill="1" applyBorder="1" applyProtection="1"/>
    <xf numFmtId="0" fontId="18" fillId="0" borderId="0" xfId="4" applyFont="1" applyBorder="1" applyProtection="1"/>
    <xf numFmtId="0" fontId="20" fillId="0" borderId="0" xfId="4" applyFont="1" applyFill="1" applyBorder="1" applyAlignment="1" applyProtection="1">
      <alignment horizontal="right"/>
    </xf>
    <xf numFmtId="0" fontId="36" fillId="0" borderId="0" xfId="5" applyFont="1" applyAlignment="1">
      <alignment wrapText="1"/>
    </xf>
    <xf numFmtId="0" fontId="36" fillId="0" borderId="0" xfId="5" applyFont="1" applyAlignment="1">
      <alignment horizontal="center" wrapText="1"/>
    </xf>
    <xf numFmtId="0" fontId="35" fillId="0" borderId="0" xfId="5"/>
    <xf numFmtId="8" fontId="35" fillId="0" borderId="0" xfId="5" applyNumberFormat="1" applyAlignment="1">
      <alignment horizontal="center"/>
    </xf>
    <xf numFmtId="0" fontId="35" fillId="0" borderId="0" xfId="5" applyAlignment="1">
      <alignment horizontal="center"/>
    </xf>
    <xf numFmtId="4" fontId="35" fillId="0" borderId="0" xfId="5" applyNumberFormat="1" applyAlignment="1">
      <alignment horizontal="center"/>
    </xf>
    <xf numFmtId="8" fontId="35" fillId="0" borderId="0" xfId="5" applyNumberFormat="1"/>
    <xf numFmtId="0" fontId="38" fillId="0" borderId="0" xfId="0" applyFont="1"/>
    <xf numFmtId="0" fontId="38" fillId="0" borderId="0" xfId="0" applyFont="1" applyAlignment="1">
      <alignment horizontal="center"/>
    </xf>
    <xf numFmtId="14" fontId="39" fillId="0" borderId="1" xfId="0" applyNumberFormat="1" applyFont="1" applyBorder="1" applyAlignment="1">
      <alignment horizontal="center"/>
    </xf>
    <xf numFmtId="0" fontId="39" fillId="0" borderId="1" xfId="0" applyFont="1" applyBorder="1" applyAlignment="1">
      <alignment horizontal="center" wrapText="1"/>
    </xf>
    <xf numFmtId="49" fontId="39" fillId="0" borderId="1" xfId="0" applyNumberFormat="1" applyFont="1" applyBorder="1" applyAlignment="1">
      <alignment horizontal="left" wrapText="1"/>
    </xf>
    <xf numFmtId="0" fontId="39" fillId="0" borderId="1" xfId="0" applyFont="1" applyBorder="1" applyAlignment="1">
      <alignment horizontal="left" vertical="center" wrapText="1"/>
    </xf>
    <xf numFmtId="0" fontId="39" fillId="0" borderId="0" xfId="0" applyFont="1"/>
    <xf numFmtId="0" fontId="0" fillId="2" borderId="4" xfId="0" applyFill="1" applyBorder="1" applyAlignment="1">
      <alignment wrapText="1"/>
    </xf>
    <xf numFmtId="0" fontId="35" fillId="0" borderId="0" xfId="5" applyFill="1"/>
    <xf numFmtId="0" fontId="41" fillId="0" borderId="0" xfId="5" applyFont="1" applyFill="1" applyAlignment="1">
      <alignment wrapText="1"/>
    </xf>
    <xf numFmtId="0" fontId="40" fillId="0" borderId="32" xfId="5" applyNumberFormat="1" applyFont="1" applyFill="1" applyBorder="1" applyAlignment="1">
      <alignment wrapText="1"/>
    </xf>
    <xf numFmtId="0" fontId="42" fillId="0" borderId="33" xfId="5" applyNumberFormat="1" applyFont="1" applyFill="1" applyBorder="1" applyAlignment="1"/>
    <xf numFmtId="0" fontId="42" fillId="0" borderId="31" xfId="5" applyNumberFormat="1" applyFont="1" applyFill="1" applyBorder="1" applyAlignment="1"/>
    <xf numFmtId="0" fontId="40" fillId="0" borderId="35" xfId="5" applyNumberFormat="1" applyFont="1" applyFill="1" applyBorder="1" applyAlignment="1">
      <alignment wrapText="1"/>
    </xf>
    <xf numFmtId="0" fontId="13" fillId="0" borderId="0" xfId="0" applyFont="1" applyFill="1"/>
    <xf numFmtId="10" fontId="0" fillId="0" borderId="0" xfId="6" applyNumberFormat="1" applyFont="1"/>
    <xf numFmtId="170" fontId="0" fillId="0" borderId="0" xfId="0" applyNumberFormat="1"/>
    <xf numFmtId="173" fontId="0" fillId="0" borderId="0" xfId="0" applyNumberFormat="1"/>
    <xf numFmtId="0" fontId="44" fillId="0" borderId="0" xfId="0" applyFont="1"/>
    <xf numFmtId="0" fontId="14" fillId="0" borderId="0" xfId="2" applyBorder="1" applyAlignment="1" applyProtection="1">
      <alignment readingOrder="1"/>
    </xf>
    <xf numFmtId="0" fontId="14" fillId="0" borderId="0" xfId="2" applyBorder="1" applyProtection="1"/>
    <xf numFmtId="0" fontId="28" fillId="0" borderId="0" xfId="2" applyFont="1" applyFill="1" applyBorder="1" applyAlignment="1" applyProtection="1">
      <alignment horizontal="left"/>
    </xf>
    <xf numFmtId="0" fontId="29" fillId="0" borderId="0" xfId="2" applyFont="1" applyFill="1" applyBorder="1" applyProtection="1"/>
    <xf numFmtId="0" fontId="28" fillId="0" borderId="0" xfId="2" applyFont="1" applyFill="1" applyBorder="1" applyAlignment="1" applyProtection="1">
      <alignment horizontal="right"/>
    </xf>
    <xf numFmtId="0" fontId="0" fillId="0" borderId="0" xfId="0" applyBorder="1"/>
    <xf numFmtId="0" fontId="47" fillId="0" borderId="0" xfId="0" applyFont="1" applyBorder="1" applyAlignment="1">
      <alignment horizontal="center" vertical="center"/>
    </xf>
    <xf numFmtId="0" fontId="0" fillId="0" borderId="0" xfId="0" applyBorder="1" applyAlignment="1">
      <alignment wrapText="1"/>
    </xf>
    <xf numFmtId="0" fontId="0" fillId="0" borderId="0" xfId="0"/>
    <xf numFmtId="0" fontId="0" fillId="0" borderId="0" xfId="0" applyProtection="1">
      <protection locked="0"/>
    </xf>
    <xf numFmtId="0" fontId="0" fillId="0" borderId="0" xfId="0" applyProtection="1"/>
    <xf numFmtId="0" fontId="0" fillId="0" borderId="1" xfId="0" applyBorder="1"/>
    <xf numFmtId="0" fontId="0" fillId="8" borderId="1" xfId="0" applyFill="1" applyBorder="1"/>
    <xf numFmtId="0" fontId="0" fillId="13" borderId="1" xfId="0" applyFill="1" applyBorder="1"/>
    <xf numFmtId="0" fontId="0" fillId="12" borderId="1" xfId="0" applyFill="1" applyBorder="1"/>
    <xf numFmtId="0" fontId="0" fillId="10" borderId="1" xfId="0" applyFill="1" applyBorder="1"/>
    <xf numFmtId="170" fontId="0" fillId="0" borderId="1" xfId="0" applyNumberFormat="1" applyBorder="1"/>
    <xf numFmtId="0" fontId="0" fillId="11" borderId="1" xfId="0" applyFill="1" applyBorder="1"/>
    <xf numFmtId="0" fontId="0" fillId="0" borderId="0" xfId="0" applyAlignment="1" applyProtection="1">
      <alignment wrapText="1"/>
    </xf>
    <xf numFmtId="0" fontId="35" fillId="4" borderId="0" xfId="5" applyFill="1"/>
    <xf numFmtId="0" fontId="42" fillId="0" borderId="0" xfId="5" applyFont="1" applyFill="1"/>
    <xf numFmtId="0" fontId="42" fillId="0" borderId="0" xfId="5" applyFont="1" applyFill="1" applyAlignment="1">
      <alignment horizontal="center"/>
    </xf>
    <xf numFmtId="4" fontId="42" fillId="0" borderId="0" xfId="5" applyNumberFormat="1" applyFont="1" applyFill="1" applyAlignment="1">
      <alignment horizontal="center"/>
    </xf>
    <xf numFmtId="8" fontId="42" fillId="0" borderId="0" xfId="5" applyNumberFormat="1" applyFont="1" applyFill="1"/>
    <xf numFmtId="0" fontId="19" fillId="0" borderId="22" xfId="2" applyFont="1" applyFill="1" applyBorder="1" applyAlignment="1" applyProtection="1">
      <alignment vertical="center" readingOrder="1"/>
    </xf>
    <xf numFmtId="0" fontId="19" fillId="0" borderId="0" xfId="2" applyFont="1" applyFill="1" applyBorder="1" applyAlignment="1" applyProtection="1">
      <alignment vertical="center"/>
    </xf>
    <xf numFmtId="0" fontId="34" fillId="7" borderId="0" xfId="4" applyFont="1" applyFill="1" applyBorder="1" applyAlignment="1" applyProtection="1">
      <alignment readingOrder="1"/>
    </xf>
    <xf numFmtId="0" fontId="34" fillId="7" borderId="0" xfId="2" applyFont="1" applyFill="1" applyBorder="1" applyAlignment="1" applyProtection="1">
      <alignment readingOrder="1"/>
    </xf>
    <xf numFmtId="0" fontId="19" fillId="0" borderId="0" xfId="2" applyFont="1" applyFill="1" applyBorder="1" applyAlignment="1" applyProtection="1">
      <alignment vertical="center" readingOrder="1"/>
    </xf>
    <xf numFmtId="0" fontId="19" fillId="0" borderId="22" xfId="2" applyFont="1" applyFill="1" applyBorder="1" applyAlignment="1" applyProtection="1">
      <alignment vertical="center"/>
    </xf>
    <xf numFmtId="0" fontId="19" fillId="0" borderId="0" xfId="2" applyFont="1" applyFill="1" applyBorder="1" applyAlignment="1" applyProtection="1">
      <alignment vertical="top"/>
    </xf>
    <xf numFmtId="0" fontId="15" fillId="0" borderId="0" xfId="2" applyFont="1" applyFill="1" applyBorder="1" applyAlignment="1" applyProtection="1">
      <alignment wrapText="1"/>
    </xf>
    <xf numFmtId="0" fontId="15" fillId="0" borderId="25" xfId="2" applyFont="1" applyFill="1" applyBorder="1" applyAlignment="1" applyProtection="1">
      <alignment wrapText="1"/>
    </xf>
    <xf numFmtId="3" fontId="15" fillId="0" borderId="0" xfId="2" applyNumberFormat="1" applyFont="1" applyFill="1" applyBorder="1" applyAlignment="1" applyProtection="1"/>
    <xf numFmtId="0" fontId="34" fillId="7" borderId="0" xfId="4" applyFont="1" applyFill="1" applyBorder="1" applyAlignment="1" applyProtection="1"/>
    <xf numFmtId="0" fontId="22" fillId="4" borderId="0" xfId="4" applyFont="1" applyFill="1" applyBorder="1" applyAlignment="1" applyProtection="1">
      <alignment vertical="center" wrapText="1"/>
    </xf>
    <xf numFmtId="0" fontId="12" fillId="12" borderId="1" xfId="1" applyFill="1" applyBorder="1"/>
    <xf numFmtId="0" fontId="16" fillId="0" borderId="0" xfId="2" applyFont="1" applyBorder="1" applyAlignment="1" applyProtection="1">
      <alignment readingOrder="1"/>
    </xf>
    <xf numFmtId="0" fontId="13" fillId="0" borderId="0" xfId="2" applyFont="1" applyFill="1" applyBorder="1" applyProtection="1"/>
    <xf numFmtId="0" fontId="14" fillId="0" borderId="0" xfId="2" applyFill="1" applyBorder="1" applyProtection="1"/>
    <xf numFmtId="0" fontId="20" fillId="0" borderId="0" xfId="2" applyFont="1" applyBorder="1" applyAlignment="1" applyProtection="1">
      <alignment readingOrder="1"/>
    </xf>
    <xf numFmtId="0" fontId="54" fillId="0" borderId="0" xfId="2" applyFont="1" applyFill="1" applyBorder="1" applyAlignment="1" applyProtection="1"/>
    <xf numFmtId="0" fontId="27" fillId="0" borderId="0" xfId="2" applyFont="1" applyFill="1" applyBorder="1" applyAlignment="1" applyProtection="1"/>
    <xf numFmtId="0" fontId="56" fillId="0" borderId="0" xfId="4" applyFont="1" applyBorder="1" applyAlignment="1" applyProtection="1">
      <alignment horizontal="left" vertical="center"/>
    </xf>
    <xf numFmtId="0" fontId="18" fillId="4" borderId="0" xfId="4" applyFont="1" applyFill="1" applyBorder="1" applyProtection="1"/>
    <xf numFmtId="0" fontId="31" fillId="0" borderId="0" xfId="4" applyFont="1" applyFill="1" applyBorder="1" applyAlignment="1" applyProtection="1">
      <alignment vertical="center"/>
    </xf>
    <xf numFmtId="0" fontId="35" fillId="0" borderId="0" xfId="5" applyFill="1" applyAlignment="1">
      <alignment horizontal="center"/>
    </xf>
    <xf numFmtId="4" fontId="35" fillId="0" borderId="0" xfId="5" applyNumberFormat="1" applyFill="1" applyAlignment="1">
      <alignment horizontal="center"/>
    </xf>
    <xf numFmtId="8" fontId="35" fillId="0" borderId="0" xfId="5" applyNumberFormat="1" applyFill="1"/>
    <xf numFmtId="0" fontId="0" fillId="20" borderId="0" xfId="0" applyFill="1"/>
    <xf numFmtId="14" fontId="0" fillId="0" borderId="0" xfId="0" applyNumberFormat="1"/>
    <xf numFmtId="174" fontId="0" fillId="0" borderId="0" xfId="0" applyNumberFormat="1"/>
    <xf numFmtId="2" fontId="0" fillId="0" borderId="0" xfId="0" applyNumberFormat="1"/>
    <xf numFmtId="0" fontId="50" fillId="0" borderId="0" xfId="0" applyFont="1" applyAlignment="1">
      <alignment horizontal="center" vertical="center" wrapText="1"/>
    </xf>
    <xf numFmtId="0" fontId="0" fillId="0" borderId="0" xfId="0" applyAlignment="1">
      <alignment horizontal="right"/>
    </xf>
    <xf numFmtId="165" fontId="0" fillId="0" borderId="0" xfId="0" applyNumberFormat="1" applyAlignment="1">
      <alignment horizontal="left"/>
    </xf>
    <xf numFmtId="0" fontId="46" fillId="0" borderId="0" xfId="0" applyFont="1" applyAlignment="1">
      <alignment horizontal="left"/>
    </xf>
    <xf numFmtId="0" fontId="0" fillId="0" borderId="0" xfId="0" applyAlignment="1"/>
    <xf numFmtId="0" fontId="0" fillId="0" borderId="0" xfId="0" applyAlignment="1">
      <alignment horizontal="left"/>
    </xf>
    <xf numFmtId="0" fontId="58" fillId="21" borderId="0" xfId="0" applyFont="1" applyFill="1"/>
    <xf numFmtId="0" fontId="59" fillId="21" borderId="0" xfId="1" applyFont="1" applyFill="1"/>
    <xf numFmtId="0" fontId="58" fillId="21" borderId="0" xfId="0" applyFont="1" applyFill="1" applyAlignment="1">
      <alignment wrapText="1"/>
    </xf>
    <xf numFmtId="0" fontId="58" fillId="21" borderId="0" xfId="0" applyFont="1" applyFill="1" applyAlignment="1">
      <alignment horizontal="center"/>
    </xf>
    <xf numFmtId="49" fontId="0" fillId="0" borderId="0" xfId="0" applyNumberFormat="1"/>
    <xf numFmtId="0" fontId="0" fillId="0" borderId="0" xfId="0" applyAlignment="1">
      <alignment horizontal="right"/>
    </xf>
    <xf numFmtId="165" fontId="0" fillId="0" borderId="0" xfId="0" applyNumberFormat="1" applyAlignment="1">
      <alignment horizontal="left"/>
    </xf>
    <xf numFmtId="0" fontId="46" fillId="0" borderId="0" xfId="0" applyFont="1" applyAlignment="1">
      <alignment horizontal="left"/>
    </xf>
    <xf numFmtId="0" fontId="0" fillId="0" borderId="0" xfId="0" applyAlignment="1"/>
    <xf numFmtId="0" fontId="48" fillId="0" borderId="0" xfId="0" applyFont="1" applyAlignment="1">
      <alignment horizontal="left" vertical="center" wrapText="1"/>
    </xf>
    <xf numFmtId="0" fontId="0" fillId="0" borderId="0" xfId="6" applyNumberFormat="1" applyFont="1"/>
    <xf numFmtId="0" fontId="62" fillId="0" borderId="0" xfId="0" applyFont="1"/>
    <xf numFmtId="170" fontId="62" fillId="0" borderId="0" xfId="0" applyNumberFormat="1" applyFont="1"/>
    <xf numFmtId="0" fontId="0" fillId="0" borderId="0" xfId="0" applyAlignment="1">
      <alignment horizontal="right"/>
    </xf>
    <xf numFmtId="0" fontId="0" fillId="0" borderId="0" xfId="0" applyAlignment="1">
      <alignment horizontal="left"/>
    </xf>
    <xf numFmtId="164" fontId="0" fillId="0" borderId="17" xfId="0" applyNumberFormat="1" applyBorder="1" applyAlignment="1">
      <alignment horizontal="right" vertical="center"/>
    </xf>
    <xf numFmtId="165" fontId="0" fillId="0" borderId="0" xfId="0" applyNumberFormat="1" applyAlignment="1">
      <alignment horizontal="left"/>
    </xf>
    <xf numFmtId="0" fontId="46" fillId="0" borderId="0" xfId="0" applyFont="1" applyAlignment="1">
      <alignment horizontal="left"/>
    </xf>
    <xf numFmtId="0" fontId="0" fillId="0" borderId="0" xfId="0" applyAlignment="1"/>
    <xf numFmtId="0" fontId="48" fillId="0" borderId="0" xfId="0" applyFont="1" applyAlignment="1">
      <alignment horizontal="left" vertical="center" wrapText="1"/>
    </xf>
    <xf numFmtId="0" fontId="18" fillId="0" borderId="0" xfId="0" applyFont="1" applyAlignment="1"/>
    <xf numFmtId="0" fontId="18" fillId="0" borderId="0" xfId="0" applyFont="1"/>
    <xf numFmtId="0" fontId="65" fillId="21" borderId="0" xfId="0" applyFont="1" applyFill="1"/>
    <xf numFmtId="0" fontId="65" fillId="21" borderId="0" xfId="0" applyFont="1" applyFill="1" applyAlignment="1">
      <alignment horizontal="right"/>
    </xf>
    <xf numFmtId="0" fontId="66" fillId="21" borderId="0" xfId="1" applyFont="1" applyFill="1"/>
    <xf numFmtId="0" fontId="65" fillId="21" borderId="0" xfId="0" applyFont="1" applyFill="1" applyAlignment="1">
      <alignment wrapText="1"/>
    </xf>
    <xf numFmtId="0" fontId="65" fillId="21" borderId="0" xfId="0" applyFont="1" applyFill="1" applyAlignment="1">
      <alignment horizontal="center"/>
    </xf>
    <xf numFmtId="0" fontId="18" fillId="0" borderId="0" xfId="0" applyFont="1" applyAlignment="1">
      <alignment horizontal="left" vertical="top" wrapText="1"/>
    </xf>
    <xf numFmtId="0" fontId="18" fillId="0" borderId="0" xfId="0" applyFont="1" applyAlignment="1">
      <alignment horizontal="left"/>
    </xf>
    <xf numFmtId="0" fontId="18" fillId="0" borderId="0" xfId="0" applyFont="1" applyAlignment="1">
      <alignment horizontal="left" vertical="top"/>
    </xf>
    <xf numFmtId="0" fontId="69" fillId="0" borderId="0" xfId="0" applyFont="1" applyAlignment="1">
      <alignment vertical="center" wrapText="1"/>
    </xf>
    <xf numFmtId="0" fontId="18" fillId="0" borderId="0" xfId="0" applyFont="1" applyProtection="1"/>
    <xf numFmtId="0" fontId="18" fillId="0" borderId="0" xfId="0" applyFont="1" applyAlignment="1">
      <alignment vertical="top" wrapText="1"/>
    </xf>
    <xf numFmtId="0" fontId="72" fillId="0" borderId="0" xfId="0" applyFont="1" applyAlignment="1">
      <alignment vertical="center"/>
    </xf>
    <xf numFmtId="0" fontId="18" fillId="0" borderId="15" xfId="0" applyFont="1" applyBorder="1"/>
    <xf numFmtId="0" fontId="18" fillId="0" borderId="0" xfId="0" applyFont="1" applyAlignment="1" applyProtection="1"/>
    <xf numFmtId="0" fontId="77" fillId="0" borderId="0" xfId="0" applyFont="1" applyBorder="1" applyAlignment="1" applyProtection="1"/>
    <xf numFmtId="0" fontId="78" fillId="0" borderId="0" xfId="0" applyFont="1" applyBorder="1" applyAlignment="1" applyProtection="1"/>
    <xf numFmtId="0" fontId="18" fillId="0" borderId="0" xfId="0" applyFont="1" applyBorder="1" applyProtection="1"/>
    <xf numFmtId="0" fontId="79" fillId="0" borderId="0" xfId="0" applyFont="1" applyFill="1" applyBorder="1" applyAlignment="1" applyProtection="1">
      <alignment wrapText="1"/>
    </xf>
    <xf numFmtId="0" fontId="20" fillId="0" borderId="0" xfId="0" applyFont="1" applyFill="1" applyBorder="1" applyAlignment="1" applyProtection="1">
      <alignment horizontal="left"/>
    </xf>
    <xf numFmtId="0" fontId="21" fillId="0" borderId="0" xfId="0" applyFont="1" applyFill="1" applyBorder="1" applyAlignment="1" applyProtection="1">
      <alignment vertical="top"/>
    </xf>
    <xf numFmtId="0" fontId="20" fillId="0" borderId="0" xfId="0" applyFont="1" applyFill="1" applyBorder="1" applyAlignment="1" applyProtection="1">
      <alignment vertical="top"/>
    </xf>
    <xf numFmtId="0" fontId="21" fillId="0" borderId="0" xfId="0" applyFont="1" applyFill="1" applyBorder="1" applyAlignment="1" applyProtection="1">
      <alignment vertical="top" wrapText="1"/>
    </xf>
    <xf numFmtId="0" fontId="20" fillId="0" borderId="0" xfId="0" applyFont="1" applyFill="1" applyBorder="1" applyAlignment="1" applyProtection="1">
      <alignment vertical="top" wrapText="1"/>
    </xf>
    <xf numFmtId="0" fontId="20" fillId="8" borderId="1" xfId="0" applyFont="1" applyFill="1" applyBorder="1" applyAlignment="1" applyProtection="1">
      <alignment horizontal="center"/>
    </xf>
    <xf numFmtId="0" fontId="20" fillId="0" borderId="0" xfId="0" applyFont="1" applyAlignment="1" applyProtection="1"/>
    <xf numFmtId="0" fontId="21" fillId="0" borderId="0" xfId="0" applyFont="1" applyBorder="1" applyAlignment="1" applyProtection="1">
      <alignment vertical="top" wrapText="1"/>
    </xf>
    <xf numFmtId="0" fontId="21" fillId="0" borderId="0" xfId="0" applyFont="1" applyFill="1" applyBorder="1" applyAlignment="1" applyProtection="1">
      <alignment vertical="top"/>
      <protection locked="0" hidden="1"/>
    </xf>
    <xf numFmtId="0" fontId="21" fillId="0" borderId="0" xfId="0" applyFont="1" applyFill="1" applyBorder="1" applyAlignment="1" applyProtection="1">
      <alignment vertical="top" wrapText="1"/>
      <protection locked="0" hidden="1"/>
    </xf>
    <xf numFmtId="0" fontId="21" fillId="0" borderId="0" xfId="0" applyFont="1" applyAlignment="1" applyProtection="1">
      <protection locked="0" hidden="1"/>
    </xf>
    <xf numFmtId="0" fontId="42" fillId="0" borderId="0" xfId="5" applyFont="1"/>
    <xf numFmtId="0" fontId="13" fillId="0" borderId="0" xfId="5" applyFont="1" applyFill="1"/>
    <xf numFmtId="0" fontId="36" fillId="0" borderId="0" xfId="5" applyFont="1" applyFill="1" applyAlignment="1">
      <alignment wrapText="1"/>
    </xf>
    <xf numFmtId="8" fontId="35" fillId="0" borderId="0" xfId="5" applyNumberFormat="1" applyFill="1" applyAlignment="1">
      <alignment horizontal="center"/>
    </xf>
    <xf numFmtId="0" fontId="17" fillId="0" borderId="0" xfId="0" applyFont="1" applyFill="1" applyBorder="1" applyAlignment="1"/>
    <xf numFmtId="0" fontId="18" fillId="0" borderId="0" xfId="0" applyFont="1" applyFill="1" applyBorder="1" applyAlignment="1"/>
    <xf numFmtId="0" fontId="18" fillId="0" borderId="0" xfId="0" applyFont="1" applyFill="1" applyBorder="1"/>
    <xf numFmtId="0" fontId="18" fillId="0" borderId="73" xfId="0" applyFont="1" applyFill="1" applyBorder="1"/>
    <xf numFmtId="0" fontId="18" fillId="0" borderId="74" xfId="0" applyFont="1" applyFill="1" applyBorder="1"/>
    <xf numFmtId="0" fontId="18" fillId="0" borderId="73" xfId="0" applyFont="1" applyFill="1" applyBorder="1" applyAlignment="1">
      <alignment horizontal="right"/>
    </xf>
    <xf numFmtId="0" fontId="18" fillId="0" borderId="75" xfId="0" applyFont="1" applyFill="1" applyBorder="1" applyAlignment="1">
      <alignment horizontal="right"/>
    </xf>
    <xf numFmtId="0" fontId="34" fillId="21" borderId="71" xfId="0" applyFont="1" applyFill="1" applyBorder="1"/>
    <xf numFmtId="0" fontId="34" fillId="21" borderId="72" xfId="0" applyFont="1" applyFill="1" applyBorder="1"/>
    <xf numFmtId="0" fontId="83" fillId="21" borderId="70" xfId="0" applyFont="1" applyFill="1" applyBorder="1"/>
    <xf numFmtId="0" fontId="18" fillId="0" borderId="73" xfId="0" applyFont="1" applyBorder="1"/>
    <xf numFmtId="0" fontId="18" fillId="0" borderId="0" xfId="0" applyFont="1" applyBorder="1"/>
    <xf numFmtId="0" fontId="18" fillId="0" borderId="74" xfId="0" applyFont="1" applyBorder="1"/>
    <xf numFmtId="0" fontId="18" fillId="0" borderId="75" xfId="0" applyFont="1" applyBorder="1"/>
    <xf numFmtId="0" fontId="18" fillId="0" borderId="76" xfId="0" applyFont="1" applyBorder="1"/>
    <xf numFmtId="0" fontId="18" fillId="0" borderId="77" xfId="0" applyFont="1" applyBorder="1"/>
    <xf numFmtId="0" fontId="0" fillId="0" borderId="0" xfId="0" applyAlignment="1">
      <alignment horizontal="right"/>
    </xf>
    <xf numFmtId="0" fontId="0" fillId="0" borderId="0" xfId="0" applyAlignment="1"/>
    <xf numFmtId="0" fontId="18" fillId="0" borderId="0" xfId="0" applyFont="1" applyAlignment="1">
      <alignment horizontal="center"/>
    </xf>
    <xf numFmtId="0" fontId="70" fillId="0" borderId="0" xfId="0" applyFont="1" applyAlignment="1">
      <alignment horizontal="left" vertical="center" wrapText="1"/>
    </xf>
    <xf numFmtId="167" fontId="18" fillId="5" borderId="0" xfId="0" applyNumberFormat="1" applyFont="1" applyFill="1" applyAlignment="1">
      <alignment horizontal="center"/>
    </xf>
    <xf numFmtId="176" fontId="18" fillId="5" borderId="0" xfId="0" applyNumberFormat="1" applyFont="1" applyFill="1" applyAlignment="1">
      <alignment horizontal="center"/>
    </xf>
    <xf numFmtId="0" fontId="0" fillId="0" borderId="78" xfId="0" applyBorder="1"/>
    <xf numFmtId="0" fontId="0" fillId="0" borderId="79" xfId="0" applyBorder="1"/>
    <xf numFmtId="49" fontId="0" fillId="0" borderId="0" xfId="0" applyNumberFormat="1" applyFont="1"/>
    <xf numFmtId="0" fontId="0" fillId="0" borderId="0" xfId="0" applyFont="1"/>
    <xf numFmtId="0" fontId="86" fillId="0" borderId="0" xfId="5" applyFont="1" applyAlignment="1">
      <alignment wrapText="1"/>
    </xf>
    <xf numFmtId="0" fontId="14" fillId="0" borderId="0" xfId="0" applyFont="1"/>
    <xf numFmtId="0" fontId="44" fillId="0" borderId="0" xfId="5" applyFont="1" applyAlignment="1">
      <alignment wrapText="1"/>
    </xf>
    <xf numFmtId="49" fontId="14" fillId="0" borderId="0" xfId="0" applyNumberFormat="1" applyFont="1"/>
    <xf numFmtId="0" fontId="87" fillId="0" borderId="0" xfId="5" applyFont="1" applyFill="1" applyAlignment="1">
      <alignment wrapText="1"/>
    </xf>
    <xf numFmtId="0" fontId="14" fillId="0" borderId="0" xfId="0" applyFont="1" applyFill="1"/>
    <xf numFmtId="0" fontId="88" fillId="0" borderId="0" xfId="5" applyFont="1" applyAlignment="1">
      <alignment wrapText="1"/>
    </xf>
    <xf numFmtId="0" fontId="43" fillId="0" borderId="0" xfId="0" applyFont="1"/>
    <xf numFmtId="49" fontId="43" fillId="0" borderId="0" xfId="5" applyNumberFormat="1" applyFont="1" applyFill="1" applyAlignment="1">
      <alignment wrapText="1"/>
    </xf>
    <xf numFmtId="0" fontId="43" fillId="0" borderId="0" xfId="5" applyFont="1" applyAlignment="1">
      <alignment wrapText="1"/>
    </xf>
    <xf numFmtId="0" fontId="43" fillId="0" borderId="0" xfId="5" applyFont="1" applyFill="1" applyAlignment="1">
      <alignment wrapText="1"/>
    </xf>
    <xf numFmtId="0" fontId="0" fillId="0" borderId="0" xfId="0" applyFill="1"/>
    <xf numFmtId="8" fontId="42" fillId="0" borderId="0" xfId="5" applyNumberFormat="1" applyFont="1" applyFill="1" applyAlignment="1">
      <alignment horizontal="center"/>
    </xf>
    <xf numFmtId="0" fontId="0" fillId="0" borderId="73" xfId="0" applyBorder="1"/>
    <xf numFmtId="0" fontId="0" fillId="0" borderId="74" xfId="0" applyBorder="1"/>
    <xf numFmtId="0" fontId="17" fillId="0" borderId="74" xfId="0" applyFont="1" applyFill="1" applyBorder="1"/>
    <xf numFmtId="0" fontId="43" fillId="0" borderId="73" xfId="0" applyFont="1" applyBorder="1"/>
    <xf numFmtId="0" fontId="43" fillId="0" borderId="74" xfId="0" applyFont="1" applyBorder="1"/>
    <xf numFmtId="0" fontId="18" fillId="0" borderId="0" xfId="0" applyFont="1" applyAlignment="1">
      <alignment horizontal="left"/>
    </xf>
    <xf numFmtId="0" fontId="64" fillId="0" borderId="0" xfId="0" applyFont="1" applyAlignment="1"/>
    <xf numFmtId="0" fontId="0" fillId="0" borderId="0" xfId="0" applyFont="1" applyFill="1"/>
    <xf numFmtId="0" fontId="17" fillId="0" borderId="73" xfId="0" applyFont="1" applyFill="1" applyBorder="1" applyAlignment="1">
      <alignment horizontal="right" vertical="top"/>
    </xf>
    <xf numFmtId="0" fontId="18" fillId="0" borderId="0" xfId="0" applyFont="1" applyAlignment="1">
      <alignment vertical="top"/>
    </xf>
    <xf numFmtId="179" fontId="0" fillId="0" borderId="0" xfId="0" applyNumberFormat="1"/>
    <xf numFmtId="0" fontId="18" fillId="0" borderId="1" xfId="0" applyFont="1" applyBorder="1" applyProtection="1"/>
    <xf numFmtId="0" fontId="20" fillId="0" borderId="0" xfId="0" applyFont="1" applyAlignment="1" applyProtection="1">
      <alignment horizontal="left" vertical="top"/>
    </xf>
    <xf numFmtId="0" fontId="18" fillId="0" borderId="0" xfId="0" applyFont="1" applyFill="1" applyBorder="1" applyProtection="1"/>
    <xf numFmtId="0" fontId="35" fillId="0" borderId="0" xfId="5" applyAlignment="1">
      <alignment horizontal="left"/>
    </xf>
    <xf numFmtId="49" fontId="35" fillId="0" borderId="0" xfId="5" applyNumberFormat="1" applyAlignment="1">
      <alignment horizontal="left"/>
    </xf>
    <xf numFmtId="0" fontId="35" fillId="0" borderId="0" xfId="5" applyNumberFormat="1" applyAlignment="1">
      <alignment horizontal="left"/>
    </xf>
    <xf numFmtId="14" fontId="35" fillId="0" borderId="0" xfId="5" applyNumberFormat="1" applyAlignment="1">
      <alignment horizontal="left"/>
    </xf>
    <xf numFmtId="4" fontId="35" fillId="0" borderId="0" xfId="5" applyNumberFormat="1" applyAlignment="1">
      <alignment horizontal="left"/>
    </xf>
    <xf numFmtId="0" fontId="40" fillId="0" borderId="34" xfId="5" applyNumberFormat="1" applyFont="1" applyFill="1" applyBorder="1" applyAlignment="1">
      <alignment horizontal="left" wrapText="1"/>
    </xf>
    <xf numFmtId="49" fontId="40" fillId="0" borderId="32" xfId="5" applyNumberFormat="1" applyFont="1" applyFill="1" applyBorder="1" applyAlignment="1">
      <alignment horizontal="left" wrapText="1"/>
    </xf>
    <xf numFmtId="0" fontId="40" fillId="0" borderId="32" xfId="5" applyNumberFormat="1" applyFont="1" applyFill="1" applyBorder="1" applyAlignment="1">
      <alignment horizontal="left" wrapText="1"/>
    </xf>
    <xf numFmtId="14" fontId="40" fillId="0" borderId="32" xfId="5" applyNumberFormat="1" applyFont="1" applyFill="1" applyBorder="1" applyAlignment="1">
      <alignment horizontal="left" wrapText="1"/>
    </xf>
    <xf numFmtId="0" fontId="35" fillId="0" borderId="0" xfId="5" applyFill="1" applyAlignment="1">
      <alignment horizontal="left"/>
    </xf>
    <xf numFmtId="49" fontId="35" fillId="0" borderId="0" xfId="5" applyNumberFormat="1" applyFill="1" applyAlignment="1">
      <alignment horizontal="left"/>
    </xf>
    <xf numFmtId="0" fontId="35" fillId="0" borderId="0" xfId="5" applyNumberFormat="1" applyFill="1" applyAlignment="1">
      <alignment horizontal="left"/>
    </xf>
    <xf numFmtId="14" fontId="35" fillId="0" borderId="0" xfId="5" applyNumberFormat="1" applyFill="1" applyAlignment="1">
      <alignment horizontal="left"/>
    </xf>
    <xf numFmtId="4" fontId="35" fillId="0" borderId="0" xfId="5" applyNumberFormat="1" applyFill="1" applyAlignment="1">
      <alignment horizontal="left"/>
    </xf>
    <xf numFmtId="0" fontId="36" fillId="0" borderId="0" xfId="5" applyFont="1" applyAlignment="1">
      <alignment horizontal="left" wrapText="1"/>
    </xf>
    <xf numFmtId="49" fontId="36" fillId="0" borderId="0" xfId="5" applyNumberFormat="1" applyFont="1" applyAlignment="1">
      <alignment horizontal="left" wrapText="1"/>
    </xf>
    <xf numFmtId="0" fontId="36" fillId="0" borderId="0" xfId="5" applyNumberFormat="1" applyFont="1" applyAlignment="1">
      <alignment horizontal="left" wrapText="1"/>
    </xf>
    <xf numFmtId="14" fontId="36" fillId="0" borderId="0" xfId="5" applyNumberFormat="1" applyFont="1" applyAlignment="1">
      <alignment horizontal="left" wrapText="1"/>
    </xf>
    <xf numFmtId="0" fontId="40" fillId="0" borderId="0" xfId="5" applyFont="1" applyAlignment="1">
      <alignment wrapText="1"/>
    </xf>
    <xf numFmtId="0" fontId="40" fillId="0" borderId="0" xfId="5" applyFont="1" applyFill="1" applyAlignment="1">
      <alignment wrapText="1"/>
    </xf>
    <xf numFmtId="0" fontId="71" fillId="0" borderId="0" xfId="1" applyFont="1" applyBorder="1" applyAlignment="1" applyProtection="1">
      <alignment horizontal="left"/>
    </xf>
    <xf numFmtId="0" fontId="18" fillId="0" borderId="0" xfId="0" applyFont="1" applyBorder="1" applyAlignment="1" applyProtection="1">
      <alignment horizontal="left"/>
    </xf>
    <xf numFmtId="0" fontId="18" fillId="0" borderId="0" xfId="0" applyFont="1" applyAlignment="1" applyProtection="1">
      <alignment horizontal="left"/>
    </xf>
    <xf numFmtId="166" fontId="18" fillId="0" borderId="0" xfId="0" applyNumberFormat="1" applyFont="1" applyBorder="1" applyAlignment="1" applyProtection="1">
      <alignment horizontal="left"/>
    </xf>
    <xf numFmtId="0" fontId="69" fillId="0" borderId="0" xfId="0" applyFont="1" applyAlignment="1" applyProtection="1">
      <alignment vertical="center" wrapText="1"/>
    </xf>
    <xf numFmtId="0" fontId="0" fillId="26" borderId="0" xfId="0" applyFill="1"/>
    <xf numFmtId="0" fontId="0" fillId="0" borderId="0" xfId="0" applyNumberFormat="1" applyAlignment="1">
      <alignment wrapText="1"/>
    </xf>
    <xf numFmtId="0" fontId="0" fillId="0" borderId="0" xfId="0" applyFill="1" applyAlignment="1">
      <alignment wrapText="1"/>
    </xf>
    <xf numFmtId="177" fontId="0" fillId="0" borderId="0" xfId="0" applyNumberFormat="1" applyAlignment="1">
      <alignment wrapText="1"/>
    </xf>
    <xf numFmtId="0" fontId="0" fillId="20" borderId="0" xfId="0" applyFill="1" applyAlignment="1">
      <alignment wrapText="1"/>
    </xf>
    <xf numFmtId="3" fontId="0" fillId="0" borderId="0" xfId="0" applyNumberFormat="1" applyAlignment="1">
      <alignment wrapText="1"/>
    </xf>
    <xf numFmtId="0" fontId="0" fillId="26" borderId="0" xfId="0" applyFill="1" applyAlignment="1">
      <alignment wrapText="1"/>
    </xf>
    <xf numFmtId="0" fontId="0" fillId="27" borderId="0" xfId="0" applyFill="1"/>
    <xf numFmtId="0" fontId="0" fillId="28" borderId="0" xfId="0" applyFill="1" applyAlignment="1">
      <alignment wrapText="1"/>
    </xf>
    <xf numFmtId="0" fontId="0" fillId="28" borderId="0" xfId="0" applyFill="1"/>
    <xf numFmtId="0" fontId="0" fillId="28" borderId="0" xfId="0" applyFill="1" applyBorder="1"/>
    <xf numFmtId="0" fontId="82" fillId="0" borderId="0" xfId="0" applyFont="1" applyAlignment="1" applyProtection="1">
      <protection hidden="1"/>
    </xf>
    <xf numFmtId="0" fontId="21" fillId="0" borderId="0" xfId="0" applyFont="1" applyFill="1" applyBorder="1" applyAlignment="1" applyProtection="1">
      <alignment vertical="top"/>
      <protection hidden="1"/>
    </xf>
    <xf numFmtId="0" fontId="56" fillId="0" borderId="0" xfId="4" applyFont="1" applyBorder="1" applyAlignment="1" applyProtection="1">
      <alignment vertical="top"/>
    </xf>
    <xf numFmtId="0" fontId="18" fillId="0" borderId="42" xfId="0" applyFont="1" applyBorder="1"/>
    <xf numFmtId="0" fontId="18" fillId="0" borderId="22" xfId="0" applyFont="1" applyBorder="1"/>
    <xf numFmtId="0" fontId="18" fillId="0" borderId="3" xfId="0" applyFont="1" applyBorder="1"/>
    <xf numFmtId="0" fontId="0" fillId="0" borderId="41" xfId="0" applyBorder="1" applyProtection="1"/>
    <xf numFmtId="0" fontId="0" fillId="0" borderId="4" xfId="0" applyBorder="1" applyProtection="1"/>
    <xf numFmtId="0" fontId="0" fillId="0" borderId="0" xfId="0" applyBorder="1" applyProtection="1"/>
    <xf numFmtId="0" fontId="0" fillId="0" borderId="43" xfId="0" applyBorder="1" applyProtection="1"/>
    <xf numFmtId="0" fontId="28" fillId="0" borderId="25" xfId="2" applyFont="1" applyFill="1" applyBorder="1" applyAlignment="1" applyProtection="1">
      <alignment horizontal="left"/>
    </xf>
    <xf numFmtId="0" fontId="29" fillId="0" borderId="25" xfId="2" applyFont="1" applyFill="1" applyBorder="1" applyProtection="1"/>
    <xf numFmtId="0" fontId="0" fillId="0" borderId="25" xfId="0" applyBorder="1" applyProtection="1"/>
    <xf numFmtId="0" fontId="0" fillId="0" borderId="25" xfId="0" applyBorder="1"/>
    <xf numFmtId="0" fontId="0" fillId="0" borderId="5" xfId="0" applyBorder="1" applyProtection="1"/>
    <xf numFmtId="0" fontId="18" fillId="0" borderId="42" xfId="0" applyFont="1" applyBorder="1" applyProtection="1"/>
    <xf numFmtId="0" fontId="18" fillId="0" borderId="22" xfId="0" applyFont="1" applyBorder="1" applyProtection="1"/>
    <xf numFmtId="0" fontId="18" fillId="0" borderId="3" xfId="0" applyFont="1" applyBorder="1" applyProtection="1"/>
    <xf numFmtId="1" fontId="0" fillId="0" borderId="0" xfId="0" applyNumberFormat="1" applyAlignment="1">
      <alignment wrapText="1"/>
    </xf>
    <xf numFmtId="1" fontId="0" fillId="0" borderId="0" xfId="0" applyNumberFormat="1"/>
    <xf numFmtId="1" fontId="0" fillId="27" borderId="0" xfId="0" applyNumberFormat="1" applyFill="1"/>
    <xf numFmtId="2" fontId="0" fillId="0" borderId="0" xfId="0" applyNumberFormat="1" applyAlignment="1">
      <alignment wrapText="1"/>
    </xf>
    <xf numFmtId="2" fontId="0" fillId="27" borderId="0" xfId="0" applyNumberFormat="1" applyFill="1"/>
    <xf numFmtId="182" fontId="0" fillId="0" borderId="0" xfId="0" applyNumberFormat="1" applyAlignment="1">
      <alignment wrapText="1"/>
    </xf>
    <xf numFmtId="182" fontId="0" fillId="0" borderId="0" xfId="0" applyNumberFormat="1"/>
    <xf numFmtId="182" fontId="0" fillId="27" borderId="0" xfId="0" applyNumberFormat="1" applyFill="1"/>
    <xf numFmtId="0" fontId="69" fillId="0" borderId="0" xfId="0" applyFont="1" applyAlignment="1">
      <alignment horizontal="center"/>
    </xf>
    <xf numFmtId="0" fontId="15" fillId="0" borderId="0" xfId="2" applyFont="1" applyFill="1" applyBorder="1" applyAlignment="1" applyProtection="1"/>
    <xf numFmtId="0" fontId="0" fillId="0" borderId="41" xfId="0" applyBorder="1"/>
    <xf numFmtId="0" fontId="0" fillId="0" borderId="4" xfId="0" applyBorder="1"/>
    <xf numFmtId="0" fontId="0" fillId="0" borderId="0" xfId="0" applyBorder="1" applyAlignment="1"/>
    <xf numFmtId="0" fontId="55" fillId="0" borderId="0" xfId="0" applyFont="1" applyBorder="1"/>
    <xf numFmtId="0" fontId="31" fillId="0" borderId="0" xfId="0" applyFont="1" applyBorder="1"/>
    <xf numFmtId="0" fontId="0" fillId="0" borderId="43" xfId="0" applyBorder="1"/>
    <xf numFmtId="0" fontId="0" fillId="0" borderId="5" xfId="0" applyBorder="1"/>
    <xf numFmtId="0" fontId="18" fillId="0" borderId="74" xfId="0" applyFont="1" applyFill="1" applyBorder="1" applyAlignment="1">
      <alignment vertical="top" wrapText="1"/>
    </xf>
    <xf numFmtId="0" fontId="18" fillId="0" borderId="75" xfId="0" applyFont="1" applyBorder="1" applyAlignment="1">
      <alignment vertical="top"/>
    </xf>
    <xf numFmtId="0" fontId="18" fillId="0" borderId="76" xfId="0" applyFont="1" applyBorder="1" applyAlignment="1">
      <alignment vertical="top"/>
    </xf>
    <xf numFmtId="0" fontId="18" fillId="0" borderId="76" xfId="0" applyFont="1" applyBorder="1" applyAlignment="1">
      <alignment horizontal="left" vertical="top"/>
    </xf>
    <xf numFmtId="0" fontId="18" fillId="0" borderId="73" xfId="0" applyFont="1" applyBorder="1" applyAlignment="1">
      <alignment horizontal="right"/>
    </xf>
    <xf numFmtId="0" fontId="42" fillId="0" borderId="32" xfId="5" applyNumberFormat="1" applyFont="1" applyFill="1" applyBorder="1" applyAlignment="1"/>
    <xf numFmtId="0" fontId="76" fillId="0" borderId="0" xfId="0" applyFont="1"/>
    <xf numFmtId="0" fontId="96" fillId="21" borderId="0" xfId="0" applyFont="1" applyFill="1" applyAlignment="1">
      <alignment horizontal="right"/>
    </xf>
    <xf numFmtId="0" fontId="0" fillId="0" borderId="0" xfId="0" applyNumberFormat="1"/>
    <xf numFmtId="0" fontId="0" fillId="9" borderId="0" xfId="0" applyFill="1"/>
    <xf numFmtId="1" fontId="51" fillId="9" borderId="0" xfId="0" applyNumberFormat="1" applyFont="1" applyFill="1"/>
    <xf numFmtId="0" fontId="51" fillId="9" borderId="0" xfId="0" applyFont="1" applyFill="1"/>
    <xf numFmtId="2" fontId="51" fillId="9" borderId="0" xfId="0" applyNumberFormat="1" applyFont="1" applyFill="1"/>
    <xf numFmtId="182" fontId="51" fillId="9" borderId="0" xfId="0" applyNumberFormat="1" applyFont="1" applyFill="1"/>
    <xf numFmtId="0" fontId="51" fillId="9" borderId="0" xfId="0" quotePrefix="1" applyFont="1" applyFill="1"/>
    <xf numFmtId="1" fontId="0" fillId="9" borderId="0" xfId="0" applyNumberFormat="1" applyFill="1"/>
    <xf numFmtId="2" fontId="0" fillId="9" borderId="0" xfId="0" applyNumberFormat="1" applyFill="1"/>
    <xf numFmtId="0" fontId="0" fillId="9" borderId="0" xfId="0" applyNumberFormat="1" applyFill="1"/>
    <xf numFmtId="182" fontId="0" fillId="9" borderId="0" xfId="0" applyNumberFormat="1" applyFill="1"/>
    <xf numFmtId="0" fontId="0" fillId="9" borderId="0" xfId="0" quotePrefix="1" applyFill="1"/>
    <xf numFmtId="0" fontId="0" fillId="31" borderId="0" xfId="0" applyFill="1"/>
    <xf numFmtId="2" fontId="0" fillId="31" borderId="0" xfId="0" applyNumberFormat="1" applyFill="1"/>
    <xf numFmtId="1" fontId="0" fillId="31" borderId="0" xfId="0" applyNumberFormat="1" applyFill="1"/>
    <xf numFmtId="182" fontId="0" fillId="31" borderId="0" xfId="0" applyNumberFormat="1" applyFill="1"/>
    <xf numFmtId="0" fontId="0" fillId="32" borderId="0" xfId="0" applyNumberFormat="1" applyFill="1"/>
    <xf numFmtId="0" fontId="0" fillId="32" borderId="0" xfId="0" applyFill="1"/>
    <xf numFmtId="1" fontId="0" fillId="32" borderId="0" xfId="0" applyNumberFormat="1" applyFill="1"/>
    <xf numFmtId="2" fontId="0" fillId="32" borderId="0" xfId="0" applyNumberFormat="1" applyFill="1"/>
    <xf numFmtId="182" fontId="0" fillId="32" borderId="0" xfId="0" applyNumberFormat="1" applyFill="1"/>
    <xf numFmtId="0" fontId="0" fillId="32" borderId="0" xfId="0" quotePrefix="1" applyFill="1"/>
    <xf numFmtId="0" fontId="0" fillId="33" borderId="0" xfId="0" applyFill="1"/>
    <xf numFmtId="1" fontId="0" fillId="33" borderId="0" xfId="0" applyNumberFormat="1" applyFill="1"/>
    <xf numFmtId="0" fontId="0" fillId="32" borderId="0" xfId="0" applyNumberFormat="1" applyFill="1" applyBorder="1"/>
    <xf numFmtId="0" fontId="0" fillId="32" borderId="0" xfId="0" applyFill="1" applyBorder="1"/>
    <xf numFmtId="2" fontId="0" fillId="32" borderId="0" xfId="0" applyNumberFormat="1" applyFill="1" applyBorder="1"/>
    <xf numFmtId="1" fontId="0" fillId="32" borderId="0" xfId="0" applyNumberFormat="1" applyFill="1" applyBorder="1"/>
    <xf numFmtId="182" fontId="0" fillId="32" borderId="0" xfId="0" applyNumberFormat="1" applyFill="1" applyBorder="1"/>
    <xf numFmtId="0" fontId="0" fillId="32" borderId="0" xfId="0" quotePrefix="1" applyFill="1" applyBorder="1"/>
    <xf numFmtId="0" fontId="98" fillId="0" borderId="0" xfId="0" applyFont="1" applyBorder="1" applyAlignment="1" applyProtection="1">
      <alignment horizontal="left" vertical="top" wrapText="1" indent="1"/>
    </xf>
    <xf numFmtId="0" fontId="31" fillId="0" borderId="0" xfId="0" applyFont="1" applyBorder="1" applyAlignment="1" applyProtection="1">
      <alignment horizontal="left" vertical="top" wrapText="1" indent="1"/>
    </xf>
    <xf numFmtId="0" fontId="13" fillId="0" borderId="0" xfId="0" applyFont="1"/>
    <xf numFmtId="177" fontId="18" fillId="0" borderId="0" xfId="0" applyNumberFormat="1" applyFont="1" applyProtection="1"/>
    <xf numFmtId="177" fontId="0" fillId="0" borderId="0" xfId="0" applyNumberFormat="1"/>
    <xf numFmtId="177" fontId="51" fillId="9" borderId="0" xfId="0" applyNumberFormat="1" applyFont="1" applyFill="1"/>
    <xf numFmtId="177" fontId="0" fillId="9" borderId="0" xfId="0" applyNumberFormat="1" applyFill="1"/>
    <xf numFmtId="177" fontId="0" fillId="32" borderId="0" xfId="0" applyNumberFormat="1" applyFill="1"/>
    <xf numFmtId="177" fontId="0" fillId="32" borderId="0" xfId="0" applyNumberFormat="1" applyFill="1" applyBorder="1"/>
    <xf numFmtId="177" fontId="0" fillId="27" borderId="0" xfId="0" applyNumberFormat="1" applyFill="1"/>
    <xf numFmtId="177" fontId="0" fillId="31" borderId="0" xfId="0" applyNumberFormat="1" applyFill="1"/>
    <xf numFmtId="0" fontId="40" fillId="0" borderId="0" xfId="5" applyNumberFormat="1" applyFont="1" applyFill="1" applyBorder="1" applyAlignment="1">
      <alignment wrapText="1"/>
    </xf>
    <xf numFmtId="0" fontId="100" fillId="0" borderId="0" xfId="5" applyFont="1" applyFill="1"/>
    <xf numFmtId="0" fontId="21" fillId="0" borderId="0" xfId="0" applyFont="1" applyProtection="1"/>
    <xf numFmtId="0" fontId="20" fillId="4" borderId="1" xfId="0" applyFont="1" applyFill="1" applyBorder="1" applyAlignment="1" applyProtection="1">
      <alignment horizontal="center"/>
      <protection locked="0"/>
    </xf>
    <xf numFmtId="0" fontId="20" fillId="14" borderId="1" xfId="0" applyFont="1" applyFill="1" applyBorder="1" applyAlignment="1" applyProtection="1">
      <alignment horizontal="center"/>
    </xf>
    <xf numFmtId="0" fontId="76" fillId="0" borderId="0" xfId="0" applyFont="1" applyAlignment="1">
      <alignment vertical="top" wrapText="1"/>
    </xf>
    <xf numFmtId="0" fontId="40" fillId="34" borderId="32" xfId="5" applyNumberFormat="1" applyFont="1" applyFill="1" applyBorder="1" applyAlignment="1">
      <alignment wrapText="1"/>
    </xf>
    <xf numFmtId="0" fontId="42" fillId="0" borderId="0" xfId="5" applyFont="1" applyFill="1" applyAlignment="1"/>
    <xf numFmtId="0" fontId="101" fillId="0" borderId="0" xfId="5" applyFont="1" applyAlignment="1">
      <alignment horizontal="left"/>
    </xf>
    <xf numFmtId="49" fontId="101" fillId="0" borderId="0" xfId="5" applyNumberFormat="1" applyFont="1" applyAlignment="1">
      <alignment horizontal="left"/>
    </xf>
    <xf numFmtId="0" fontId="101" fillId="0" borderId="0" xfId="5" applyNumberFormat="1" applyFont="1" applyAlignment="1">
      <alignment horizontal="left"/>
    </xf>
    <xf numFmtId="14" fontId="101" fillId="0" borderId="0" xfId="5" applyNumberFormat="1" applyFont="1" applyAlignment="1">
      <alignment horizontal="left"/>
    </xf>
    <xf numFmtId="4" fontId="101" fillId="0" borderId="0" xfId="5" applyNumberFormat="1" applyFont="1" applyAlignment="1">
      <alignment horizontal="left"/>
    </xf>
    <xf numFmtId="0" fontId="101" fillId="0" borderId="0" xfId="5" applyFont="1"/>
    <xf numFmtId="0" fontId="101" fillId="0" borderId="0" xfId="5" applyFont="1" applyAlignment="1">
      <alignment wrapText="1"/>
    </xf>
    <xf numFmtId="0" fontId="101" fillId="0" borderId="31" xfId="5" applyNumberFormat="1" applyFont="1" applyFill="1" applyBorder="1" applyAlignment="1"/>
    <xf numFmtId="0" fontId="101" fillId="0" borderId="0" xfId="5" applyFont="1" applyFill="1"/>
    <xf numFmtId="0" fontId="13" fillId="0" borderId="0" xfId="5" applyFont="1" applyFill="1" applyAlignment="1">
      <alignment horizontal="left"/>
    </xf>
    <xf numFmtId="49" fontId="13" fillId="0" borderId="0" xfId="5" applyNumberFormat="1" applyFont="1" applyFill="1" applyAlignment="1">
      <alignment horizontal="left"/>
    </xf>
    <xf numFmtId="0" fontId="13" fillId="0" borderId="0" xfId="5" applyNumberFormat="1" applyFont="1" applyFill="1" applyAlignment="1">
      <alignment horizontal="left"/>
    </xf>
    <xf numFmtId="14" fontId="13" fillId="0" borderId="0" xfId="5" applyNumberFormat="1" applyFont="1" applyFill="1" applyAlignment="1">
      <alignment horizontal="left"/>
    </xf>
    <xf numFmtId="4" fontId="13" fillId="0" borderId="0" xfId="5" applyNumberFormat="1" applyFont="1" applyFill="1" applyAlignment="1">
      <alignment horizontal="left"/>
    </xf>
    <xf numFmtId="0" fontId="102" fillId="0" borderId="0" xfId="5" applyNumberFormat="1" applyFont="1" applyFill="1" applyBorder="1" applyAlignment="1">
      <alignment wrapText="1"/>
    </xf>
    <xf numFmtId="0" fontId="13" fillId="0" borderId="0" xfId="5" applyNumberFormat="1" applyFont="1" applyFill="1" applyBorder="1" applyAlignment="1">
      <alignment wrapText="1"/>
    </xf>
    <xf numFmtId="0" fontId="101" fillId="35" borderId="31" xfId="5" applyNumberFormat="1" applyFont="1" applyFill="1" applyBorder="1" applyAlignment="1"/>
    <xf numFmtId="0" fontId="101" fillId="0" borderId="31" xfId="5" applyNumberFormat="1" applyFont="1" applyBorder="1" applyAlignment="1"/>
    <xf numFmtId="0" fontId="101" fillId="35" borderId="89" xfId="5" applyNumberFormat="1" applyFont="1" applyFill="1" applyBorder="1" applyAlignment="1"/>
    <xf numFmtId="0" fontId="101" fillId="0" borderId="89" xfId="5" applyNumberFormat="1" applyFont="1" applyBorder="1" applyAlignment="1"/>
    <xf numFmtId="0" fontId="101" fillId="35" borderId="90" xfId="5" applyNumberFormat="1" applyFont="1" applyFill="1" applyBorder="1" applyAlignment="1"/>
    <xf numFmtId="0" fontId="101" fillId="0" borderId="90" xfId="5" applyNumberFormat="1" applyFont="1" applyBorder="1" applyAlignment="1"/>
    <xf numFmtId="0" fontId="69" fillId="0" borderId="0" xfId="0" applyFont="1" applyAlignment="1" applyProtection="1">
      <alignment horizontal="left" vertical="center" wrapText="1"/>
    </xf>
    <xf numFmtId="0" fontId="68" fillId="0" borderId="0" xfId="0" applyFont="1" applyAlignment="1" applyProtection="1">
      <alignment horizontal="center"/>
    </xf>
    <xf numFmtId="0" fontId="18" fillId="0" borderId="41" xfId="0" applyFont="1" applyBorder="1" applyProtection="1"/>
    <xf numFmtId="0" fontId="18" fillId="0" borderId="4" xfId="0" applyFont="1" applyBorder="1" applyProtection="1"/>
    <xf numFmtId="0" fontId="18" fillId="0" borderId="43" xfId="0" applyFont="1" applyBorder="1" applyProtection="1"/>
    <xf numFmtId="0" fontId="18" fillId="0" borderId="25" xfId="0" applyFont="1" applyBorder="1" applyProtection="1"/>
    <xf numFmtId="0" fontId="18" fillId="0" borderId="5" xfId="0" applyFont="1" applyBorder="1" applyProtection="1"/>
    <xf numFmtId="0" fontId="18" fillId="21" borderId="0" xfId="0" applyFont="1" applyFill="1" applyProtection="1"/>
    <xf numFmtId="0" fontId="18" fillId="36" borderId="0" xfId="0" applyFont="1" applyFill="1" applyProtection="1"/>
    <xf numFmtId="0" fontId="63" fillId="37" borderId="0" xfId="0" applyFont="1" applyFill="1" applyAlignment="1" applyProtection="1">
      <alignment vertical="center" wrapText="1"/>
    </xf>
    <xf numFmtId="0" fontId="18" fillId="38" borderId="0" xfId="0" applyFont="1" applyFill="1" applyProtection="1"/>
    <xf numFmtId="0" fontId="52" fillId="37" borderId="0" xfId="0" applyFont="1" applyFill="1" applyAlignment="1" applyProtection="1">
      <alignment vertical="center" wrapText="1"/>
    </xf>
    <xf numFmtId="0" fontId="57" fillId="37" borderId="0" xfId="0" applyFont="1" applyFill="1" applyAlignment="1" applyProtection="1">
      <alignment vertical="top"/>
    </xf>
    <xf numFmtId="0" fontId="32" fillId="37" borderId="0" xfId="0" applyFont="1" applyFill="1" applyAlignment="1" applyProtection="1">
      <alignment vertical="top"/>
    </xf>
    <xf numFmtId="0" fontId="57" fillId="37" borderId="0" xfId="0" applyFont="1" applyFill="1" applyAlignment="1" applyProtection="1">
      <alignment horizontal="left" vertical="top"/>
    </xf>
    <xf numFmtId="0" fontId="17" fillId="38" borderId="0" xfId="0" applyFont="1" applyFill="1" applyAlignment="1" applyProtection="1">
      <alignment horizontal="left" vertical="top"/>
    </xf>
    <xf numFmtId="0" fontId="18" fillId="38" borderId="0" xfId="0" applyFont="1" applyFill="1" applyAlignment="1" applyProtection="1">
      <alignment horizontal="left" vertical="top"/>
    </xf>
    <xf numFmtId="0" fontId="18" fillId="0" borderId="0" xfId="0" applyFont="1" applyAlignment="1" applyProtection="1">
      <alignment vertical="top" wrapText="1"/>
    </xf>
    <xf numFmtId="0" fontId="18" fillId="0" borderId="0" xfId="0" applyFont="1" applyAlignment="1" applyProtection="1">
      <alignment horizontal="left" vertical="top" wrapText="1"/>
    </xf>
    <xf numFmtId="0" fontId="65" fillId="21" borderId="0" xfId="0" applyFont="1" applyFill="1" applyProtection="1"/>
    <xf numFmtId="0" fontId="96" fillId="21" borderId="0" xfId="0" applyFont="1" applyFill="1" applyAlignment="1" applyProtection="1">
      <alignment horizontal="right"/>
    </xf>
    <xf numFmtId="0" fontId="66" fillId="21" borderId="0" xfId="1" applyFont="1" applyFill="1" applyProtection="1"/>
    <xf numFmtId="0" fontId="65" fillId="21" borderId="0" xfId="0" applyFont="1" applyFill="1" applyAlignment="1" applyProtection="1">
      <alignment wrapText="1"/>
    </xf>
    <xf numFmtId="0" fontId="65" fillId="21" borderId="0" xfId="0" applyFont="1" applyFill="1" applyAlignment="1" applyProtection="1">
      <alignment horizontal="center"/>
    </xf>
    <xf numFmtId="0" fontId="18" fillId="9" borderId="0" xfId="0" applyFont="1" applyFill="1" applyProtection="1"/>
    <xf numFmtId="0" fontId="18" fillId="0" borderId="25" xfId="2" applyFont="1" applyBorder="1" applyAlignment="1" applyProtection="1"/>
    <xf numFmtId="166" fontId="18" fillId="0" borderId="25" xfId="2" applyNumberFormat="1" applyFont="1" applyBorder="1" applyAlignment="1" applyProtection="1"/>
    <xf numFmtId="0" fontId="18" fillId="0" borderId="0" xfId="0" applyFont="1" applyAlignment="1" applyProtection="1">
      <alignment horizontal="left" vertical="top"/>
    </xf>
    <xf numFmtId="166" fontId="18" fillId="0" borderId="25" xfId="2" applyNumberFormat="1" applyFont="1" applyBorder="1" applyAlignment="1" applyProtection="1">
      <alignment shrinkToFit="1"/>
    </xf>
    <xf numFmtId="3" fontId="21" fillId="0" borderId="25" xfId="2" applyNumberFormat="1" applyFont="1" applyFill="1" applyBorder="1" applyAlignment="1" applyProtection="1"/>
    <xf numFmtId="0" fontId="18" fillId="6" borderId="25" xfId="0" applyFont="1" applyFill="1" applyBorder="1" applyAlignment="1" applyProtection="1"/>
    <xf numFmtId="0" fontId="109" fillId="0" borderId="0" xfId="0" applyFont="1" applyAlignment="1" applyProtection="1">
      <alignment vertical="center"/>
    </xf>
    <xf numFmtId="0" fontId="34" fillId="7" borderId="0" xfId="2" applyFont="1" applyFill="1" applyBorder="1" applyAlignment="1" applyProtection="1"/>
    <xf numFmtId="0" fontId="18" fillId="0" borderId="0" xfId="0" applyFont="1" applyAlignment="1" applyProtection="1">
      <alignment vertical="top"/>
    </xf>
    <xf numFmtId="0" fontId="26" fillId="0" borderId="0" xfId="2" applyFont="1" applyBorder="1" applyAlignment="1" applyProtection="1">
      <alignment vertical="top" wrapText="1"/>
    </xf>
    <xf numFmtId="14" fontId="18" fillId="0" borderId="25" xfId="2" applyNumberFormat="1" applyFont="1" applyFill="1" applyBorder="1" applyAlignment="1" applyProtection="1"/>
    <xf numFmtId="0" fontId="25" fillId="0" borderId="22" xfId="2" applyFont="1" applyFill="1" applyBorder="1" applyAlignment="1" applyProtection="1"/>
    <xf numFmtId="0" fontId="25" fillId="0" borderId="0" xfId="2" applyFont="1" applyFill="1" applyBorder="1" applyAlignment="1" applyProtection="1"/>
    <xf numFmtId="0" fontId="24" fillId="0" borderId="25" xfId="2" applyFont="1" applyBorder="1" applyAlignment="1" applyProtection="1"/>
    <xf numFmtId="0" fontId="32" fillId="0" borderId="25" xfId="0" applyFont="1" applyFill="1" applyBorder="1" applyAlignment="1" applyProtection="1"/>
    <xf numFmtId="0" fontId="20" fillId="0" borderId="0" xfId="0" applyFont="1" applyBorder="1" applyAlignment="1" applyProtection="1"/>
    <xf numFmtId="0" fontId="32" fillId="0" borderId="25" xfId="2" applyFont="1" applyFill="1" applyBorder="1" applyAlignment="1" applyProtection="1"/>
    <xf numFmtId="0" fontId="32" fillId="0" borderId="0" xfId="2" applyFont="1" applyFill="1" applyBorder="1" applyAlignment="1" applyProtection="1"/>
    <xf numFmtId="0" fontId="23" fillId="4" borderId="0" xfId="4" applyFont="1" applyFill="1" applyBorder="1" applyAlignment="1" applyProtection="1"/>
    <xf numFmtId="0" fontId="14" fillId="0" borderId="0" xfId="4" applyBorder="1" applyProtection="1"/>
    <xf numFmtId="0" fontId="18" fillId="0" borderId="0" xfId="0" applyFont="1" applyAlignment="1">
      <alignment horizontal="right"/>
    </xf>
    <xf numFmtId="0" fontId="74" fillId="0" borderId="0" xfId="0" applyFont="1" applyAlignment="1">
      <alignment horizontal="center"/>
    </xf>
    <xf numFmtId="0" fontId="18" fillId="0" borderId="0" xfId="0" applyFont="1" applyAlignment="1">
      <alignment horizontal="left"/>
    </xf>
    <xf numFmtId="0" fontId="18" fillId="0" borderId="0" xfId="0" applyFont="1" applyBorder="1" applyAlignment="1" applyProtection="1">
      <alignment horizontal="left" vertical="top" wrapText="1"/>
      <protection locked="0"/>
    </xf>
    <xf numFmtId="0" fontId="18" fillId="0" borderId="0" xfId="0" applyFont="1" applyAlignment="1" applyProtection="1">
      <alignment horizontal="left"/>
    </xf>
    <xf numFmtId="0" fontId="18" fillId="0" borderId="0" xfId="0" applyFont="1" applyAlignment="1">
      <alignment horizontal="center"/>
    </xf>
    <xf numFmtId="0" fontId="35" fillId="0" borderId="0" xfId="5" applyFont="1" applyAlignment="1">
      <alignment horizontal="left"/>
    </xf>
    <xf numFmtId="49" fontId="35" fillId="0" borderId="0" xfId="5" applyNumberFormat="1" applyFont="1" applyAlignment="1">
      <alignment horizontal="left"/>
    </xf>
    <xf numFmtId="0" fontId="35" fillId="0" borderId="0" xfId="5" applyNumberFormat="1" applyFont="1" applyAlignment="1">
      <alignment horizontal="left"/>
    </xf>
    <xf numFmtId="14" fontId="35" fillId="0" borderId="0" xfId="5" applyNumberFormat="1" applyFont="1" applyAlignment="1">
      <alignment horizontal="left"/>
    </xf>
    <xf numFmtId="0" fontId="35" fillId="0" borderId="0" xfId="5" applyFont="1" applyFill="1"/>
    <xf numFmtId="0" fontId="35" fillId="0" borderId="0" xfId="5" applyFont="1" applyAlignment="1">
      <alignment wrapText="1"/>
    </xf>
    <xf numFmtId="0" fontId="35" fillId="0" borderId="0" xfId="5" applyFont="1" applyFill="1" applyAlignment="1">
      <alignment wrapText="1"/>
    </xf>
    <xf numFmtId="0" fontId="76" fillId="9" borderId="42" xfId="0" applyFont="1" applyFill="1" applyBorder="1"/>
    <xf numFmtId="0" fontId="76" fillId="9" borderId="22" xfId="0" applyFont="1" applyFill="1" applyBorder="1"/>
    <xf numFmtId="0" fontId="76" fillId="9" borderId="3" xfId="0" applyFont="1" applyFill="1" applyBorder="1"/>
    <xf numFmtId="0" fontId="76" fillId="9" borderId="41" xfId="0" applyFont="1" applyFill="1" applyBorder="1"/>
    <xf numFmtId="0" fontId="76" fillId="9" borderId="0" xfId="0" applyFont="1" applyFill="1" applyBorder="1"/>
    <xf numFmtId="0" fontId="76" fillId="9" borderId="4" xfId="0" applyFont="1" applyFill="1" applyBorder="1"/>
    <xf numFmtId="0" fontId="76" fillId="0" borderId="42" xfId="0" applyFont="1" applyBorder="1"/>
    <xf numFmtId="0" fontId="76" fillId="0" borderId="22" xfId="0" applyFont="1" applyBorder="1"/>
    <xf numFmtId="0" fontId="76" fillId="0" borderId="3" xfId="0" applyFont="1" applyBorder="1"/>
    <xf numFmtId="0" fontId="114" fillId="0" borderId="0" xfId="0" applyFont="1" applyBorder="1"/>
    <xf numFmtId="0" fontId="76" fillId="0" borderId="0" xfId="0" applyFont="1" applyBorder="1"/>
    <xf numFmtId="0" fontId="76" fillId="0" borderId="4" xfId="0" applyFont="1" applyBorder="1"/>
    <xf numFmtId="0" fontId="76" fillId="0" borderId="41" xfId="0" applyFont="1" applyBorder="1"/>
    <xf numFmtId="0" fontId="115" fillId="0" borderId="0" xfId="0" applyFont="1" applyBorder="1"/>
    <xf numFmtId="0" fontId="76" fillId="0" borderId="4" xfId="0" applyFont="1" applyBorder="1" applyAlignment="1">
      <alignment vertical="top" wrapText="1"/>
    </xf>
    <xf numFmtId="0" fontId="76" fillId="0" borderId="41" xfId="0" applyFont="1" applyBorder="1" applyAlignment="1">
      <alignment vertical="top" wrapText="1"/>
    </xf>
    <xf numFmtId="0" fontId="76" fillId="0" borderId="0" xfId="0" applyFont="1" applyBorder="1" applyAlignment="1">
      <alignment vertical="top"/>
    </xf>
    <xf numFmtId="0" fontId="76" fillId="0" borderId="0" xfId="0" applyFont="1" applyBorder="1" applyAlignment="1">
      <alignment vertical="top" wrapText="1"/>
    </xf>
    <xf numFmtId="0" fontId="116" fillId="0" borderId="0" xfId="0" applyFont="1" applyBorder="1" applyAlignment="1">
      <alignment horizontal="right" vertical="center"/>
    </xf>
    <xf numFmtId="0" fontId="76" fillId="0" borderId="0" xfId="0" applyFont="1" applyBorder="1" applyAlignment="1">
      <alignment horizontal="left" vertical="top" wrapText="1"/>
    </xf>
    <xf numFmtId="0" fontId="117" fillId="0" borderId="0" xfId="0" applyFont="1" applyBorder="1" applyAlignment="1">
      <alignment horizontal="left" vertical="top"/>
    </xf>
    <xf numFmtId="0" fontId="118" fillId="0" borderId="0" xfId="0" applyFont="1" applyBorder="1" applyAlignment="1">
      <alignment horizontal="left" vertical="top"/>
    </xf>
    <xf numFmtId="0" fontId="117" fillId="0" borderId="0" xfId="0" applyFont="1" applyBorder="1" applyAlignment="1">
      <alignment vertical="top"/>
    </xf>
    <xf numFmtId="0" fontId="117" fillId="0" borderId="0" xfId="0" applyFont="1" applyBorder="1" applyAlignment="1">
      <alignment vertical="top" wrapText="1"/>
    </xf>
    <xf numFmtId="0" fontId="119" fillId="0" borderId="0" xfId="0" applyFont="1" applyBorder="1" applyAlignment="1">
      <alignment horizontal="right" vertical="center"/>
    </xf>
    <xf numFmtId="0" fontId="76" fillId="0" borderId="25" xfId="0" applyFont="1" applyBorder="1"/>
    <xf numFmtId="0" fontId="76" fillId="0" borderId="5" xfId="0" applyFont="1" applyBorder="1"/>
    <xf numFmtId="0" fontId="0" fillId="32" borderId="41" xfId="0" applyFill="1" applyBorder="1"/>
    <xf numFmtId="0" fontId="76" fillId="32" borderId="0" xfId="0" applyFont="1" applyFill="1" applyBorder="1"/>
    <xf numFmtId="0" fontId="76" fillId="32" borderId="4" xfId="0" applyFont="1" applyFill="1" applyBorder="1"/>
    <xf numFmtId="0" fontId="0" fillId="32" borderId="43" xfId="0" applyFill="1" applyBorder="1"/>
    <xf numFmtId="0" fontId="76" fillId="32" borderId="25" xfId="0" applyFont="1" applyFill="1" applyBorder="1"/>
    <xf numFmtId="0" fontId="76" fillId="32" borderId="5" xfId="0" applyFont="1" applyFill="1" applyBorder="1"/>
    <xf numFmtId="0" fontId="0" fillId="9" borderId="42" xfId="0" applyFill="1" applyBorder="1"/>
    <xf numFmtId="0" fontId="0" fillId="9" borderId="41" xfId="0" applyFill="1" applyBorder="1"/>
    <xf numFmtId="0" fontId="0" fillId="0" borderId="42" xfId="0" applyBorder="1"/>
    <xf numFmtId="0" fontId="103" fillId="0" borderId="0" xfId="0" applyFont="1" applyBorder="1" applyAlignment="1">
      <alignment vertical="center"/>
    </xf>
    <xf numFmtId="0" fontId="76" fillId="0" borderId="0" xfId="0" applyFont="1" applyBorder="1" applyAlignment="1"/>
    <xf numFmtId="0" fontId="103" fillId="0" borderId="0" xfId="0" applyFont="1" applyFill="1" applyBorder="1" applyAlignment="1">
      <alignment horizontal="left" vertical="top" wrapText="1"/>
    </xf>
    <xf numFmtId="0" fontId="117" fillId="0" borderId="0" xfId="0" applyFont="1" applyFill="1" applyBorder="1" applyAlignment="1">
      <alignment horizontal="left" vertical="top"/>
    </xf>
    <xf numFmtId="0" fontId="18" fillId="0" borderId="0" xfId="0" applyFont="1" applyAlignment="1">
      <alignment horizontal="left"/>
    </xf>
    <xf numFmtId="0" fontId="0" fillId="0" borderId="0" xfId="0" applyAlignment="1">
      <alignment horizontal="left"/>
    </xf>
    <xf numFmtId="0" fontId="69" fillId="0" borderId="0" xfId="0" applyFont="1" applyAlignment="1">
      <alignment vertical="top" wrapText="1"/>
    </xf>
    <xf numFmtId="0" fontId="0" fillId="0" borderId="0" xfId="0" quotePrefix="1"/>
    <xf numFmtId="0" fontId="18" fillId="0" borderId="76" xfId="0" applyFont="1" applyFill="1" applyBorder="1" applyAlignment="1">
      <alignment vertical="top" wrapText="1"/>
    </xf>
    <xf numFmtId="0" fontId="18" fillId="0" borderId="77" xfId="0" applyFont="1" applyFill="1" applyBorder="1" applyAlignment="1">
      <alignment vertical="top" wrapText="1"/>
    </xf>
    <xf numFmtId="0" fontId="18" fillId="0" borderId="0" xfId="0" applyFont="1" applyBorder="1" applyAlignment="1" applyProtection="1">
      <alignment horizontal="left"/>
      <protection locked="0"/>
    </xf>
    <xf numFmtId="0" fontId="136" fillId="0" borderId="0" xfId="0" applyFont="1"/>
    <xf numFmtId="0" fontId="18" fillId="0" borderId="83" xfId="0" applyFont="1" applyBorder="1" applyAlignment="1"/>
    <xf numFmtId="0" fontId="90" fillId="0" borderId="0" xfId="0" applyFont="1" applyBorder="1" applyAlignment="1">
      <alignment horizontal="right" vertical="center"/>
    </xf>
    <xf numFmtId="0" fontId="32" fillId="0" borderId="0" xfId="0" applyFont="1" applyBorder="1" applyAlignment="1">
      <alignment horizontal="left" vertical="top"/>
    </xf>
    <xf numFmtId="0" fontId="138" fillId="0" borderId="0" xfId="0" applyFont="1" applyBorder="1" applyAlignment="1">
      <alignment vertical="center"/>
    </xf>
    <xf numFmtId="0" fontId="18" fillId="0" borderId="0" xfId="0" applyFont="1" applyBorder="1" applyAlignment="1"/>
    <xf numFmtId="0" fontId="104" fillId="0" borderId="0" xfId="0" applyFont="1"/>
    <xf numFmtId="0" fontId="18" fillId="0" borderId="0" xfId="0" applyFont="1" applyFill="1" applyProtection="1"/>
    <xf numFmtId="0" fontId="18" fillId="0" borderId="0" xfId="0" applyFont="1" applyFill="1" applyAlignment="1" applyProtection="1">
      <alignment horizontal="right"/>
    </xf>
    <xf numFmtId="0" fontId="18" fillId="41" borderId="42" xfId="0" applyFont="1" applyFill="1" applyBorder="1"/>
    <xf numFmtId="0" fontId="18" fillId="41" borderId="22" xfId="0" applyFont="1" applyFill="1" applyBorder="1"/>
    <xf numFmtId="0" fontId="18" fillId="41" borderId="3" xfId="0" applyFont="1" applyFill="1" applyBorder="1"/>
    <xf numFmtId="0" fontId="18" fillId="41" borderId="41" xfId="0" applyFont="1" applyFill="1" applyBorder="1"/>
    <xf numFmtId="0" fontId="18" fillId="41" borderId="0" xfId="0" applyFont="1" applyFill="1" applyBorder="1"/>
    <xf numFmtId="0" fontId="18" fillId="41" borderId="4" xfId="0" applyFont="1" applyFill="1" applyBorder="1"/>
    <xf numFmtId="0" fontId="18" fillId="41" borderId="41" xfId="0" applyFont="1" applyFill="1" applyBorder="1" applyAlignment="1">
      <alignment horizontal="right"/>
    </xf>
    <xf numFmtId="0" fontId="18" fillId="41" borderId="41" xfId="0" applyFont="1" applyFill="1" applyBorder="1" applyAlignment="1">
      <alignment vertical="top"/>
    </xf>
    <xf numFmtId="0" fontId="18" fillId="41" borderId="0" xfId="0" applyFont="1" applyFill="1" applyBorder="1" applyAlignment="1">
      <alignment horizontal="right"/>
    </xf>
    <xf numFmtId="0" fontId="18" fillId="41" borderId="43" xfId="0" applyFont="1" applyFill="1" applyBorder="1"/>
    <xf numFmtId="0" fontId="18" fillId="41" borderId="25" xfId="0" applyFont="1" applyFill="1" applyBorder="1"/>
    <xf numFmtId="0" fontId="18" fillId="41" borderId="5" xfId="0" applyFont="1" applyFill="1" applyBorder="1"/>
    <xf numFmtId="0" fontId="18" fillId="0" borderId="0" xfId="0" applyFont="1" applyBorder="1" applyAlignment="1">
      <alignment horizontal="left"/>
    </xf>
    <xf numFmtId="0" fontId="65" fillId="0" borderId="0" xfId="0" applyFont="1" applyBorder="1" applyAlignment="1">
      <alignment horizontal="left"/>
    </xf>
    <xf numFmtId="0" fontId="139" fillId="0" borderId="0" xfId="0" applyFont="1" applyBorder="1" applyAlignment="1">
      <alignment horizontal="left"/>
    </xf>
    <xf numFmtId="0" fontId="142" fillId="0" borderId="0" xfId="0" applyFont="1" applyBorder="1" applyAlignment="1">
      <alignment horizontal="left"/>
    </xf>
    <xf numFmtId="0" fontId="143" fillId="0" borderId="0" xfId="0" applyFont="1" applyBorder="1" applyAlignment="1">
      <alignment horizontal="left"/>
    </xf>
    <xf numFmtId="0" fontId="144" fillId="0" borderId="0" xfId="0" applyFont="1" applyBorder="1" applyAlignment="1">
      <alignment horizontal="left"/>
    </xf>
    <xf numFmtId="0" fontId="31" fillId="0" borderId="0" xfId="0" applyFont="1" applyBorder="1" applyAlignment="1">
      <alignment horizontal="left"/>
    </xf>
    <xf numFmtId="0" fontId="145" fillId="0" borderId="0" xfId="0" applyFont="1" applyBorder="1" applyAlignment="1">
      <alignment horizontal="left"/>
    </xf>
    <xf numFmtId="0" fontId="146" fillId="0" borderId="0" xfId="0" applyFont="1" applyBorder="1" applyAlignment="1">
      <alignment horizontal="left"/>
    </xf>
    <xf numFmtId="0" fontId="142" fillId="0" borderId="0" xfId="0" applyFont="1" applyAlignment="1">
      <alignment horizontal="left"/>
    </xf>
    <xf numFmtId="0" fontId="147" fillId="0" borderId="0" xfId="0" applyFont="1" applyBorder="1" applyAlignment="1">
      <alignment horizontal="left"/>
    </xf>
    <xf numFmtId="0" fontId="148" fillId="0" borderId="0" xfId="0" applyFont="1" applyBorder="1" applyAlignment="1">
      <alignment horizontal="left"/>
    </xf>
    <xf numFmtId="0" fontId="149" fillId="0" borderId="0" xfId="0" applyFont="1" applyBorder="1" applyAlignment="1">
      <alignment horizontal="left"/>
    </xf>
    <xf numFmtId="0" fontId="140" fillId="0" borderId="0" xfId="0" applyFont="1" applyBorder="1" applyAlignment="1">
      <alignment horizontal="left"/>
    </xf>
    <xf numFmtId="0" fontId="150" fillId="0" borderId="0" xfId="0" applyFont="1" applyBorder="1" applyAlignment="1">
      <alignment horizontal="left"/>
    </xf>
    <xf numFmtId="0" fontId="140" fillId="0" borderId="0" xfId="0" applyFont="1" applyAlignment="1">
      <alignment horizontal="left"/>
    </xf>
    <xf numFmtId="0" fontId="151" fillId="0" borderId="0" xfId="0" applyFont="1" applyAlignment="1">
      <alignment horizontal="left"/>
    </xf>
    <xf numFmtId="0" fontId="152" fillId="0" borderId="0" xfId="0" applyFont="1" applyBorder="1" applyAlignment="1">
      <alignment horizontal="left" wrapText="1"/>
    </xf>
    <xf numFmtId="0" fontId="69" fillId="0" borderId="0" xfId="0" applyFont="1" applyBorder="1" applyAlignment="1">
      <alignment horizontal="left"/>
    </xf>
    <xf numFmtId="0" fontId="153" fillId="0" borderId="0" xfId="0" applyFont="1" applyBorder="1" applyAlignment="1">
      <alignment horizontal="left"/>
    </xf>
    <xf numFmtId="0" fontId="154" fillId="0" borderId="0" xfId="0" applyFont="1" applyBorder="1" applyAlignment="1">
      <alignment horizontal="left"/>
    </xf>
    <xf numFmtId="0" fontId="105" fillId="0" borderId="0" xfId="0" applyFont="1" applyBorder="1" applyAlignment="1">
      <alignment horizontal="left"/>
    </xf>
    <xf numFmtId="0" fontId="155" fillId="0" borderId="0" xfId="0" applyFont="1" applyBorder="1" applyAlignment="1">
      <alignment horizontal="left"/>
    </xf>
    <xf numFmtId="0" fontId="32" fillId="0" borderId="0" xfId="0" applyFont="1" applyBorder="1" applyAlignment="1">
      <alignment horizontal="left"/>
    </xf>
    <xf numFmtId="0" fontId="152" fillId="0" borderId="0" xfId="0" applyFont="1" applyBorder="1" applyAlignment="1">
      <alignment horizontal="left"/>
    </xf>
    <xf numFmtId="49" fontId="18" fillId="0" borderId="18" xfId="0" applyNumberFormat="1" applyFont="1" applyBorder="1" applyAlignment="1" applyProtection="1">
      <alignment horizontal="center"/>
      <protection locked="0"/>
    </xf>
    <xf numFmtId="1" fontId="18" fillId="0" borderId="93" xfId="0" applyNumberFormat="1" applyFont="1" applyBorder="1" applyAlignment="1" applyProtection="1">
      <alignment horizontal="center"/>
    </xf>
    <xf numFmtId="0" fontId="156" fillId="0" borderId="0" xfId="0" applyFont="1" applyAlignment="1">
      <alignment horizontal="left" vertical="center" wrapText="1"/>
    </xf>
    <xf numFmtId="0" fontId="70" fillId="0" borderId="0" xfId="0" applyFont="1" applyAlignment="1">
      <alignment horizontal="left"/>
    </xf>
    <xf numFmtId="0" fontId="35" fillId="0" borderId="0" xfId="5" applyFont="1" applyFill="1" applyAlignment="1">
      <alignment horizontal="left"/>
    </xf>
    <xf numFmtId="49" fontId="35" fillId="0" borderId="0" xfId="5" applyNumberFormat="1" applyFont="1" applyFill="1" applyAlignment="1">
      <alignment horizontal="left"/>
    </xf>
    <xf numFmtId="0" fontId="35" fillId="0" borderId="0" xfId="5" applyNumberFormat="1" applyFont="1" applyFill="1" applyAlignment="1">
      <alignment horizontal="left"/>
    </xf>
    <xf numFmtId="14" fontId="35" fillId="0" borderId="0" xfId="5" applyNumberFormat="1" applyFont="1" applyFill="1" applyAlignment="1">
      <alignment horizontal="left"/>
    </xf>
    <xf numFmtId="4" fontId="35" fillId="0" borderId="0" xfId="5" applyNumberFormat="1" applyFont="1" applyFill="1" applyAlignment="1">
      <alignment horizontal="left"/>
    </xf>
    <xf numFmtId="0" fontId="0" fillId="0" borderId="0" xfId="0" quotePrefix="1" applyNumberFormat="1"/>
    <xf numFmtId="0" fontId="18" fillId="0" borderId="0" xfId="0" applyFont="1" applyAlignment="1">
      <alignment horizontal="right"/>
    </xf>
    <xf numFmtId="0" fontId="160" fillId="0" borderId="0" xfId="0" applyFont="1" applyAlignment="1">
      <alignment vertical="center"/>
    </xf>
    <xf numFmtId="14" fontId="161" fillId="0" borderId="1" xfId="0" applyNumberFormat="1" applyFont="1" applyBorder="1" applyAlignment="1">
      <alignment horizontal="center"/>
    </xf>
    <xf numFmtId="0" fontId="161" fillId="0" borderId="1" xfId="0" applyFont="1" applyBorder="1" applyAlignment="1">
      <alignment horizontal="center" wrapText="1"/>
    </xf>
    <xf numFmtId="49" fontId="161" fillId="0" borderId="1" xfId="0" applyNumberFormat="1" applyFont="1" applyBorder="1" applyAlignment="1">
      <alignment horizontal="left" wrapText="1"/>
    </xf>
    <xf numFmtId="0" fontId="161" fillId="0" borderId="1" xfId="0" applyFont="1" applyBorder="1" applyAlignment="1">
      <alignment horizontal="left" vertical="center" wrapText="1"/>
    </xf>
    <xf numFmtId="0" fontId="141" fillId="0" borderId="0" xfId="0" applyFont="1" applyAlignment="1"/>
    <xf numFmtId="0" fontId="150" fillId="0" borderId="0" xfId="0" applyFont="1" applyBorder="1" applyAlignment="1">
      <alignment wrapText="1"/>
    </xf>
    <xf numFmtId="0" fontId="18" fillId="9" borderId="0" xfId="0" applyFont="1" applyFill="1" applyBorder="1" applyProtection="1"/>
    <xf numFmtId="0" fontId="18" fillId="32" borderId="0" xfId="0" applyFont="1" applyFill="1" applyBorder="1" applyProtection="1"/>
    <xf numFmtId="0" fontId="141" fillId="0" borderId="0" xfId="0" applyFont="1" applyBorder="1" applyAlignment="1"/>
    <xf numFmtId="0" fontId="141" fillId="0" borderId="4" xfId="0" applyFont="1" applyBorder="1" applyAlignment="1"/>
    <xf numFmtId="0" fontId="18" fillId="0" borderId="4" xfId="0" applyFont="1" applyBorder="1" applyAlignment="1">
      <alignment horizontal="left"/>
    </xf>
    <xf numFmtId="0" fontId="142" fillId="0" borderId="4" xfId="0" applyFont="1" applyBorder="1" applyAlignment="1">
      <alignment horizontal="left"/>
    </xf>
    <xf numFmtId="0" fontId="140" fillId="0" borderId="4" xfId="0" applyFont="1" applyBorder="1" applyAlignment="1">
      <alignment horizontal="left"/>
    </xf>
    <xf numFmtId="0" fontId="150" fillId="0" borderId="4" xfId="0" applyFont="1" applyBorder="1" applyAlignment="1">
      <alignment wrapText="1"/>
    </xf>
    <xf numFmtId="1" fontId="65" fillId="0" borderId="0" xfId="0" applyNumberFormat="1" applyFont="1" applyBorder="1" applyAlignment="1">
      <alignment horizontal="left"/>
    </xf>
    <xf numFmtId="0" fontId="69" fillId="0" borderId="4" xfId="0" applyFont="1" applyBorder="1" applyAlignment="1">
      <alignment horizontal="left"/>
    </xf>
    <xf numFmtId="0" fontId="162" fillId="0" borderId="0" xfId="0" applyFont="1" applyBorder="1" applyAlignment="1">
      <alignment horizontal="left"/>
    </xf>
    <xf numFmtId="0" fontId="12" fillId="9" borderId="0" xfId="1" applyNumberFormat="1" applyFill="1"/>
    <xf numFmtId="0" fontId="51" fillId="9" borderId="0" xfId="0" applyNumberFormat="1" applyFont="1" applyFill="1"/>
    <xf numFmtId="0" fontId="12" fillId="32" borderId="0" xfId="1" applyNumberFormat="1" applyFill="1"/>
    <xf numFmtId="0" fontId="12" fillId="32" borderId="0" xfId="1" applyNumberFormat="1" applyFill="1" applyBorder="1"/>
    <xf numFmtId="0" fontId="0" fillId="46" borderId="0" xfId="0" applyFill="1"/>
    <xf numFmtId="49" fontId="51" fillId="0" borderId="0" xfId="0" applyNumberFormat="1" applyFont="1"/>
    <xf numFmtId="0" fontId="51" fillId="0" borderId="0" xfId="0" applyFont="1"/>
    <xf numFmtId="49" fontId="51" fillId="0" borderId="0" xfId="0" applyNumberFormat="1" applyFont="1" applyAlignment="1">
      <alignment wrapText="1"/>
    </xf>
    <xf numFmtId="0" fontId="51" fillId="0" borderId="0" xfId="0" applyFont="1" applyFill="1"/>
    <xf numFmtId="49" fontId="44" fillId="0" borderId="0" xfId="0" applyNumberFormat="1" applyFont="1"/>
    <xf numFmtId="0" fontId="10" fillId="0" borderId="0" xfId="0" applyFont="1"/>
    <xf numFmtId="0" fontId="10" fillId="0" borderId="0" xfId="0" applyFont="1" applyBorder="1" applyAlignment="1">
      <alignment wrapText="1"/>
    </xf>
    <xf numFmtId="0" fontId="10" fillId="0" borderId="0" xfId="0" applyFont="1" applyProtection="1"/>
    <xf numFmtId="0" fontId="8" fillId="0" borderId="0" xfId="0" applyFont="1"/>
    <xf numFmtId="0" fontId="17" fillId="0" borderId="13" xfId="0" applyFont="1" applyFill="1" applyBorder="1" applyAlignment="1">
      <alignment wrapText="1"/>
    </xf>
    <xf numFmtId="0" fontId="17" fillId="0" borderId="14" xfId="0" applyFont="1" applyFill="1" applyBorder="1" applyAlignment="1">
      <alignment wrapText="1"/>
    </xf>
    <xf numFmtId="0" fontId="7" fillId="0" borderId="0" xfId="0" applyFont="1" applyFill="1" applyBorder="1" applyAlignment="1" applyProtection="1">
      <protection hidden="1"/>
    </xf>
    <xf numFmtId="187" fontId="7" fillId="0" borderId="0" xfId="0" applyNumberFormat="1" applyFont="1" applyFill="1" applyBorder="1" applyAlignment="1" applyProtection="1">
      <alignment wrapText="1"/>
      <protection hidden="1"/>
    </xf>
    <xf numFmtId="1" fontId="7" fillId="0" borderId="0" xfId="0" applyNumberFormat="1" applyFont="1" applyFill="1" applyBorder="1" applyAlignment="1" applyProtection="1">
      <alignment wrapText="1"/>
      <protection hidden="1"/>
    </xf>
    <xf numFmtId="188" fontId="7" fillId="0" borderId="0" xfId="0" applyNumberFormat="1" applyFont="1" applyFill="1" applyBorder="1" applyAlignment="1" applyProtection="1">
      <alignment wrapText="1"/>
      <protection hidden="1"/>
    </xf>
    <xf numFmtId="189" fontId="7" fillId="0" borderId="0" xfId="0" applyNumberFormat="1" applyFont="1" applyFill="1" applyBorder="1" applyAlignment="1" applyProtection="1">
      <alignment wrapText="1"/>
      <protection hidden="1"/>
    </xf>
    <xf numFmtId="0" fontId="7" fillId="0" borderId="0" xfId="0" applyNumberFormat="1" applyFont="1" applyFill="1" applyBorder="1" applyAlignment="1" applyProtection="1">
      <alignment wrapText="1"/>
      <protection hidden="1"/>
    </xf>
    <xf numFmtId="0" fontId="7" fillId="0" borderId="0" xfId="0" applyFont="1" applyFill="1" applyBorder="1" applyAlignment="1" applyProtection="1">
      <alignment wrapText="1"/>
      <protection hidden="1"/>
    </xf>
    <xf numFmtId="3" fontId="7" fillId="0" borderId="0" xfId="0" applyNumberFormat="1" applyFont="1" applyFill="1" applyBorder="1" applyAlignment="1" applyProtection="1">
      <alignment wrapText="1"/>
      <protection hidden="1"/>
    </xf>
    <xf numFmtId="167" fontId="7" fillId="0" borderId="0" xfId="0" applyNumberFormat="1" applyFont="1" applyFill="1" applyBorder="1" applyAlignment="1" applyProtection="1">
      <alignment shrinkToFit="1"/>
      <protection hidden="1"/>
    </xf>
    <xf numFmtId="190" fontId="17" fillId="0" borderId="0" xfId="0" applyNumberFormat="1" applyFont="1" applyFill="1" applyBorder="1" applyAlignment="1" applyProtection="1">
      <alignment wrapText="1"/>
      <protection hidden="1"/>
    </xf>
    <xf numFmtId="171" fontId="17" fillId="0" borderId="0" xfId="0" applyNumberFormat="1" applyFont="1" applyFill="1" applyBorder="1" applyAlignment="1" applyProtection="1">
      <alignment wrapText="1" shrinkToFit="1"/>
      <protection hidden="1"/>
    </xf>
    <xf numFmtId="167" fontId="17" fillId="0" borderId="0" xfId="0" applyNumberFormat="1" applyFont="1" applyFill="1" applyBorder="1" applyAlignment="1" applyProtection="1">
      <alignment wrapText="1" shrinkToFit="1"/>
      <protection hidden="1"/>
    </xf>
    <xf numFmtId="0" fontId="7" fillId="0" borderId="130" xfId="0" applyFont="1" applyFill="1" applyBorder="1" applyAlignment="1" applyProtection="1">
      <protection hidden="1"/>
    </xf>
    <xf numFmtId="187" fontId="7" fillId="0" borderId="131" xfId="0" applyNumberFormat="1" applyFont="1" applyFill="1" applyBorder="1" applyAlignment="1" applyProtection="1">
      <alignment wrapText="1"/>
      <protection hidden="1"/>
    </xf>
    <xf numFmtId="1" fontId="7" fillId="0" borderId="131" xfId="0" applyNumberFormat="1" applyFont="1" applyFill="1" applyBorder="1" applyAlignment="1" applyProtection="1">
      <alignment wrapText="1"/>
      <protection hidden="1"/>
    </xf>
    <xf numFmtId="188" fontId="7" fillId="0" borderId="131" xfId="0" applyNumberFormat="1" applyFont="1" applyFill="1" applyBorder="1" applyAlignment="1" applyProtection="1">
      <alignment wrapText="1"/>
      <protection hidden="1"/>
    </xf>
    <xf numFmtId="189" fontId="7" fillId="0" borderId="131" xfId="0" applyNumberFormat="1" applyFont="1" applyFill="1" applyBorder="1" applyAlignment="1" applyProtection="1">
      <alignment wrapText="1"/>
      <protection hidden="1"/>
    </xf>
    <xf numFmtId="3" fontId="7" fillId="0" borderId="131" xfId="0" applyNumberFormat="1" applyFont="1" applyFill="1" applyBorder="1" applyAlignment="1" applyProtection="1">
      <alignment wrapText="1"/>
      <protection hidden="1"/>
    </xf>
    <xf numFmtId="167" fontId="7" fillId="0" borderId="131" xfId="0" applyNumberFormat="1" applyFont="1" applyFill="1" applyBorder="1" applyAlignment="1" applyProtection="1">
      <alignment shrinkToFit="1"/>
      <protection hidden="1"/>
    </xf>
    <xf numFmtId="190" fontId="17" fillId="0" borderId="131" xfId="0" applyNumberFormat="1" applyFont="1" applyFill="1" applyBorder="1" applyAlignment="1" applyProtection="1">
      <alignment wrapText="1"/>
      <protection hidden="1"/>
    </xf>
    <xf numFmtId="171" fontId="17" fillId="0" borderId="131" xfId="0" applyNumberFormat="1" applyFont="1" applyFill="1" applyBorder="1" applyAlignment="1" applyProtection="1">
      <alignment wrapText="1" shrinkToFit="1"/>
      <protection hidden="1"/>
    </xf>
    <xf numFmtId="0" fontId="7" fillId="0" borderId="133" xfId="0" applyFont="1" applyFill="1" applyBorder="1" applyAlignment="1" applyProtection="1">
      <protection hidden="1"/>
    </xf>
    <xf numFmtId="0" fontId="0" fillId="0" borderId="0" xfId="0" applyBorder="1" applyProtection="1">
      <protection hidden="1"/>
    </xf>
    <xf numFmtId="167" fontId="17" fillId="0" borderId="152" xfId="0" applyNumberFormat="1" applyFont="1" applyFill="1" applyBorder="1" applyAlignment="1" applyProtection="1">
      <alignment wrapText="1" shrinkToFit="1"/>
      <protection hidden="1"/>
    </xf>
    <xf numFmtId="0" fontId="7" fillId="0" borderId="153" xfId="0" applyFont="1" applyFill="1" applyBorder="1" applyAlignment="1" applyProtection="1">
      <protection hidden="1"/>
    </xf>
    <xf numFmtId="187" fontId="7" fillId="0" borderId="154" xfId="0" applyNumberFormat="1" applyFont="1" applyFill="1" applyBorder="1" applyAlignment="1" applyProtection="1">
      <alignment wrapText="1"/>
      <protection hidden="1"/>
    </xf>
    <xf numFmtId="1" fontId="7" fillId="0" borderId="154" xfId="0" applyNumberFormat="1" applyFont="1" applyFill="1" applyBorder="1" applyAlignment="1" applyProtection="1">
      <alignment wrapText="1"/>
      <protection hidden="1"/>
    </xf>
    <xf numFmtId="188" fontId="7" fillId="0" borderId="154" xfId="0" applyNumberFormat="1" applyFont="1" applyFill="1" applyBorder="1" applyAlignment="1" applyProtection="1">
      <alignment wrapText="1"/>
      <protection hidden="1"/>
    </xf>
    <xf numFmtId="189" fontId="7" fillId="0" borderId="154" xfId="0" applyNumberFormat="1" applyFont="1" applyFill="1" applyBorder="1" applyAlignment="1" applyProtection="1">
      <alignment wrapText="1"/>
      <protection hidden="1"/>
    </xf>
    <xf numFmtId="0" fontId="7" fillId="0" borderId="154" xfId="0" applyNumberFormat="1" applyFont="1" applyFill="1" applyBorder="1" applyAlignment="1" applyProtection="1">
      <alignment wrapText="1"/>
      <protection hidden="1"/>
    </xf>
    <xf numFmtId="0" fontId="7" fillId="0" borderId="154" xfId="0" applyFont="1" applyFill="1" applyBorder="1" applyAlignment="1" applyProtection="1">
      <alignment wrapText="1"/>
      <protection hidden="1"/>
    </xf>
    <xf numFmtId="3" fontId="7" fillId="0" borderId="154" xfId="0" applyNumberFormat="1" applyFont="1" applyFill="1" applyBorder="1" applyAlignment="1" applyProtection="1">
      <alignment wrapText="1"/>
      <protection hidden="1"/>
    </xf>
    <xf numFmtId="167" fontId="7" fillId="0" borderId="154" xfId="0" applyNumberFormat="1" applyFont="1" applyFill="1" applyBorder="1" applyAlignment="1" applyProtection="1">
      <alignment shrinkToFit="1"/>
      <protection hidden="1"/>
    </xf>
    <xf numFmtId="171" fontId="17" fillId="0" borderId="154" xfId="0" applyNumberFormat="1" applyFont="1" applyFill="1" applyBorder="1" applyAlignment="1" applyProtection="1">
      <alignment wrapText="1" shrinkToFit="1"/>
      <protection hidden="1"/>
    </xf>
    <xf numFmtId="167" fontId="17" fillId="0" borderId="154" xfId="0" applyNumberFormat="1" applyFont="1" applyFill="1" applyBorder="1" applyAlignment="1" applyProtection="1">
      <alignment wrapText="1" shrinkToFit="1"/>
      <protection hidden="1"/>
    </xf>
    <xf numFmtId="167" fontId="17" fillId="0" borderId="157" xfId="0" applyNumberFormat="1" applyFont="1" applyFill="1" applyBorder="1" applyAlignment="1" applyProtection="1">
      <alignment wrapText="1" shrinkToFit="1"/>
      <protection hidden="1"/>
    </xf>
    <xf numFmtId="0" fontId="7" fillId="0" borderId="158" xfId="0" applyFont="1" applyFill="1" applyBorder="1" applyAlignment="1" applyProtection="1">
      <protection hidden="1"/>
    </xf>
    <xf numFmtId="187" fontId="7" fillId="0" borderId="159" xfId="0" applyNumberFormat="1" applyFont="1" applyFill="1" applyBorder="1" applyAlignment="1" applyProtection="1">
      <alignment wrapText="1"/>
      <protection hidden="1"/>
    </xf>
    <xf numFmtId="1" fontId="7" fillId="0" borderId="159" xfId="0" applyNumberFormat="1" applyFont="1" applyFill="1" applyBorder="1" applyAlignment="1" applyProtection="1">
      <alignment wrapText="1"/>
      <protection hidden="1"/>
    </xf>
    <xf numFmtId="188" fontId="7" fillId="0" borderId="159" xfId="0" applyNumberFormat="1" applyFont="1" applyFill="1" applyBorder="1" applyAlignment="1" applyProtection="1">
      <alignment wrapText="1"/>
      <protection hidden="1"/>
    </xf>
    <xf numFmtId="189" fontId="7" fillId="0" borderId="159" xfId="0" applyNumberFormat="1" applyFont="1" applyFill="1" applyBorder="1" applyAlignment="1" applyProtection="1">
      <alignment wrapText="1"/>
      <protection hidden="1"/>
    </xf>
    <xf numFmtId="3" fontId="7" fillId="0" borderId="159" xfId="0" applyNumberFormat="1" applyFont="1" applyFill="1" applyBorder="1" applyAlignment="1" applyProtection="1">
      <alignment wrapText="1"/>
      <protection hidden="1"/>
    </xf>
    <xf numFmtId="167" fontId="7" fillId="0" borderId="159" xfId="0" applyNumberFormat="1" applyFont="1" applyFill="1" applyBorder="1" applyAlignment="1" applyProtection="1">
      <alignment shrinkToFit="1"/>
      <protection hidden="1"/>
    </xf>
    <xf numFmtId="190" fontId="17" fillId="0" borderId="159" xfId="0" applyNumberFormat="1" applyFont="1" applyFill="1" applyBorder="1" applyAlignment="1" applyProtection="1">
      <alignment wrapText="1"/>
      <protection hidden="1"/>
    </xf>
    <xf numFmtId="171" fontId="17" fillId="0" borderId="159" xfId="0" applyNumberFormat="1" applyFont="1" applyFill="1" applyBorder="1" applyAlignment="1" applyProtection="1">
      <alignment wrapText="1" shrinkToFit="1"/>
      <protection hidden="1"/>
    </xf>
    <xf numFmtId="0" fontId="7" fillId="0" borderId="161" xfId="0" applyFont="1" applyFill="1" applyBorder="1" applyAlignment="1" applyProtection="1">
      <protection hidden="1"/>
    </xf>
    <xf numFmtId="167" fontId="17" fillId="0" borderId="173" xfId="0" applyNumberFormat="1" applyFont="1" applyFill="1" applyBorder="1" applyAlignment="1" applyProtection="1">
      <alignment wrapText="1" shrinkToFit="1"/>
      <protection hidden="1"/>
    </xf>
    <xf numFmtId="0" fontId="7" fillId="0" borderId="0" xfId="0" applyFont="1" applyFill="1" applyBorder="1" applyAlignment="1" applyProtection="1">
      <alignment vertical="top" wrapText="1"/>
      <protection hidden="1"/>
    </xf>
    <xf numFmtId="0" fontId="7" fillId="0" borderId="174" xfId="0" applyFont="1" applyFill="1" applyBorder="1" applyAlignment="1" applyProtection="1">
      <protection hidden="1"/>
    </xf>
    <xf numFmtId="187" fontId="7" fillId="0" borderId="175" xfId="0" applyNumberFormat="1" applyFont="1" applyFill="1" applyBorder="1" applyAlignment="1" applyProtection="1">
      <alignment wrapText="1"/>
      <protection hidden="1"/>
    </xf>
    <xf numFmtId="1" fontId="7" fillId="0" borderId="175" xfId="0" applyNumberFormat="1" applyFont="1" applyFill="1" applyBorder="1" applyAlignment="1" applyProtection="1">
      <alignment wrapText="1"/>
      <protection hidden="1"/>
    </xf>
    <xf numFmtId="188" fontId="7" fillId="0" borderId="175" xfId="0" applyNumberFormat="1" applyFont="1" applyFill="1" applyBorder="1" applyAlignment="1" applyProtection="1">
      <alignment wrapText="1"/>
      <protection hidden="1"/>
    </xf>
    <xf numFmtId="189" fontId="7" fillId="0" borderId="175" xfId="0" applyNumberFormat="1" applyFont="1" applyFill="1" applyBorder="1" applyAlignment="1" applyProtection="1">
      <alignment wrapText="1"/>
      <protection hidden="1"/>
    </xf>
    <xf numFmtId="0" fontId="7" fillId="0" borderId="175" xfId="0" applyNumberFormat="1" applyFont="1" applyFill="1" applyBorder="1" applyAlignment="1" applyProtection="1">
      <alignment wrapText="1"/>
      <protection hidden="1"/>
    </xf>
    <xf numFmtId="0" fontId="7" fillId="0" borderId="175" xfId="0" applyFont="1" applyFill="1" applyBorder="1" applyAlignment="1" applyProtection="1">
      <alignment wrapText="1"/>
      <protection hidden="1"/>
    </xf>
    <xf numFmtId="3" fontId="7" fillId="0" borderId="175" xfId="0" applyNumberFormat="1" applyFont="1" applyFill="1" applyBorder="1" applyAlignment="1" applyProtection="1">
      <alignment wrapText="1"/>
      <protection hidden="1"/>
    </xf>
    <xf numFmtId="167" fontId="7" fillId="0" borderId="175" xfId="0" applyNumberFormat="1" applyFont="1" applyFill="1" applyBorder="1" applyAlignment="1" applyProtection="1">
      <alignment shrinkToFit="1"/>
      <protection hidden="1"/>
    </xf>
    <xf numFmtId="171" fontId="17" fillId="0" borderId="175" xfId="0" applyNumberFormat="1" applyFont="1" applyFill="1" applyBorder="1" applyAlignment="1" applyProtection="1">
      <alignment wrapText="1" shrinkToFit="1"/>
      <protection hidden="1"/>
    </xf>
    <xf numFmtId="167" fontId="17" fillId="0" borderId="175" xfId="0" applyNumberFormat="1" applyFont="1" applyFill="1" applyBorder="1" applyAlignment="1" applyProtection="1">
      <alignment wrapText="1" shrinkToFit="1"/>
      <protection hidden="1"/>
    </xf>
    <xf numFmtId="167" fontId="17" fillId="0" borderId="178" xfId="0" applyNumberFormat="1" applyFont="1" applyFill="1" applyBorder="1" applyAlignment="1" applyProtection="1">
      <alignment wrapText="1" shrinkToFit="1"/>
      <protection hidden="1"/>
    </xf>
    <xf numFmtId="0" fontId="7" fillId="0" borderId="179" xfId="0" applyFont="1" applyFill="1" applyBorder="1" applyAlignment="1" applyProtection="1">
      <protection hidden="1"/>
    </xf>
    <xf numFmtId="187" fontId="7" fillId="0" borderId="180" xfId="0" applyNumberFormat="1" applyFont="1" applyFill="1" applyBorder="1" applyAlignment="1" applyProtection="1">
      <alignment wrapText="1"/>
      <protection hidden="1"/>
    </xf>
    <xf numFmtId="1" fontId="7" fillId="0" borderId="180" xfId="0" applyNumberFormat="1" applyFont="1" applyFill="1" applyBorder="1" applyAlignment="1" applyProtection="1">
      <alignment wrapText="1"/>
      <protection hidden="1"/>
    </xf>
    <xf numFmtId="188" fontId="7" fillId="0" borderId="180" xfId="0" applyNumberFormat="1" applyFont="1" applyFill="1" applyBorder="1" applyAlignment="1" applyProtection="1">
      <alignment wrapText="1"/>
      <protection hidden="1"/>
    </xf>
    <xf numFmtId="189" fontId="7" fillId="0" borderId="180" xfId="0" applyNumberFormat="1" applyFont="1" applyFill="1" applyBorder="1" applyAlignment="1" applyProtection="1">
      <alignment wrapText="1"/>
      <protection hidden="1"/>
    </xf>
    <xf numFmtId="3" fontId="7" fillId="0" borderId="180" xfId="0" applyNumberFormat="1" applyFont="1" applyFill="1" applyBorder="1" applyAlignment="1" applyProtection="1">
      <alignment wrapText="1"/>
      <protection hidden="1"/>
    </xf>
    <xf numFmtId="167" fontId="7" fillId="0" borderId="180" xfId="0" applyNumberFormat="1" applyFont="1" applyFill="1" applyBorder="1" applyAlignment="1" applyProtection="1">
      <alignment shrinkToFit="1"/>
      <protection hidden="1"/>
    </xf>
    <xf numFmtId="190" fontId="17" fillId="0" borderId="180" xfId="0" applyNumberFormat="1" applyFont="1" applyFill="1" applyBorder="1" applyAlignment="1" applyProtection="1">
      <alignment wrapText="1"/>
      <protection hidden="1"/>
    </xf>
    <xf numFmtId="171" fontId="17" fillId="0" borderId="180" xfId="0" applyNumberFormat="1" applyFont="1" applyFill="1" applyBorder="1" applyAlignment="1" applyProtection="1">
      <alignment wrapText="1" shrinkToFit="1"/>
      <protection hidden="1"/>
    </xf>
    <xf numFmtId="0" fontId="7" fillId="0" borderId="182" xfId="0" applyFont="1" applyFill="1" applyBorder="1" applyAlignment="1" applyProtection="1">
      <protection hidden="1"/>
    </xf>
    <xf numFmtId="167" fontId="17" fillId="0" borderId="191" xfId="0" applyNumberFormat="1" applyFont="1" applyFill="1" applyBorder="1" applyAlignment="1" applyProtection="1">
      <alignment wrapText="1" shrinkToFit="1"/>
      <protection hidden="1"/>
    </xf>
    <xf numFmtId="0" fontId="7" fillId="0" borderId="192" xfId="0" applyFont="1" applyFill="1" applyBorder="1" applyAlignment="1" applyProtection="1">
      <protection hidden="1"/>
    </xf>
    <xf numFmtId="187" fontId="7" fillId="0" borderId="193" xfId="0" applyNumberFormat="1" applyFont="1" applyFill="1" applyBorder="1" applyAlignment="1" applyProtection="1">
      <alignment wrapText="1"/>
      <protection hidden="1"/>
    </xf>
    <xf numFmtId="1" fontId="7" fillId="0" borderId="193" xfId="0" applyNumberFormat="1" applyFont="1" applyFill="1" applyBorder="1" applyAlignment="1" applyProtection="1">
      <alignment wrapText="1"/>
      <protection hidden="1"/>
    </xf>
    <xf numFmtId="188" fontId="7" fillId="0" borderId="193" xfId="0" applyNumberFormat="1" applyFont="1" applyFill="1" applyBorder="1" applyAlignment="1" applyProtection="1">
      <alignment wrapText="1"/>
      <protection hidden="1"/>
    </xf>
    <xf numFmtId="189" fontId="7" fillId="0" borderId="193" xfId="0" applyNumberFormat="1" applyFont="1" applyFill="1" applyBorder="1" applyAlignment="1" applyProtection="1">
      <alignment wrapText="1"/>
      <protection hidden="1"/>
    </xf>
    <xf numFmtId="0" fontId="7" fillId="0" borderId="193" xfId="0" applyNumberFormat="1" applyFont="1" applyFill="1" applyBorder="1" applyAlignment="1" applyProtection="1">
      <alignment wrapText="1"/>
      <protection hidden="1"/>
    </xf>
    <xf numFmtId="0" fontId="7" fillId="0" borderId="193" xfId="0" applyFont="1" applyFill="1" applyBorder="1" applyAlignment="1" applyProtection="1">
      <alignment wrapText="1"/>
      <protection hidden="1"/>
    </xf>
    <xf numFmtId="3" fontId="7" fillId="0" borderId="193" xfId="0" applyNumberFormat="1" applyFont="1" applyFill="1" applyBorder="1" applyAlignment="1" applyProtection="1">
      <alignment wrapText="1"/>
      <protection hidden="1"/>
    </xf>
    <xf numFmtId="167" fontId="7" fillId="0" borderId="193" xfId="0" applyNumberFormat="1" applyFont="1" applyFill="1" applyBorder="1" applyAlignment="1" applyProtection="1">
      <alignment shrinkToFit="1"/>
      <protection hidden="1"/>
    </xf>
    <xf numFmtId="171" fontId="17" fillId="0" borderId="193" xfId="0" applyNumberFormat="1" applyFont="1" applyFill="1" applyBorder="1" applyAlignment="1" applyProtection="1">
      <alignment wrapText="1" shrinkToFit="1"/>
      <protection hidden="1"/>
    </xf>
    <xf numFmtId="167" fontId="17" fillId="0" borderId="193" xfId="0" applyNumberFormat="1" applyFont="1" applyFill="1" applyBorder="1" applyAlignment="1" applyProtection="1">
      <alignment wrapText="1" shrinkToFit="1"/>
      <protection hidden="1"/>
    </xf>
    <xf numFmtId="167" fontId="17" fillId="0" borderId="196" xfId="0" applyNumberFormat="1" applyFont="1" applyFill="1" applyBorder="1" applyAlignment="1" applyProtection="1">
      <alignment wrapText="1" shrinkToFit="1"/>
      <protection hidden="1"/>
    </xf>
    <xf numFmtId="0" fontId="7" fillId="0" borderId="197" xfId="0" applyFont="1" applyFill="1" applyBorder="1" applyAlignment="1" applyProtection="1">
      <protection hidden="1"/>
    </xf>
    <xf numFmtId="187" fontId="7" fillId="0" borderId="198" xfId="0" applyNumberFormat="1" applyFont="1" applyFill="1" applyBorder="1" applyAlignment="1" applyProtection="1">
      <alignment wrapText="1"/>
      <protection hidden="1"/>
    </xf>
    <xf numFmtId="1" fontId="7" fillId="0" borderId="198" xfId="0" applyNumberFormat="1" applyFont="1" applyFill="1" applyBorder="1" applyAlignment="1" applyProtection="1">
      <alignment wrapText="1"/>
      <protection hidden="1"/>
    </xf>
    <xf numFmtId="188" fontId="7" fillId="0" borderId="198" xfId="0" applyNumberFormat="1" applyFont="1" applyFill="1" applyBorder="1" applyAlignment="1" applyProtection="1">
      <alignment wrapText="1"/>
      <protection hidden="1"/>
    </xf>
    <xf numFmtId="189" fontId="7" fillId="0" borderId="198" xfId="0" applyNumberFormat="1" applyFont="1" applyFill="1" applyBorder="1" applyAlignment="1" applyProtection="1">
      <alignment wrapText="1"/>
      <protection hidden="1"/>
    </xf>
    <xf numFmtId="3" fontId="7" fillId="0" borderId="198" xfId="0" applyNumberFormat="1" applyFont="1" applyFill="1" applyBorder="1" applyAlignment="1" applyProtection="1">
      <alignment wrapText="1"/>
      <protection hidden="1"/>
    </xf>
    <xf numFmtId="167" fontId="7" fillId="0" borderId="198" xfId="0" applyNumberFormat="1" applyFont="1" applyFill="1" applyBorder="1" applyAlignment="1" applyProtection="1">
      <alignment shrinkToFit="1"/>
      <protection hidden="1"/>
    </xf>
    <xf numFmtId="190" fontId="17" fillId="0" borderId="198" xfId="0" applyNumberFormat="1" applyFont="1" applyFill="1" applyBorder="1" applyAlignment="1" applyProtection="1">
      <alignment wrapText="1"/>
      <protection hidden="1"/>
    </xf>
    <xf numFmtId="171" fontId="17" fillId="0" borderId="198" xfId="0" applyNumberFormat="1" applyFont="1" applyFill="1" applyBorder="1" applyAlignment="1" applyProtection="1">
      <alignment wrapText="1" shrinkToFit="1"/>
      <protection hidden="1"/>
    </xf>
    <xf numFmtId="0" fontId="7" fillId="0" borderId="200" xfId="0" applyFont="1" applyFill="1" applyBorder="1" applyAlignment="1" applyProtection="1">
      <protection hidden="1"/>
    </xf>
    <xf numFmtId="167" fontId="17" fillId="0" borderId="209" xfId="0" applyNumberFormat="1" applyFont="1" applyFill="1" applyBorder="1" applyAlignment="1" applyProtection="1">
      <alignment wrapText="1" shrinkToFit="1"/>
      <protection hidden="1"/>
    </xf>
    <xf numFmtId="0" fontId="7" fillId="0" borderId="210" xfId="0" applyFont="1" applyFill="1" applyBorder="1" applyAlignment="1" applyProtection="1">
      <protection hidden="1"/>
    </xf>
    <xf numFmtId="187" fontId="7" fillId="0" borderId="211" xfId="0" applyNumberFormat="1" applyFont="1" applyFill="1" applyBorder="1" applyAlignment="1" applyProtection="1">
      <alignment wrapText="1"/>
      <protection hidden="1"/>
    </xf>
    <xf numFmtId="1" fontId="7" fillId="0" borderId="211" xfId="0" applyNumberFormat="1" applyFont="1" applyFill="1" applyBorder="1" applyAlignment="1" applyProtection="1">
      <alignment wrapText="1"/>
      <protection hidden="1"/>
    </xf>
    <xf numFmtId="188" fontId="7" fillId="0" borderId="211" xfId="0" applyNumberFormat="1" applyFont="1" applyFill="1" applyBorder="1" applyAlignment="1" applyProtection="1">
      <alignment wrapText="1"/>
      <protection hidden="1"/>
    </xf>
    <xf numFmtId="189" fontId="7" fillId="0" borderId="211" xfId="0" applyNumberFormat="1" applyFont="1" applyFill="1" applyBorder="1" applyAlignment="1" applyProtection="1">
      <alignment wrapText="1"/>
      <protection hidden="1"/>
    </xf>
    <xf numFmtId="0" fontId="7" fillId="0" borderId="211" xfId="0" applyNumberFormat="1" applyFont="1" applyFill="1" applyBorder="1" applyAlignment="1" applyProtection="1">
      <alignment wrapText="1"/>
      <protection hidden="1"/>
    </xf>
    <xf numFmtId="0" fontId="7" fillId="0" borderId="211" xfId="0" applyFont="1" applyFill="1" applyBorder="1" applyAlignment="1" applyProtection="1">
      <alignment wrapText="1"/>
      <protection hidden="1"/>
    </xf>
    <xf numFmtId="3" fontId="7" fillId="0" borderId="211" xfId="0" applyNumberFormat="1" applyFont="1" applyFill="1" applyBorder="1" applyAlignment="1" applyProtection="1">
      <alignment wrapText="1"/>
      <protection hidden="1"/>
    </xf>
    <xf numFmtId="167" fontId="7" fillId="0" borderId="211" xfId="0" applyNumberFormat="1" applyFont="1" applyFill="1" applyBorder="1" applyAlignment="1" applyProtection="1">
      <alignment shrinkToFit="1"/>
      <protection hidden="1"/>
    </xf>
    <xf numFmtId="171" fontId="17" fillId="0" borderId="211" xfId="0" applyNumberFormat="1" applyFont="1" applyFill="1" applyBorder="1" applyAlignment="1" applyProtection="1">
      <alignment wrapText="1" shrinkToFit="1"/>
      <protection hidden="1"/>
    </xf>
    <xf numFmtId="167" fontId="17" fillId="0" borderId="211" xfId="0" applyNumberFormat="1" applyFont="1" applyFill="1" applyBorder="1" applyAlignment="1" applyProtection="1">
      <alignment wrapText="1" shrinkToFit="1"/>
      <protection hidden="1"/>
    </xf>
    <xf numFmtId="167" fontId="17" fillId="0" borderId="214" xfId="0" applyNumberFormat="1" applyFont="1" applyFill="1" applyBorder="1" applyAlignment="1" applyProtection="1">
      <alignment wrapText="1" shrinkToFit="1"/>
      <protection hidden="1"/>
    </xf>
    <xf numFmtId="0" fontId="7" fillId="0" borderId="0" xfId="0" applyFont="1" applyBorder="1" applyAlignment="1" applyProtection="1">
      <alignment wrapText="1"/>
    </xf>
    <xf numFmtId="0" fontId="35" fillId="0" borderId="0" xfId="5" applyFill="1" applyBorder="1"/>
    <xf numFmtId="0" fontId="42" fillId="0" borderId="0" xfId="5" applyNumberFormat="1" applyFont="1" applyFill="1" applyBorder="1" applyAlignment="1"/>
    <xf numFmtId="0" fontId="55" fillId="0" borderId="0" xfId="0" applyFont="1"/>
    <xf numFmtId="170" fontId="55" fillId="0" borderId="0" xfId="0" applyNumberFormat="1" applyFont="1"/>
    <xf numFmtId="0" fontId="1" fillId="8" borderId="42" xfId="0" applyFont="1" applyFill="1" applyBorder="1"/>
    <xf numFmtId="0" fontId="1" fillId="8" borderId="22" xfId="0" applyFont="1" applyFill="1" applyBorder="1"/>
    <xf numFmtId="0" fontId="1" fillId="8" borderId="3" xfId="0" applyFont="1" applyFill="1" applyBorder="1"/>
    <xf numFmtId="0" fontId="17" fillId="8" borderId="41" xfId="0" applyFont="1" applyFill="1" applyBorder="1"/>
    <xf numFmtId="0" fontId="1" fillId="8" borderId="0" xfId="0" applyFont="1" applyFill="1"/>
    <xf numFmtId="0" fontId="1" fillId="8" borderId="4" xfId="0" applyFont="1" applyFill="1" applyBorder="1"/>
    <xf numFmtId="0" fontId="1" fillId="8" borderId="41" xfId="0" applyFont="1" applyFill="1" applyBorder="1"/>
    <xf numFmtId="0" fontId="1" fillId="8" borderId="43" xfId="0" applyFont="1" applyFill="1" applyBorder="1"/>
    <xf numFmtId="0" fontId="1" fillId="8" borderId="25" xfId="0" applyFont="1" applyFill="1" applyBorder="1"/>
    <xf numFmtId="0" fontId="1" fillId="8" borderId="5" xfId="0" applyFont="1" applyFill="1" applyBorder="1"/>
    <xf numFmtId="0" fontId="31" fillId="0" borderId="0" xfId="0" applyFont="1" applyAlignment="1" applyProtection="1">
      <alignment vertical="top" wrapText="1"/>
    </xf>
    <xf numFmtId="49" fontId="18" fillId="44" borderId="18" xfId="0" applyNumberFormat="1" applyFont="1" applyFill="1" applyBorder="1" applyAlignment="1" applyProtection="1">
      <alignment horizontal="center"/>
    </xf>
    <xf numFmtId="0" fontId="0" fillId="8" borderId="22" xfId="0" applyFill="1" applyBorder="1"/>
    <xf numFmtId="0" fontId="0" fillId="8" borderId="3" xfId="0" applyFill="1" applyBorder="1"/>
    <xf numFmtId="0" fontId="0" fillId="8" borderId="0" xfId="0" applyFill="1" applyBorder="1"/>
    <xf numFmtId="0" fontId="0" fillId="8" borderId="4" xfId="0" applyFill="1" applyBorder="1"/>
    <xf numFmtId="0" fontId="0" fillId="8" borderId="25" xfId="0" applyFill="1" applyBorder="1"/>
    <xf numFmtId="0" fontId="0" fillId="8" borderId="5" xfId="0" applyFill="1" applyBorder="1"/>
    <xf numFmtId="0" fontId="104" fillId="8" borderId="42" xfId="0" applyFont="1" applyFill="1" applyBorder="1"/>
    <xf numFmtId="0" fontId="104" fillId="8" borderId="41" xfId="0" applyFont="1" applyFill="1" applyBorder="1"/>
    <xf numFmtId="0" fontId="104" fillId="8" borderId="43" xfId="0" applyFont="1" applyFill="1" applyBorder="1"/>
    <xf numFmtId="0" fontId="45" fillId="9" borderId="44" xfId="1" applyFont="1" applyFill="1" applyBorder="1" applyAlignment="1" applyProtection="1">
      <alignment horizontal="center" vertical="center" shrinkToFit="1"/>
      <protection hidden="1"/>
    </xf>
    <xf numFmtId="0" fontId="45" fillId="9" borderId="45" xfId="1" applyFont="1" applyFill="1" applyBorder="1" applyAlignment="1" applyProtection="1">
      <alignment horizontal="center" vertical="center" shrinkToFit="1"/>
      <protection hidden="1"/>
    </xf>
    <xf numFmtId="0" fontId="45" fillId="9" borderId="46" xfId="1" applyFont="1" applyFill="1" applyBorder="1" applyAlignment="1" applyProtection="1">
      <alignment horizontal="center" vertical="center" shrinkToFit="1"/>
      <protection hidden="1"/>
    </xf>
    <xf numFmtId="0" fontId="45" fillId="9" borderId="47" xfId="1" applyFont="1" applyFill="1" applyBorder="1" applyAlignment="1" applyProtection="1">
      <alignment horizontal="center" vertical="center" shrinkToFit="1"/>
      <protection hidden="1"/>
    </xf>
    <xf numFmtId="0" fontId="45" fillId="9" borderId="0" xfId="1" applyFont="1" applyFill="1" applyBorder="1" applyAlignment="1" applyProtection="1">
      <alignment horizontal="center" vertical="center" shrinkToFit="1"/>
      <protection hidden="1"/>
    </xf>
    <xf numFmtId="0" fontId="45" fillId="9" borderId="48" xfId="1" applyFont="1" applyFill="1" applyBorder="1" applyAlignment="1" applyProtection="1">
      <alignment horizontal="center" vertical="center" shrinkToFit="1"/>
      <protection hidden="1"/>
    </xf>
    <xf numFmtId="0" fontId="45" fillId="9" borderId="49" xfId="1" applyFont="1" applyFill="1" applyBorder="1" applyAlignment="1" applyProtection="1">
      <alignment horizontal="center" vertical="center" shrinkToFit="1"/>
      <protection hidden="1"/>
    </xf>
    <xf numFmtId="0" fontId="45" fillId="9" borderId="50" xfId="1" applyFont="1" applyFill="1" applyBorder="1" applyAlignment="1" applyProtection="1">
      <alignment horizontal="center" vertical="center" shrinkToFit="1"/>
      <protection hidden="1"/>
    </xf>
    <xf numFmtId="0" fontId="45" fillId="9" borderId="51" xfId="1" applyFont="1" applyFill="1" applyBorder="1" applyAlignment="1" applyProtection="1">
      <alignment horizontal="center" vertical="center" shrinkToFit="1"/>
      <protection hidden="1"/>
    </xf>
    <xf numFmtId="0" fontId="37" fillId="0" borderId="0" xfId="0" applyFont="1" applyAlignment="1">
      <alignment horizontal="center" vertical="center"/>
    </xf>
    <xf numFmtId="0" fontId="57" fillId="0" borderId="0" xfId="0" applyFont="1" applyFill="1" applyAlignment="1">
      <alignment horizontal="left" vertical="center" wrapText="1"/>
    </xf>
    <xf numFmtId="0" fontId="34" fillId="42" borderId="100" xfId="0" applyFont="1" applyFill="1" applyBorder="1" applyAlignment="1">
      <alignment horizontal="center" wrapText="1"/>
    </xf>
    <xf numFmtId="0" fontId="34" fillId="42" borderId="101" xfId="0" applyFont="1" applyFill="1" applyBorder="1" applyAlignment="1">
      <alignment horizontal="center" wrapText="1"/>
    </xf>
    <xf numFmtId="167" fontId="84" fillId="4" borderId="94" xfId="0" applyNumberFormat="1" applyFont="1" applyFill="1" applyBorder="1" applyAlignment="1">
      <alignment horizontal="center" vertical="center"/>
    </xf>
    <xf numFmtId="167" fontId="84" fillId="4" borderId="95" xfId="0" applyNumberFormat="1" applyFont="1" applyFill="1" applyBorder="1" applyAlignment="1">
      <alignment horizontal="center" vertical="center"/>
    </xf>
    <xf numFmtId="167" fontId="84" fillId="4" borderId="97" xfId="0" applyNumberFormat="1" applyFont="1" applyFill="1" applyBorder="1" applyAlignment="1">
      <alignment horizontal="center" vertical="center"/>
    </xf>
    <xf numFmtId="167" fontId="84" fillId="4" borderId="98" xfId="0" applyNumberFormat="1" applyFont="1" applyFill="1" applyBorder="1" applyAlignment="1">
      <alignment horizontal="center" vertical="center"/>
    </xf>
    <xf numFmtId="0" fontId="94" fillId="42" borderId="101" xfId="0" applyFont="1" applyFill="1" applyBorder="1" applyAlignment="1">
      <alignment horizontal="center" wrapText="1"/>
    </xf>
    <xf numFmtId="0" fontId="94" fillId="42" borderId="102" xfId="0" applyFont="1" applyFill="1" applyBorder="1" applyAlignment="1">
      <alignment horizontal="center" wrapText="1"/>
    </xf>
    <xf numFmtId="9" fontId="84" fillId="4" borderId="95" xfId="6" applyFont="1" applyFill="1" applyBorder="1" applyAlignment="1">
      <alignment horizontal="center" vertical="center"/>
    </xf>
    <xf numFmtId="9" fontId="84" fillId="4" borderId="96" xfId="6" applyFont="1" applyFill="1" applyBorder="1" applyAlignment="1">
      <alignment horizontal="center" vertical="center"/>
    </xf>
    <xf numFmtId="9" fontId="84" fillId="4" borderId="98" xfId="6" applyFont="1" applyFill="1" applyBorder="1" applyAlignment="1">
      <alignment horizontal="center" vertical="center"/>
    </xf>
    <xf numFmtId="9" fontId="84" fillId="4" borderId="99" xfId="6" applyFont="1" applyFill="1" applyBorder="1" applyAlignment="1">
      <alignment horizontal="center" vertical="center"/>
    </xf>
    <xf numFmtId="0" fontId="34" fillId="42" borderId="101" xfId="0" applyFont="1" applyFill="1" applyBorder="1" applyAlignment="1">
      <alignment horizontal="center"/>
    </xf>
    <xf numFmtId="0" fontId="17" fillId="4" borderId="95" xfId="0" applyFont="1" applyFill="1" applyBorder="1" applyAlignment="1">
      <alignment horizontal="center" vertical="center" wrapText="1"/>
    </xf>
    <xf numFmtId="0" fontId="17" fillId="4" borderId="98" xfId="0" applyFont="1" applyFill="1" applyBorder="1" applyAlignment="1">
      <alignment horizontal="center" vertical="center" wrapText="1"/>
    </xf>
    <xf numFmtId="0" fontId="18" fillId="0" borderId="0" xfId="0" applyFont="1" applyAlignment="1">
      <alignment horizontal="right"/>
    </xf>
    <xf numFmtId="165" fontId="1" fillId="0" borderId="0" xfId="0" applyNumberFormat="1" applyFont="1" applyAlignment="1">
      <alignment horizontal="left"/>
    </xf>
    <xf numFmtId="165" fontId="18" fillId="0" borderId="0" xfId="0" applyNumberFormat="1" applyFont="1" applyAlignment="1">
      <alignment horizontal="left"/>
    </xf>
    <xf numFmtId="0" fontId="65" fillId="21" borderId="0" xfId="0" applyFont="1" applyFill="1" applyAlignment="1">
      <alignment horizontal="center" wrapText="1"/>
    </xf>
    <xf numFmtId="0" fontId="64" fillId="0" borderId="0" xfId="0" applyFont="1" applyAlignment="1">
      <alignment horizontal="left"/>
    </xf>
    <xf numFmtId="0" fontId="76" fillId="0" borderId="0" xfId="0" applyFont="1" applyAlignment="1">
      <alignment horizontal="left" vertical="top" wrapText="1"/>
    </xf>
    <xf numFmtId="0" fontId="74" fillId="0" borderId="0" xfId="0" applyFont="1" applyAlignment="1">
      <alignment horizontal="center"/>
    </xf>
    <xf numFmtId="0" fontId="69" fillId="0" borderId="0" xfId="0" applyFont="1" applyAlignment="1">
      <alignment horizontal="center" wrapText="1"/>
    </xf>
    <xf numFmtId="0" fontId="69" fillId="0" borderId="0" xfId="0" applyFont="1" applyAlignment="1">
      <alignment horizontal="center"/>
    </xf>
    <xf numFmtId="0" fontId="76" fillId="0" borderId="0" xfId="0" applyFont="1" applyBorder="1" applyAlignment="1">
      <alignment horizontal="left" vertical="top" wrapText="1"/>
    </xf>
    <xf numFmtId="0" fontId="117" fillId="0" borderId="0" xfId="0" applyFont="1" applyBorder="1" applyAlignment="1">
      <alignment horizontal="left" vertical="top" wrapText="1"/>
    </xf>
    <xf numFmtId="2" fontId="103" fillId="0" borderId="103" xfId="0" applyNumberFormat="1" applyFont="1" applyBorder="1" applyAlignment="1">
      <alignment horizontal="center" vertical="center" wrapText="1"/>
    </xf>
    <xf numFmtId="2" fontId="103" fillId="0" borderId="105" xfId="0" applyNumberFormat="1" applyFont="1" applyBorder="1" applyAlignment="1">
      <alignment horizontal="center" vertical="center" wrapText="1"/>
    </xf>
    <xf numFmtId="2" fontId="103" fillId="0" borderId="104" xfId="0" applyNumberFormat="1" applyFont="1" applyBorder="1" applyAlignment="1">
      <alignment horizontal="center" vertical="center" wrapText="1"/>
    </xf>
    <xf numFmtId="2" fontId="103" fillId="0" borderId="92" xfId="0" applyNumberFormat="1" applyFont="1" applyBorder="1" applyAlignment="1">
      <alignment horizontal="center" vertical="center" wrapText="1"/>
    </xf>
    <xf numFmtId="182" fontId="103" fillId="0" borderId="92" xfId="0" applyNumberFormat="1" applyFont="1" applyBorder="1" applyAlignment="1">
      <alignment horizontal="center" vertical="center" wrapText="1"/>
    </xf>
    <xf numFmtId="0" fontId="103" fillId="0" borderId="103" xfId="0" applyFont="1" applyBorder="1" applyAlignment="1">
      <alignment vertical="center" wrapText="1"/>
    </xf>
    <xf numFmtId="0" fontId="103" fillId="0" borderId="104" xfId="0" applyFont="1" applyBorder="1" applyAlignment="1">
      <alignment vertical="center" wrapText="1"/>
    </xf>
    <xf numFmtId="0" fontId="103" fillId="0" borderId="105" xfId="0" applyFont="1" applyBorder="1" applyAlignment="1">
      <alignment vertical="center" wrapText="1"/>
    </xf>
    <xf numFmtId="0" fontId="103" fillId="0" borderId="92" xfId="0" applyFont="1" applyBorder="1" applyAlignment="1">
      <alignment vertical="center" wrapText="1"/>
    </xf>
    <xf numFmtId="0" fontId="103" fillId="0" borderId="92" xfId="0" applyFont="1" applyBorder="1" applyAlignment="1">
      <alignment horizontal="left" vertical="center" wrapText="1"/>
    </xf>
    <xf numFmtId="0" fontId="120" fillId="40" borderId="92" xfId="0" applyFont="1" applyFill="1" applyBorder="1" applyAlignment="1">
      <alignment vertical="center" wrapText="1"/>
    </xf>
    <xf numFmtId="0" fontId="120" fillId="40" borderId="92" xfId="0" applyFont="1" applyFill="1" applyBorder="1" applyAlignment="1">
      <alignment horizontal="center" vertical="center" wrapText="1"/>
    </xf>
    <xf numFmtId="2" fontId="103" fillId="0" borderId="106" xfId="0" applyNumberFormat="1" applyFont="1" applyBorder="1" applyAlignment="1">
      <alignment horizontal="center" vertical="center" wrapText="1"/>
    </xf>
    <xf numFmtId="2" fontId="103" fillId="0" borderId="107" xfId="0" applyNumberFormat="1" applyFont="1" applyBorder="1" applyAlignment="1">
      <alignment horizontal="center" vertical="center" wrapText="1"/>
    </xf>
    <xf numFmtId="2" fontId="103" fillId="0" borderId="108" xfId="0" applyNumberFormat="1" applyFont="1" applyBorder="1" applyAlignment="1">
      <alignment horizontal="center" vertical="center" wrapText="1"/>
    </xf>
    <xf numFmtId="2" fontId="103" fillId="0" borderId="109" xfId="0" applyNumberFormat="1" applyFont="1" applyBorder="1" applyAlignment="1">
      <alignment horizontal="center" vertical="center" wrapText="1"/>
    </xf>
    <xf numFmtId="2" fontId="103" fillId="0" borderId="110" xfId="0" applyNumberFormat="1" applyFont="1" applyBorder="1" applyAlignment="1">
      <alignment horizontal="center" vertical="center" wrapText="1"/>
    </xf>
    <xf numFmtId="2" fontId="103" fillId="0" borderId="111" xfId="0" applyNumberFormat="1" applyFont="1" applyBorder="1" applyAlignment="1">
      <alignment horizontal="center" vertical="center" wrapText="1"/>
    </xf>
    <xf numFmtId="0" fontId="103" fillId="0" borderId="106" xfId="0" applyFont="1" applyBorder="1" applyAlignment="1">
      <alignment horizontal="left" vertical="center" wrapText="1"/>
    </xf>
    <xf numFmtId="0" fontId="103" fillId="0" borderId="107" xfId="0" applyFont="1" applyBorder="1" applyAlignment="1">
      <alignment horizontal="left" vertical="center" wrapText="1"/>
    </xf>
    <xf numFmtId="0" fontId="103" fillId="0" borderId="108" xfId="0" applyFont="1" applyBorder="1" applyAlignment="1">
      <alignment horizontal="left" vertical="center" wrapText="1"/>
    </xf>
    <xf numFmtId="0" fontId="103" fillId="0" borderId="109" xfId="0" applyFont="1" applyBorder="1" applyAlignment="1">
      <alignment horizontal="left" vertical="center" wrapText="1"/>
    </xf>
    <xf numFmtId="0" fontId="103" fillId="0" borderId="110" xfId="0" applyFont="1" applyBorder="1" applyAlignment="1">
      <alignment horizontal="left" vertical="center" wrapText="1"/>
    </xf>
    <xf numFmtId="0" fontId="103" fillId="0" borderId="111" xfId="0" applyFont="1" applyBorder="1" applyAlignment="1">
      <alignment horizontal="left" vertical="center" wrapText="1"/>
    </xf>
    <xf numFmtId="0" fontId="120" fillId="39" borderId="92" xfId="0" applyFont="1" applyFill="1" applyBorder="1" applyAlignment="1">
      <alignment horizontal="center" vertical="center" wrapText="1"/>
    </xf>
    <xf numFmtId="0" fontId="120" fillId="39" borderId="106" xfId="0" applyFont="1" applyFill="1" applyBorder="1" applyAlignment="1">
      <alignment horizontal="center" vertical="center" wrapText="1"/>
    </xf>
    <xf numFmtId="0" fontId="120" fillId="39" borderId="107" xfId="0" applyFont="1" applyFill="1" applyBorder="1" applyAlignment="1">
      <alignment horizontal="center" vertical="center" wrapText="1"/>
    </xf>
    <xf numFmtId="0" fontId="120" fillId="39" borderId="108" xfId="0" applyFont="1" applyFill="1" applyBorder="1" applyAlignment="1">
      <alignment horizontal="center" vertical="center" wrapText="1"/>
    </xf>
    <xf numFmtId="0" fontId="120" fillId="39" borderId="116" xfId="0" applyFont="1" applyFill="1" applyBorder="1" applyAlignment="1">
      <alignment horizontal="center" vertical="center" wrapText="1"/>
    </xf>
    <xf numFmtId="0" fontId="120" fillId="39" borderId="0" xfId="0" applyFont="1" applyFill="1" applyBorder="1" applyAlignment="1">
      <alignment horizontal="center" vertical="center" wrapText="1"/>
    </xf>
    <xf numFmtId="0" fontId="120" fillId="39" borderId="117" xfId="0" applyFont="1" applyFill="1" applyBorder="1" applyAlignment="1">
      <alignment horizontal="center" vertical="center" wrapText="1"/>
    </xf>
    <xf numFmtId="0" fontId="120" fillId="39" borderId="109" xfId="0" applyFont="1" applyFill="1" applyBorder="1" applyAlignment="1">
      <alignment horizontal="center" vertical="center" wrapText="1"/>
    </xf>
    <xf numFmtId="0" fontId="120" fillId="39" borderId="110" xfId="0" applyFont="1" applyFill="1" applyBorder="1" applyAlignment="1">
      <alignment horizontal="center" vertical="center" wrapText="1"/>
    </xf>
    <xf numFmtId="0" fontId="120" fillId="39" borderId="111" xfId="0" applyFont="1" applyFill="1" applyBorder="1" applyAlignment="1">
      <alignment horizontal="center" vertical="center" wrapText="1"/>
    </xf>
    <xf numFmtId="0" fontId="137" fillId="39" borderId="106" xfId="0" applyFont="1" applyFill="1" applyBorder="1" applyAlignment="1">
      <alignment horizontal="center" vertical="center" wrapText="1"/>
    </xf>
    <xf numFmtId="0" fontId="137" fillId="39" borderId="108" xfId="0" applyFont="1" applyFill="1" applyBorder="1" applyAlignment="1">
      <alignment horizontal="center" vertical="center" wrapText="1"/>
    </xf>
    <xf numFmtId="0" fontId="137" fillId="39" borderId="116" xfId="0" applyFont="1" applyFill="1" applyBorder="1" applyAlignment="1">
      <alignment horizontal="center" vertical="center" wrapText="1"/>
    </xf>
    <xf numFmtId="0" fontId="137" fillId="39" borderId="117" xfId="0" applyFont="1" applyFill="1" applyBorder="1" applyAlignment="1">
      <alignment horizontal="center" vertical="center" wrapText="1"/>
    </xf>
    <xf numFmtId="0" fontId="137" fillId="39" borderId="109" xfId="0" applyFont="1" applyFill="1" applyBorder="1" applyAlignment="1">
      <alignment horizontal="center" vertical="center" wrapText="1"/>
    </xf>
    <xf numFmtId="0" fontId="137" fillId="39" borderId="111" xfId="0" applyFont="1" applyFill="1" applyBorder="1" applyAlignment="1">
      <alignment horizontal="center" vertical="center" wrapText="1"/>
    </xf>
    <xf numFmtId="0" fontId="103" fillId="0" borderId="0" xfId="0" applyFont="1" applyFill="1" applyBorder="1" applyAlignment="1">
      <alignment horizontal="left" vertical="top" wrapText="1"/>
    </xf>
    <xf numFmtId="0" fontId="74" fillId="0" borderId="0" xfId="0" applyFont="1" applyFill="1" applyBorder="1" applyAlignment="1">
      <alignment horizontal="center"/>
    </xf>
    <xf numFmtId="0" fontId="75" fillId="0" borderId="0" xfId="0" applyFont="1" applyFill="1" applyBorder="1" applyAlignment="1">
      <alignment horizontal="center"/>
    </xf>
    <xf numFmtId="0" fontId="0" fillId="0" borderId="0" xfId="0" applyAlignment="1">
      <alignment horizontal="center"/>
    </xf>
    <xf numFmtId="0" fontId="0" fillId="0" borderId="0" xfId="0" applyAlignment="1"/>
    <xf numFmtId="0" fontId="49" fillId="0" borderId="0" xfId="0" applyFont="1" applyAlignment="1">
      <alignment horizontal="center"/>
    </xf>
    <xf numFmtId="0" fontId="20" fillId="8" borderId="1" xfId="0" applyFont="1" applyFill="1" applyBorder="1" applyAlignment="1" applyProtection="1">
      <alignment horizontal="left" wrapText="1"/>
    </xf>
    <xf numFmtId="14" fontId="20" fillId="8" borderId="1" xfId="0" applyNumberFormat="1" applyFont="1" applyFill="1" applyBorder="1" applyAlignment="1" applyProtection="1">
      <alignment horizontal="center" wrapText="1"/>
    </xf>
    <xf numFmtId="0" fontId="21" fillId="8" borderId="1" xfId="0" applyFont="1" applyFill="1" applyBorder="1" applyAlignment="1" applyProtection="1">
      <alignment horizontal="center"/>
    </xf>
    <xf numFmtId="0" fontId="21" fillId="0" borderId="1" xfId="0" applyFont="1" applyBorder="1" applyAlignment="1" applyProtection="1">
      <alignment horizontal="center"/>
      <protection hidden="1"/>
    </xf>
    <xf numFmtId="0" fontId="20" fillId="14" borderId="1" xfId="0" applyFont="1" applyFill="1" applyBorder="1" applyAlignment="1" applyProtection="1">
      <alignment horizontal="right"/>
    </xf>
    <xf numFmtId="14" fontId="20" fillId="4" borderId="1" xfId="0" applyNumberFormat="1" applyFont="1" applyFill="1" applyBorder="1" applyAlignment="1" applyProtection="1">
      <alignment horizontal="center" wrapText="1"/>
      <protection locked="0"/>
    </xf>
    <xf numFmtId="0" fontId="21" fillId="4" borderId="1" xfId="0" applyFont="1" applyFill="1" applyBorder="1" applyAlignment="1" applyProtection="1">
      <alignment horizontal="center"/>
      <protection locked="0"/>
    </xf>
    <xf numFmtId="0" fontId="31" fillId="0" borderId="0" xfId="0" applyFont="1" applyBorder="1" applyAlignment="1" applyProtection="1">
      <alignment horizontal="left" vertical="top" wrapText="1"/>
    </xf>
    <xf numFmtId="1" fontId="20" fillId="0" borderId="1" xfId="0" applyNumberFormat="1" applyFont="1" applyFill="1" applyBorder="1" applyAlignment="1" applyProtection="1">
      <alignment horizontal="left" wrapText="1"/>
      <protection locked="0"/>
    </xf>
    <xf numFmtId="0" fontId="20" fillId="22" borderId="1" xfId="8" applyFont="1" applyBorder="1" applyAlignment="1" applyProtection="1">
      <alignment horizontal="left"/>
    </xf>
    <xf numFmtId="1" fontId="20" fillId="22" borderId="1" xfId="8" applyNumberFormat="1" applyFont="1" applyBorder="1" applyAlignment="1" applyProtection="1">
      <alignment horizontal="left" wrapText="1"/>
    </xf>
    <xf numFmtId="0" fontId="20" fillId="8" borderId="1" xfId="0" applyFont="1" applyFill="1" applyBorder="1" applyAlignment="1" applyProtection="1">
      <alignment horizontal="left"/>
    </xf>
    <xf numFmtId="1" fontId="21" fillId="0" borderId="52" xfId="0" applyNumberFormat="1" applyFont="1" applyBorder="1" applyAlignment="1" applyProtection="1">
      <alignment horizontal="center"/>
      <protection locked="0"/>
    </xf>
    <xf numFmtId="1" fontId="21" fillId="0" borderId="2" xfId="0" applyNumberFormat="1" applyFont="1" applyBorder="1" applyAlignment="1" applyProtection="1">
      <alignment horizontal="center"/>
      <protection locked="0"/>
    </xf>
    <xf numFmtId="0" fontId="80" fillId="0" borderId="0" xfId="0" applyFont="1" applyFill="1" applyBorder="1" applyAlignment="1" applyProtection="1">
      <alignment horizontal="left" vertical="top" wrapText="1"/>
    </xf>
    <xf numFmtId="0" fontId="80" fillId="0" borderId="25" xfId="0" applyFont="1" applyFill="1" applyBorder="1" applyAlignment="1" applyProtection="1">
      <alignment horizontal="left" vertical="top" wrapText="1"/>
    </xf>
    <xf numFmtId="180" fontId="80" fillId="0" borderId="0" xfId="7" applyNumberFormat="1" applyFont="1" applyFill="1" applyBorder="1" applyAlignment="1" applyProtection="1">
      <alignment horizontal="center" vertical="top"/>
    </xf>
    <xf numFmtId="3" fontId="81" fillId="23" borderId="1" xfId="7" applyNumberFormat="1" applyFont="1" applyFill="1" applyBorder="1" applyAlignment="1" applyProtection="1">
      <alignment horizontal="center" vertical="top"/>
    </xf>
    <xf numFmtId="0" fontId="20" fillId="0" borderId="0" xfId="0" applyFont="1" applyFill="1" applyBorder="1" applyAlignment="1" applyProtection="1">
      <alignment horizontal="center" wrapText="1"/>
    </xf>
    <xf numFmtId="0" fontId="20" fillId="0" borderId="25" xfId="0" applyFont="1" applyFill="1" applyBorder="1" applyAlignment="1" applyProtection="1">
      <alignment horizontal="center" wrapText="1"/>
    </xf>
    <xf numFmtId="0" fontId="21" fillId="0" borderId="25" xfId="0" applyFont="1" applyBorder="1" applyAlignment="1" applyProtection="1">
      <alignment horizontal="center"/>
    </xf>
    <xf numFmtId="0" fontId="99" fillId="0" borderId="0" xfId="0" applyFont="1" applyBorder="1" applyAlignment="1" applyProtection="1">
      <alignment horizontal="left" vertical="top" wrapText="1"/>
    </xf>
    <xf numFmtId="0" fontId="0" fillId="0" borderId="0" xfId="0" applyAlignment="1">
      <alignment horizontal="center" wrapText="1"/>
    </xf>
    <xf numFmtId="0" fontId="67" fillId="0" borderId="0" xfId="0" applyFont="1" applyFill="1" applyBorder="1" applyAlignment="1">
      <alignment horizontal="center" vertical="center"/>
    </xf>
    <xf numFmtId="0" fontId="18" fillId="0" borderId="0" xfId="0" applyFont="1" applyAlignment="1">
      <alignment horizontal="left"/>
    </xf>
    <xf numFmtId="0" fontId="69" fillId="0" borderId="0" xfId="0" applyFont="1" applyAlignment="1">
      <alignment horizontal="center" vertical="center" wrapText="1"/>
    </xf>
    <xf numFmtId="0" fontId="6" fillId="0" borderId="18" xfId="0" applyFont="1" applyBorder="1" applyAlignment="1" applyProtection="1">
      <alignment horizontal="left"/>
      <protection locked="0"/>
    </xf>
    <xf numFmtId="0" fontId="18" fillId="0" borderId="19" xfId="0" applyFont="1" applyBorder="1" applyAlignment="1" applyProtection="1">
      <alignment horizontal="left"/>
      <protection locked="0"/>
    </xf>
    <xf numFmtId="0" fontId="18" fillId="0" borderId="20" xfId="0" applyFont="1" applyBorder="1" applyAlignment="1" applyProtection="1">
      <alignment horizontal="left"/>
      <protection locked="0"/>
    </xf>
    <xf numFmtId="185" fontId="18" fillId="0" borderId="18" xfId="0" applyNumberFormat="1" applyFont="1" applyBorder="1" applyAlignment="1" applyProtection="1">
      <alignment horizontal="left"/>
      <protection locked="0"/>
    </xf>
    <xf numFmtId="185" fontId="18" fillId="0" borderId="19" xfId="0" applyNumberFormat="1" applyFont="1" applyBorder="1" applyAlignment="1" applyProtection="1">
      <alignment horizontal="left"/>
      <protection locked="0"/>
    </xf>
    <xf numFmtId="185" fontId="18" fillId="0" borderId="20" xfId="0" applyNumberFormat="1" applyFont="1" applyBorder="1" applyAlignment="1" applyProtection="1">
      <alignment horizontal="left"/>
      <protection locked="0"/>
    </xf>
    <xf numFmtId="0" fontId="1" fillId="0" borderId="0" xfId="0" applyFont="1" applyAlignment="1">
      <alignment horizontal="left"/>
    </xf>
    <xf numFmtId="0" fontId="1" fillId="0" borderId="23" xfId="0" applyFont="1" applyBorder="1" applyAlignment="1" applyProtection="1">
      <alignment horizontal="left" vertical="top" wrapText="1"/>
      <protection locked="0"/>
    </xf>
    <xf numFmtId="0" fontId="1" fillId="0" borderId="24" xfId="0" applyFont="1" applyBorder="1" applyAlignment="1" applyProtection="1">
      <alignment horizontal="left" vertical="top" wrapText="1"/>
      <protection locked="0"/>
    </xf>
    <xf numFmtId="0" fontId="1" fillId="0" borderId="28" xfId="0" applyFont="1" applyBorder="1" applyAlignment="1" applyProtection="1">
      <alignment horizontal="left" vertical="top" wrapText="1"/>
      <protection locked="0"/>
    </xf>
    <xf numFmtId="0" fontId="1" fillId="0" borderId="26" xfId="0" applyFont="1" applyBorder="1" applyAlignment="1" applyProtection="1">
      <alignment horizontal="left" vertical="top" wrapText="1"/>
      <protection locked="0"/>
    </xf>
    <xf numFmtId="0" fontId="1" fillId="0" borderId="27" xfId="0" applyFont="1" applyBorder="1" applyAlignment="1" applyProtection="1">
      <alignment horizontal="left" vertical="top" wrapText="1"/>
      <protection locked="0"/>
    </xf>
    <xf numFmtId="0" fontId="1" fillId="0" borderId="30" xfId="0" applyFont="1" applyBorder="1" applyAlignment="1" applyProtection="1">
      <alignment horizontal="left" vertical="top" wrapText="1"/>
      <protection locked="0"/>
    </xf>
    <xf numFmtId="0" fontId="1" fillId="0" borderId="18" xfId="0" applyFont="1" applyBorder="1" applyAlignment="1" applyProtection="1">
      <alignment horizontal="left"/>
      <protection locked="0"/>
    </xf>
    <xf numFmtId="0" fontId="1" fillId="0" borderId="19" xfId="0" applyFont="1" applyBorder="1" applyAlignment="1" applyProtection="1">
      <alignment horizontal="left"/>
      <protection locked="0"/>
    </xf>
    <xf numFmtId="0" fontId="1" fillId="0" borderId="20" xfId="0" applyFont="1" applyBorder="1" applyAlignment="1" applyProtection="1">
      <alignment horizontal="left"/>
      <protection locked="0"/>
    </xf>
    <xf numFmtId="0" fontId="18" fillId="0" borderId="18" xfId="0" applyFont="1" applyBorder="1" applyAlignment="1" applyProtection="1">
      <alignment horizontal="left"/>
      <protection locked="0"/>
    </xf>
    <xf numFmtId="49" fontId="18" fillId="0" borderId="18" xfId="0" applyNumberFormat="1" applyFont="1" applyBorder="1" applyAlignment="1" applyProtection="1">
      <alignment horizontal="left"/>
      <protection locked="0"/>
    </xf>
    <xf numFmtId="49" fontId="18" fillId="0" borderId="19" xfId="0" applyNumberFormat="1" applyFont="1" applyBorder="1" applyAlignment="1" applyProtection="1">
      <alignment horizontal="left"/>
      <protection locked="0"/>
    </xf>
    <xf numFmtId="49" fontId="18" fillId="0" borderId="20" xfId="0" applyNumberFormat="1" applyFont="1" applyBorder="1" applyAlignment="1" applyProtection="1">
      <alignment horizontal="left"/>
      <protection locked="0"/>
    </xf>
    <xf numFmtId="49" fontId="18" fillId="0" borderId="80" xfId="0" applyNumberFormat="1" applyFont="1" applyBorder="1" applyAlignment="1" applyProtection="1">
      <alignment horizontal="left"/>
      <protection locked="0"/>
    </xf>
    <xf numFmtId="49" fontId="18" fillId="0" borderId="81" xfId="0" applyNumberFormat="1" applyFont="1" applyBorder="1" applyAlignment="1" applyProtection="1">
      <alignment horizontal="left"/>
      <protection locked="0"/>
    </xf>
    <xf numFmtId="49" fontId="18" fillId="0" borderId="82" xfId="0" applyNumberFormat="1" applyFont="1" applyBorder="1" applyAlignment="1" applyProtection="1">
      <alignment horizontal="left"/>
      <protection locked="0"/>
    </xf>
    <xf numFmtId="0" fontId="63" fillId="0" borderId="0" xfId="0" applyFont="1" applyAlignment="1" applyProtection="1">
      <alignment horizontal="center" vertical="center"/>
    </xf>
    <xf numFmtId="0" fontId="18" fillId="25" borderId="18" xfId="0" applyFont="1" applyFill="1" applyBorder="1" applyAlignment="1" applyProtection="1">
      <alignment horizontal="left"/>
    </xf>
    <xf numFmtId="0" fontId="18" fillId="25" borderId="19" xfId="0" applyFont="1" applyFill="1" applyBorder="1" applyAlignment="1" applyProtection="1">
      <alignment horizontal="left"/>
    </xf>
    <xf numFmtId="0" fontId="18" fillId="25" borderId="20" xfId="0" applyFont="1" applyFill="1" applyBorder="1" applyAlignment="1" applyProtection="1">
      <alignment horizontal="left"/>
    </xf>
    <xf numFmtId="0" fontId="18" fillId="0" borderId="83" xfId="0" applyFont="1" applyBorder="1" applyAlignment="1">
      <alignment horizontal="left"/>
    </xf>
    <xf numFmtId="181" fontId="18" fillId="0" borderId="18" xfId="0" applyNumberFormat="1" applyFont="1" applyBorder="1" applyAlignment="1" applyProtection="1">
      <alignment horizontal="left"/>
      <protection locked="0" hidden="1"/>
    </xf>
    <xf numFmtId="181" fontId="18" fillId="0" borderId="19" xfId="0" applyNumberFormat="1" applyFont="1" applyBorder="1" applyAlignment="1" applyProtection="1">
      <alignment horizontal="left"/>
      <protection locked="0" hidden="1"/>
    </xf>
    <xf numFmtId="181" fontId="18" fillId="0" borderId="20" xfId="0" applyNumberFormat="1" applyFont="1" applyBorder="1" applyAlignment="1" applyProtection="1">
      <alignment horizontal="left"/>
      <protection locked="0" hidden="1"/>
    </xf>
    <xf numFmtId="0" fontId="18" fillId="0" borderId="18" xfId="0" applyNumberFormat="1" applyFont="1" applyBorder="1" applyAlignment="1" applyProtection="1">
      <alignment horizontal="left"/>
      <protection locked="0"/>
    </xf>
    <xf numFmtId="0" fontId="18" fillId="0" borderId="19" xfId="0" applyNumberFormat="1" applyFont="1" applyBorder="1" applyAlignment="1" applyProtection="1">
      <alignment horizontal="left"/>
      <protection locked="0"/>
    </xf>
    <xf numFmtId="0" fontId="18" fillId="0" borderId="20" xfId="0" applyNumberFormat="1" applyFont="1" applyBorder="1" applyAlignment="1" applyProtection="1">
      <alignment horizontal="left"/>
      <protection locked="0"/>
    </xf>
    <xf numFmtId="0" fontId="18" fillId="0" borderId="18" xfId="0" applyFont="1" applyBorder="1" applyAlignment="1" applyProtection="1">
      <alignment horizontal="left"/>
      <protection locked="0" hidden="1"/>
    </xf>
    <xf numFmtId="0" fontId="18" fillId="0" borderId="19" xfId="0" applyFont="1" applyBorder="1" applyAlignment="1" applyProtection="1">
      <alignment horizontal="left"/>
      <protection locked="0" hidden="1"/>
    </xf>
    <xf numFmtId="0" fontId="18" fillId="0" borderId="20" xfId="0" applyFont="1" applyBorder="1" applyAlignment="1" applyProtection="1">
      <alignment horizontal="left"/>
      <protection locked="0" hidden="1"/>
    </xf>
    <xf numFmtId="0" fontId="6" fillId="0" borderId="18" xfId="0" applyFont="1" applyBorder="1" applyAlignment="1" applyProtection="1">
      <alignment horizontal="left"/>
      <protection locked="0" hidden="1"/>
    </xf>
    <xf numFmtId="0" fontId="18" fillId="25" borderId="18" xfId="0" applyFont="1" applyFill="1" applyBorder="1" applyAlignment="1" applyProtection="1">
      <alignment horizontal="left"/>
      <protection hidden="1"/>
    </xf>
    <xf numFmtId="0" fontId="18" fillId="25" borderId="19" xfId="0" applyFont="1" applyFill="1" applyBorder="1" applyAlignment="1" applyProtection="1">
      <alignment horizontal="left"/>
      <protection hidden="1"/>
    </xf>
    <xf numFmtId="0" fontId="18" fillId="25" borderId="20" xfId="0" applyFont="1" applyFill="1" applyBorder="1" applyAlignment="1" applyProtection="1">
      <alignment horizontal="left"/>
      <protection hidden="1"/>
    </xf>
    <xf numFmtId="0" fontId="18" fillId="0" borderId="0" xfId="0" applyFont="1" applyBorder="1" applyAlignment="1" applyProtection="1">
      <alignment horizontal="left"/>
    </xf>
    <xf numFmtId="3" fontId="18" fillId="0" borderId="18" xfId="0" applyNumberFormat="1" applyFont="1" applyBorder="1" applyAlignment="1" applyProtection="1">
      <alignment horizontal="left"/>
      <protection locked="0" hidden="1"/>
    </xf>
    <xf numFmtId="3" fontId="18" fillId="0" borderId="18" xfId="0" applyNumberFormat="1" applyFont="1" applyBorder="1" applyAlignment="1" applyProtection="1">
      <alignment horizontal="left"/>
      <protection locked="0"/>
    </xf>
    <xf numFmtId="3" fontId="18" fillId="0" borderId="19" xfId="0" applyNumberFormat="1" applyFont="1" applyBorder="1" applyAlignment="1" applyProtection="1">
      <alignment horizontal="left"/>
      <protection locked="0"/>
    </xf>
    <xf numFmtId="3" fontId="18" fillId="0" borderId="20" xfId="0" applyNumberFormat="1" applyFont="1" applyBorder="1" applyAlignment="1" applyProtection="1">
      <alignment horizontal="left"/>
      <protection locked="0"/>
    </xf>
    <xf numFmtId="0" fontId="6" fillId="0" borderId="23" xfId="0" applyFont="1" applyBorder="1" applyAlignment="1" applyProtection="1">
      <alignment horizontal="left" vertical="top" wrapText="1"/>
      <protection locked="0"/>
    </xf>
    <xf numFmtId="0" fontId="18" fillId="0" borderId="24" xfId="0" applyFont="1" applyBorder="1" applyAlignment="1" applyProtection="1">
      <alignment horizontal="left" vertical="top" wrapText="1"/>
      <protection locked="0"/>
    </xf>
    <xf numFmtId="0" fontId="18" fillId="0" borderId="28" xfId="0" applyFont="1" applyBorder="1" applyAlignment="1" applyProtection="1">
      <alignment horizontal="left" vertical="top" wrapText="1"/>
      <protection locked="0"/>
    </xf>
    <xf numFmtId="0" fontId="18" fillId="0" borderId="21" xfId="0" applyFont="1" applyBorder="1" applyAlignment="1" applyProtection="1">
      <alignment horizontal="left" vertical="top" wrapText="1"/>
      <protection locked="0"/>
    </xf>
    <xf numFmtId="0" fontId="18" fillId="0" borderId="0" xfId="0" applyFont="1" applyBorder="1" applyAlignment="1" applyProtection="1">
      <alignment horizontal="left" vertical="top" wrapText="1"/>
      <protection locked="0"/>
    </xf>
    <xf numFmtId="0" fontId="18" fillId="0" borderId="29" xfId="0" applyFont="1" applyBorder="1" applyAlignment="1" applyProtection="1">
      <alignment horizontal="left" vertical="top" wrapText="1"/>
      <protection locked="0"/>
    </xf>
    <xf numFmtId="0" fontId="18" fillId="0" borderId="26" xfId="0" applyFont="1" applyBorder="1" applyAlignment="1" applyProtection="1">
      <alignment horizontal="left" vertical="top" wrapText="1"/>
      <protection locked="0"/>
    </xf>
    <xf numFmtId="0" fontId="18" fillId="0" borderId="27" xfId="0" applyFont="1" applyBorder="1" applyAlignment="1" applyProtection="1">
      <alignment horizontal="left" vertical="top" wrapText="1"/>
      <protection locked="0"/>
    </xf>
    <xf numFmtId="0" fontId="18" fillId="0" borderId="30" xfId="0" applyFont="1" applyBorder="1" applyAlignment="1" applyProtection="1">
      <alignment horizontal="left" vertical="top" wrapText="1"/>
      <protection locked="0"/>
    </xf>
    <xf numFmtId="0" fontId="18" fillId="0" borderId="0" xfId="0" applyFont="1" applyBorder="1" applyAlignment="1" applyProtection="1">
      <alignment horizontal="left"/>
      <protection locked="0"/>
    </xf>
    <xf numFmtId="185" fontId="18" fillId="0" borderId="18" xfId="0" applyNumberFormat="1" applyFont="1" applyBorder="1" applyAlignment="1" applyProtection="1">
      <alignment horizontal="left"/>
      <protection locked="0" hidden="1"/>
    </xf>
    <xf numFmtId="185" fontId="18" fillId="0" borderId="19" xfId="0" applyNumberFormat="1" applyFont="1" applyBorder="1" applyAlignment="1" applyProtection="1">
      <alignment horizontal="left"/>
      <protection locked="0" hidden="1"/>
    </xf>
    <xf numFmtId="185" fontId="18" fillId="0" borderId="20" xfId="0" applyNumberFormat="1" applyFont="1" applyBorder="1" applyAlignment="1" applyProtection="1">
      <alignment horizontal="left"/>
      <protection locked="0" hidden="1"/>
    </xf>
    <xf numFmtId="166" fontId="18" fillId="0" borderId="18" xfId="0" applyNumberFormat="1" applyFont="1" applyBorder="1" applyAlignment="1" applyProtection="1">
      <alignment horizontal="left"/>
      <protection locked="0"/>
    </xf>
    <xf numFmtId="166" fontId="18" fillId="0" borderId="19" xfId="0" applyNumberFormat="1" applyFont="1" applyBorder="1" applyAlignment="1" applyProtection="1">
      <alignment horizontal="left"/>
      <protection locked="0"/>
    </xf>
    <xf numFmtId="166" fontId="18" fillId="0" borderId="20" xfId="0" applyNumberFormat="1" applyFont="1" applyBorder="1" applyAlignment="1" applyProtection="1">
      <alignment horizontal="left"/>
      <protection locked="0"/>
    </xf>
    <xf numFmtId="0" fontId="12" fillId="0" borderId="18" xfId="1" applyBorder="1" applyAlignment="1" applyProtection="1">
      <alignment horizontal="left"/>
      <protection locked="0"/>
    </xf>
    <xf numFmtId="0" fontId="124" fillId="0" borderId="0" xfId="0" applyFont="1" applyAlignment="1">
      <alignment horizontal="center"/>
    </xf>
    <xf numFmtId="0" fontId="69" fillId="0" borderId="0" xfId="0" applyFont="1" applyAlignment="1" applyProtection="1">
      <alignment horizontal="left" vertical="center" wrapText="1"/>
    </xf>
    <xf numFmtId="0" fontId="69" fillId="0" borderId="0" xfId="0" applyFont="1" applyAlignment="1" applyProtection="1">
      <alignment horizontal="center" vertical="center" wrapText="1"/>
    </xf>
    <xf numFmtId="166" fontId="18" fillId="0" borderId="18" xfId="0" applyNumberFormat="1" applyFont="1" applyBorder="1" applyAlignment="1" applyProtection="1">
      <alignment horizontal="left"/>
      <protection locked="0" hidden="1"/>
    </xf>
    <xf numFmtId="166" fontId="18" fillId="0" borderId="19" xfId="0" applyNumberFormat="1" applyFont="1" applyBorder="1" applyAlignment="1" applyProtection="1">
      <alignment horizontal="left"/>
      <protection locked="0" hidden="1"/>
    </xf>
    <xf numFmtId="166" fontId="18" fillId="0" borderId="20" xfId="0" applyNumberFormat="1" applyFont="1" applyBorder="1" applyAlignment="1" applyProtection="1">
      <alignment horizontal="left"/>
      <protection locked="0" hidden="1"/>
    </xf>
    <xf numFmtId="0" fontId="55" fillId="0" borderId="0" xfId="0" applyFont="1" applyAlignment="1">
      <alignment horizontal="left" wrapText="1"/>
    </xf>
    <xf numFmtId="174" fontId="18" fillId="0" borderId="18" xfId="0" applyNumberFormat="1" applyFont="1" applyFill="1" applyBorder="1" applyAlignment="1" applyProtection="1">
      <alignment horizontal="left"/>
      <protection locked="0"/>
    </xf>
    <xf numFmtId="174" fontId="18" fillId="0" borderId="19" xfId="0" applyNumberFormat="1" applyFont="1" applyFill="1" applyBorder="1" applyAlignment="1" applyProtection="1">
      <alignment horizontal="left"/>
      <protection locked="0"/>
    </xf>
    <xf numFmtId="174" fontId="18" fillId="0" borderId="20" xfId="0" applyNumberFormat="1" applyFont="1" applyFill="1" applyBorder="1" applyAlignment="1" applyProtection="1">
      <alignment horizontal="left"/>
      <protection locked="0"/>
    </xf>
    <xf numFmtId="174" fontId="18" fillId="0" borderId="18" xfId="0" applyNumberFormat="1" applyFont="1" applyBorder="1" applyAlignment="1" applyProtection="1">
      <alignment horizontal="left"/>
      <protection locked="0"/>
    </xf>
    <xf numFmtId="174" fontId="18" fillId="0" borderId="19" xfId="0" applyNumberFormat="1" applyFont="1" applyBorder="1" applyAlignment="1" applyProtection="1">
      <alignment horizontal="left"/>
      <protection locked="0"/>
    </xf>
    <xf numFmtId="174" fontId="18" fillId="0" borderId="20" xfId="0" applyNumberFormat="1" applyFont="1" applyBorder="1" applyAlignment="1" applyProtection="1">
      <alignment horizontal="left"/>
      <protection locked="0"/>
    </xf>
    <xf numFmtId="0" fontId="18" fillId="0" borderId="18" xfId="0" applyNumberFormat="1" applyFont="1" applyBorder="1" applyAlignment="1" applyProtection="1">
      <alignment horizontal="left"/>
      <protection locked="0" hidden="1"/>
    </xf>
    <xf numFmtId="0" fontId="18" fillId="0" borderId="19" xfId="0" applyNumberFormat="1" applyFont="1" applyBorder="1" applyAlignment="1" applyProtection="1">
      <alignment horizontal="left"/>
      <protection locked="0" hidden="1"/>
    </xf>
    <xf numFmtId="0" fontId="18" fillId="0" borderId="20" xfId="0" applyNumberFormat="1" applyFont="1" applyBorder="1" applyAlignment="1" applyProtection="1">
      <alignment horizontal="left"/>
      <protection locked="0" hidden="1"/>
    </xf>
    <xf numFmtId="0" fontId="69" fillId="0" borderId="0" xfId="0" applyFont="1" applyAlignment="1">
      <alignment horizontal="left" wrapText="1"/>
    </xf>
    <xf numFmtId="0" fontId="125" fillId="0" borderId="0" xfId="0" applyFont="1" applyAlignment="1">
      <alignment horizontal="center"/>
    </xf>
    <xf numFmtId="0" fontId="126" fillId="0" borderId="0" xfId="0" applyFont="1" applyAlignment="1" applyProtection="1">
      <alignment horizontal="center"/>
    </xf>
    <xf numFmtId="0" fontId="18" fillId="0" borderId="0" xfId="0" applyFont="1" applyAlignment="1" applyProtection="1">
      <alignment horizontal="left"/>
    </xf>
    <xf numFmtId="0" fontId="71" fillId="0" borderId="18" xfId="1" applyFont="1" applyBorder="1" applyAlignment="1" applyProtection="1">
      <alignment horizontal="left"/>
      <protection locked="0"/>
    </xf>
    <xf numFmtId="0" fontId="92" fillId="0" borderId="0" xfId="0" applyFont="1" applyAlignment="1" applyProtection="1">
      <alignment horizontal="center"/>
    </xf>
    <xf numFmtId="0" fontId="69" fillId="0" borderId="0" xfId="0" applyFont="1" applyAlignment="1">
      <alignment horizontal="center" vertical="top" wrapText="1"/>
    </xf>
    <xf numFmtId="0" fontId="127" fillId="0" borderId="0" xfId="0" applyFont="1" applyAlignment="1">
      <alignment horizontal="center"/>
    </xf>
    <xf numFmtId="14" fontId="18" fillId="0" borderId="18" xfId="0" applyNumberFormat="1" applyFont="1" applyBorder="1" applyAlignment="1" applyProtection="1">
      <alignment horizontal="left"/>
      <protection locked="0"/>
    </xf>
    <xf numFmtId="14" fontId="18" fillId="0" borderId="19" xfId="0" applyNumberFormat="1" applyFont="1" applyBorder="1" applyAlignment="1" applyProtection="1">
      <alignment horizontal="left"/>
      <protection locked="0"/>
    </xf>
    <xf numFmtId="14" fontId="18" fillId="0" borderId="20" xfId="0" applyNumberFormat="1" applyFont="1" applyBorder="1" applyAlignment="1" applyProtection="1">
      <alignment horizontal="left"/>
      <protection locked="0"/>
    </xf>
    <xf numFmtId="0" fontId="128" fillId="0" borderId="0" xfId="0" applyFont="1" applyAlignment="1" applyProtection="1">
      <alignment horizontal="center"/>
    </xf>
    <xf numFmtId="0" fontId="129" fillId="0" borderId="0" xfId="0" applyFont="1" applyAlignment="1">
      <alignment horizontal="center"/>
    </xf>
    <xf numFmtId="0" fontId="130" fillId="0" borderId="0" xfId="0" applyFont="1" applyAlignment="1" applyProtection="1">
      <alignment horizontal="center"/>
    </xf>
    <xf numFmtId="0" fontId="131" fillId="0" borderId="0" xfId="0" applyFont="1" applyAlignment="1">
      <alignment horizontal="center"/>
    </xf>
    <xf numFmtId="0" fontId="132" fillId="0" borderId="0" xfId="0" applyFont="1" applyAlignment="1" applyProtection="1">
      <alignment horizontal="center"/>
    </xf>
    <xf numFmtId="0" fontId="133" fillId="0" borderId="0" xfId="0" applyFont="1" applyAlignment="1">
      <alignment horizontal="center"/>
    </xf>
    <xf numFmtId="0" fontId="134" fillId="0" borderId="0" xfId="0" applyFont="1" applyAlignment="1" applyProtection="1">
      <alignment horizontal="center"/>
    </xf>
    <xf numFmtId="0" fontId="89" fillId="0" borderId="0" xfId="1" applyFont="1" applyFill="1" applyBorder="1" applyAlignment="1">
      <alignment horizontal="left" vertical="top"/>
    </xf>
    <xf numFmtId="0" fontId="89" fillId="0" borderId="0" xfId="1" applyFont="1" applyFill="1" applyBorder="1" applyAlignment="1">
      <alignment horizontal="left" vertical="top" wrapText="1"/>
    </xf>
    <xf numFmtId="0" fontId="17" fillId="0" borderId="0" xfId="0" applyFont="1" applyFill="1" applyBorder="1" applyAlignment="1">
      <alignment horizontal="center" vertical="top"/>
    </xf>
    <xf numFmtId="0" fontId="18" fillId="0" borderId="0" xfId="0" applyFont="1" applyFill="1" applyBorder="1" applyAlignment="1">
      <alignment horizontal="left" vertical="top" wrapText="1"/>
    </xf>
    <xf numFmtId="0" fontId="18" fillId="0" borderId="74" xfId="0" applyFont="1" applyFill="1" applyBorder="1" applyAlignment="1">
      <alignment horizontal="left" vertical="top" wrapText="1"/>
    </xf>
    <xf numFmtId="0" fontId="73" fillId="4" borderId="0" xfId="1" applyFont="1" applyFill="1" applyBorder="1" applyAlignment="1" applyProtection="1">
      <alignment horizontal="center" vertical="center" shrinkToFit="1"/>
      <protection hidden="1"/>
    </xf>
    <xf numFmtId="0" fontId="18" fillId="0" borderId="83" xfId="0" applyFont="1" applyBorder="1"/>
    <xf numFmtId="0" fontId="18" fillId="0" borderId="23" xfId="0" applyFont="1" applyBorder="1" applyAlignment="1" applyProtection="1">
      <alignment horizontal="left" vertical="top" wrapText="1"/>
      <protection locked="0"/>
    </xf>
    <xf numFmtId="0" fontId="18" fillId="0" borderId="83" xfId="0" applyFont="1" applyBorder="1" applyAlignment="1"/>
    <xf numFmtId="0" fontId="1" fillId="8" borderId="42" xfId="0" applyFont="1" applyFill="1" applyBorder="1" applyAlignment="1">
      <alignment horizontal="left" vertical="top" wrapText="1"/>
    </xf>
    <xf numFmtId="0" fontId="18" fillId="8" borderId="22" xfId="0" applyFont="1" applyFill="1" applyBorder="1" applyAlignment="1">
      <alignment horizontal="left" vertical="top" wrapText="1"/>
    </xf>
    <xf numFmtId="0" fontId="18" fillId="8" borderId="3" xfId="0" applyFont="1" applyFill="1" applyBorder="1" applyAlignment="1">
      <alignment horizontal="left" vertical="top" wrapText="1"/>
    </xf>
    <xf numFmtId="0" fontId="18" fillId="8" borderId="41" xfId="0" applyFont="1" applyFill="1" applyBorder="1" applyAlignment="1">
      <alignment horizontal="left" vertical="top" wrapText="1"/>
    </xf>
    <xf numFmtId="0" fontId="18" fillId="8" borderId="0" xfId="0" applyFont="1" applyFill="1" applyBorder="1" applyAlignment="1">
      <alignment horizontal="left" vertical="top" wrapText="1"/>
    </xf>
    <xf numFmtId="0" fontId="18" fillId="8" borderId="4" xfId="0" applyFont="1" applyFill="1" applyBorder="1" applyAlignment="1">
      <alignment horizontal="left" vertical="top" wrapText="1"/>
    </xf>
    <xf numFmtId="0" fontId="18" fillId="8" borderId="43" xfId="0" applyFont="1" applyFill="1" applyBorder="1" applyAlignment="1">
      <alignment horizontal="left" vertical="top" wrapText="1"/>
    </xf>
    <xf numFmtId="0" fontId="18" fillId="8" borderId="25" xfId="0" applyFont="1" applyFill="1" applyBorder="1" applyAlignment="1">
      <alignment horizontal="left" vertical="top" wrapText="1"/>
    </xf>
    <xf numFmtId="0" fontId="18" fillId="8" borderId="5" xfId="0" applyFont="1" applyFill="1" applyBorder="1" applyAlignment="1">
      <alignment horizontal="left" vertical="top" wrapText="1"/>
    </xf>
    <xf numFmtId="0" fontId="18" fillId="8" borderId="42" xfId="0" applyFont="1" applyFill="1" applyBorder="1" applyAlignment="1">
      <alignment horizontal="left" vertical="top" wrapText="1"/>
    </xf>
    <xf numFmtId="0" fontId="18" fillId="0" borderId="18" xfId="0" applyFont="1" applyFill="1" applyBorder="1" applyAlignment="1" applyProtection="1">
      <alignment horizontal="left"/>
      <protection locked="0" hidden="1"/>
    </xf>
    <xf numFmtId="0" fontId="18" fillId="0" borderId="19" xfId="0" applyFont="1" applyFill="1" applyBorder="1" applyAlignment="1" applyProtection="1">
      <alignment horizontal="left"/>
      <protection locked="0" hidden="1"/>
    </xf>
    <xf numFmtId="0" fontId="18" fillId="0" borderId="20" xfId="0" applyFont="1" applyFill="1" applyBorder="1" applyAlignment="1" applyProtection="1">
      <alignment horizontal="left"/>
      <protection locked="0" hidden="1"/>
    </xf>
    <xf numFmtId="166" fontId="18" fillId="0" borderId="18" xfId="0" applyNumberFormat="1" applyFont="1" applyFill="1" applyBorder="1" applyAlignment="1" applyProtection="1">
      <alignment horizontal="left"/>
      <protection locked="0" hidden="1"/>
    </xf>
    <xf numFmtId="166" fontId="18" fillId="0" borderId="19" xfId="0" applyNumberFormat="1" applyFont="1" applyFill="1" applyBorder="1" applyAlignment="1" applyProtection="1">
      <alignment horizontal="left"/>
      <protection locked="0" hidden="1"/>
    </xf>
    <xf numFmtId="166" fontId="18" fillId="0" borderId="20" xfId="0" applyNumberFormat="1" applyFont="1" applyFill="1" applyBorder="1" applyAlignment="1" applyProtection="1">
      <alignment horizontal="left"/>
      <protection locked="0" hidden="1"/>
    </xf>
    <xf numFmtId="0" fontId="18" fillId="0" borderId="18" xfId="0" applyFont="1" applyFill="1" applyBorder="1" applyAlignment="1" applyProtection="1">
      <alignment horizontal="left"/>
      <protection locked="0"/>
    </xf>
    <xf numFmtId="0" fontId="18" fillId="0" borderId="19" xfId="0" applyFont="1" applyFill="1" applyBorder="1" applyAlignment="1" applyProtection="1">
      <alignment horizontal="left"/>
      <protection locked="0"/>
    </xf>
    <xf numFmtId="0" fontId="18" fillId="0" borderId="20" xfId="0" applyFont="1" applyFill="1" applyBorder="1" applyAlignment="1" applyProtection="1">
      <alignment horizontal="left"/>
      <protection locked="0"/>
    </xf>
    <xf numFmtId="49" fontId="6" fillId="0" borderId="18" xfId="0" applyNumberFormat="1" applyFont="1" applyBorder="1" applyAlignment="1" applyProtection="1">
      <alignment horizontal="left"/>
      <protection locked="0"/>
    </xf>
    <xf numFmtId="2" fontId="18" fillId="25" borderId="18" xfId="0" applyNumberFormat="1" applyFont="1" applyFill="1" applyBorder="1" applyAlignment="1" applyProtection="1">
      <alignment horizontal="left"/>
    </xf>
    <xf numFmtId="2" fontId="18" fillId="25" borderId="19" xfId="0" applyNumberFormat="1" applyFont="1" applyFill="1" applyBorder="1" applyAlignment="1" applyProtection="1">
      <alignment horizontal="left"/>
    </xf>
    <xf numFmtId="2" fontId="18" fillId="25" borderId="20" xfId="0" applyNumberFormat="1" applyFont="1" applyFill="1" applyBorder="1" applyAlignment="1" applyProtection="1">
      <alignment horizontal="left"/>
    </xf>
    <xf numFmtId="3" fontId="18" fillId="25" borderId="18" xfId="0" applyNumberFormat="1" applyFont="1" applyFill="1" applyBorder="1" applyAlignment="1" applyProtection="1">
      <alignment horizontal="left"/>
    </xf>
    <xf numFmtId="3" fontId="18" fillId="25" borderId="19" xfId="0" applyNumberFormat="1" applyFont="1" applyFill="1" applyBorder="1" applyAlignment="1" applyProtection="1">
      <alignment horizontal="left"/>
    </xf>
    <xf numFmtId="3" fontId="18" fillId="25" borderId="20" xfId="0" applyNumberFormat="1" applyFont="1" applyFill="1" applyBorder="1" applyAlignment="1" applyProtection="1">
      <alignment horizontal="left"/>
    </xf>
    <xf numFmtId="3" fontId="18" fillId="0" borderId="18" xfId="0" applyNumberFormat="1" applyFont="1" applyFill="1" applyBorder="1" applyAlignment="1" applyProtection="1">
      <alignment horizontal="left"/>
      <protection locked="0"/>
    </xf>
    <xf numFmtId="3" fontId="18" fillId="0" borderId="19" xfId="0" applyNumberFormat="1" applyFont="1" applyFill="1" applyBorder="1" applyAlignment="1" applyProtection="1">
      <alignment horizontal="left"/>
      <protection locked="0"/>
    </xf>
    <xf numFmtId="3" fontId="18" fillId="0" borderId="20" xfId="0" applyNumberFormat="1" applyFont="1" applyFill="1" applyBorder="1" applyAlignment="1" applyProtection="1">
      <alignment horizontal="left"/>
      <protection locked="0"/>
    </xf>
    <xf numFmtId="0" fontId="18" fillId="8" borderId="42" xfId="0" applyFont="1" applyFill="1" applyBorder="1" applyAlignment="1">
      <alignment horizontal="center" vertical="top" wrapText="1"/>
    </xf>
    <xf numFmtId="0" fontId="18" fillId="8" borderId="22" xfId="0" applyFont="1" applyFill="1" applyBorder="1" applyAlignment="1">
      <alignment horizontal="center" vertical="top" wrapText="1"/>
    </xf>
    <xf numFmtId="0" fontId="18" fillId="8" borderId="3" xfId="0" applyFont="1" applyFill="1" applyBorder="1" applyAlignment="1">
      <alignment horizontal="center" vertical="top" wrapText="1"/>
    </xf>
    <xf numFmtId="0" fontId="18" fillId="8" borderId="41" xfId="0" applyFont="1" applyFill="1" applyBorder="1" applyAlignment="1">
      <alignment horizontal="center" vertical="top" wrapText="1"/>
    </xf>
    <xf numFmtId="0" fontId="18" fillId="8" borderId="0" xfId="0" applyFont="1" applyFill="1" applyBorder="1" applyAlignment="1">
      <alignment horizontal="center" vertical="top" wrapText="1"/>
    </xf>
    <xf numFmtId="0" fontId="18" fillId="8" borderId="4" xfId="0" applyFont="1" applyFill="1" applyBorder="1" applyAlignment="1">
      <alignment horizontal="center" vertical="top" wrapText="1"/>
    </xf>
    <xf numFmtId="0" fontId="18" fillId="8" borderId="43" xfId="0" applyFont="1" applyFill="1" applyBorder="1" applyAlignment="1">
      <alignment horizontal="center" vertical="top" wrapText="1"/>
    </xf>
    <xf numFmtId="0" fontId="18" fillId="8" borderId="25" xfId="0" applyFont="1" applyFill="1" applyBorder="1" applyAlignment="1">
      <alignment horizontal="center" vertical="top" wrapText="1"/>
    </xf>
    <xf numFmtId="0" fontId="18" fillId="8" borderId="5" xfId="0" applyFont="1" applyFill="1" applyBorder="1" applyAlignment="1">
      <alignment horizontal="center" vertical="top" wrapText="1"/>
    </xf>
    <xf numFmtId="0" fontId="138" fillId="0" borderId="92" xfId="0" applyFont="1" applyBorder="1" applyAlignment="1">
      <alignment horizontal="left" vertical="center" wrapText="1"/>
    </xf>
    <xf numFmtId="167" fontId="138" fillId="0" borderId="92" xfId="10" applyNumberFormat="1" applyFont="1" applyBorder="1" applyAlignment="1">
      <alignment horizontal="center" vertical="center" wrapText="1"/>
    </xf>
    <xf numFmtId="167" fontId="138" fillId="0" borderId="92" xfId="0" applyNumberFormat="1" applyFont="1" applyBorder="1" applyAlignment="1">
      <alignment horizontal="right" vertical="center" wrapText="1"/>
    </xf>
    <xf numFmtId="0" fontId="137" fillId="40" borderId="92" xfId="0" applyFont="1" applyFill="1" applyBorder="1" applyAlignment="1">
      <alignment horizontal="center" vertical="center" wrapText="1"/>
    </xf>
    <xf numFmtId="183" fontId="18" fillId="25" borderId="18" xfId="0" applyNumberFormat="1" applyFont="1" applyFill="1" applyBorder="1" applyAlignment="1" applyProtection="1">
      <alignment horizontal="left"/>
    </xf>
    <xf numFmtId="183" fontId="18" fillId="25" borderId="19" xfId="0" applyNumberFormat="1" applyFont="1" applyFill="1" applyBorder="1" applyAlignment="1" applyProtection="1">
      <alignment horizontal="left"/>
    </xf>
    <xf numFmtId="183" fontId="18" fillId="25" borderId="20" xfId="0" applyNumberFormat="1" applyFont="1" applyFill="1" applyBorder="1" applyAlignment="1" applyProtection="1">
      <alignment horizontal="left"/>
    </xf>
    <xf numFmtId="167" fontId="18" fillId="25" borderId="18" xfId="0" applyNumberFormat="1" applyFont="1" applyFill="1" applyBorder="1" applyAlignment="1" applyProtection="1">
      <alignment horizontal="left"/>
    </xf>
    <xf numFmtId="167" fontId="18" fillId="25" borderId="19" xfId="0" applyNumberFormat="1" applyFont="1" applyFill="1" applyBorder="1" applyAlignment="1" applyProtection="1">
      <alignment horizontal="left"/>
    </xf>
    <xf numFmtId="167" fontId="18" fillId="25" borderId="20" xfId="0" applyNumberFormat="1" applyFont="1" applyFill="1" applyBorder="1" applyAlignment="1" applyProtection="1">
      <alignment horizontal="left"/>
    </xf>
    <xf numFmtId="167" fontId="18" fillId="0" borderId="0" xfId="0" applyNumberFormat="1" applyFont="1" applyFill="1" applyBorder="1" applyAlignment="1" applyProtection="1">
      <alignment horizontal="left"/>
    </xf>
    <xf numFmtId="167" fontId="18" fillId="0" borderId="18" xfId="0" applyNumberFormat="1" applyFont="1" applyFill="1" applyBorder="1" applyAlignment="1" applyProtection="1">
      <alignment horizontal="left"/>
      <protection locked="0"/>
    </xf>
    <xf numFmtId="167" fontId="18" fillId="0" borderId="19" xfId="0" applyNumberFormat="1" applyFont="1" applyFill="1" applyBorder="1" applyAlignment="1" applyProtection="1">
      <alignment horizontal="left"/>
      <protection locked="0"/>
    </xf>
    <xf numFmtId="167" fontId="18" fillId="0" borderId="20" xfId="0" applyNumberFormat="1" applyFont="1" applyFill="1" applyBorder="1" applyAlignment="1" applyProtection="1">
      <alignment horizontal="left"/>
      <protection locked="0"/>
    </xf>
    <xf numFmtId="0" fontId="138" fillId="0" borderId="92" xfId="0" applyFont="1" applyBorder="1" applyAlignment="1">
      <alignment horizontal="left" vertical="top" wrapText="1"/>
    </xf>
    <xf numFmtId="0" fontId="70" fillId="0" borderId="0" xfId="0" applyFont="1" applyAlignment="1">
      <alignment horizontal="left" vertical="center" wrapText="1"/>
    </xf>
    <xf numFmtId="0" fontId="137" fillId="39" borderId="92" xfId="0" applyFont="1" applyFill="1" applyBorder="1" applyAlignment="1">
      <alignment horizontal="center" vertical="center" wrapText="1"/>
    </xf>
    <xf numFmtId="0" fontId="104" fillId="0" borderId="0" xfId="0" applyFont="1" applyBorder="1" applyAlignment="1">
      <alignment horizontal="left" vertical="top" wrapText="1"/>
    </xf>
    <xf numFmtId="0" fontId="91" fillId="0" borderId="0" xfId="0" applyFont="1" applyAlignment="1">
      <alignment horizontal="center" vertical="center"/>
    </xf>
    <xf numFmtId="167" fontId="85" fillId="29" borderId="0" xfId="0" applyNumberFormat="1" applyFont="1" applyFill="1" applyAlignment="1">
      <alignment horizontal="center" vertical="center"/>
    </xf>
    <xf numFmtId="171" fontId="85" fillId="29" borderId="0" xfId="0" applyNumberFormat="1" applyFont="1" applyFill="1" applyAlignment="1">
      <alignment horizontal="center" vertical="center"/>
    </xf>
    <xf numFmtId="0" fontId="95" fillId="24" borderId="0" xfId="0" applyFont="1" applyFill="1" applyAlignment="1">
      <alignment horizontal="center"/>
    </xf>
    <xf numFmtId="0" fontId="138" fillId="0" borderId="0" xfId="0" applyFont="1" applyFill="1" applyBorder="1" applyAlignment="1">
      <alignment horizontal="left" vertical="top" wrapText="1"/>
    </xf>
    <xf numFmtId="167" fontId="18" fillId="0" borderId="40" xfId="0" applyNumberFormat="1" applyFont="1" applyBorder="1" applyAlignment="1" applyProtection="1">
      <alignment horizontal="center" shrinkToFit="1"/>
    </xf>
    <xf numFmtId="167" fontId="18" fillId="0" borderId="16" xfId="0" applyNumberFormat="1" applyFont="1" applyBorder="1" applyAlignment="1" applyProtection="1">
      <alignment horizontal="center" shrinkToFit="1"/>
    </xf>
    <xf numFmtId="0" fontId="18" fillId="0" borderId="40" xfId="0" applyFont="1" applyBorder="1" applyAlignment="1" applyProtection="1">
      <alignment horizontal="center" shrinkToFit="1"/>
    </xf>
    <xf numFmtId="0" fontId="18" fillId="0" borderId="16" xfId="0" applyFont="1" applyBorder="1" applyAlignment="1" applyProtection="1">
      <alignment horizontal="center" shrinkToFit="1"/>
    </xf>
    <xf numFmtId="1" fontId="18" fillId="0" borderId="18" xfId="0" applyNumberFormat="1" applyFont="1" applyFill="1" applyBorder="1" applyAlignment="1" applyProtection="1">
      <alignment horizontal="left"/>
      <protection locked="0"/>
    </xf>
    <xf numFmtId="1" fontId="18" fillId="0" borderId="19" xfId="0" applyNumberFormat="1" applyFont="1" applyFill="1" applyBorder="1" applyAlignment="1" applyProtection="1">
      <alignment horizontal="left"/>
      <protection locked="0"/>
    </xf>
    <xf numFmtId="1" fontId="18" fillId="0" borderId="20" xfId="0" applyNumberFormat="1" applyFont="1" applyFill="1" applyBorder="1" applyAlignment="1" applyProtection="1">
      <alignment horizontal="left"/>
      <protection locked="0"/>
    </xf>
    <xf numFmtId="0" fontId="18" fillId="0" borderId="40" xfId="0" applyNumberFormat="1" applyFont="1" applyBorder="1" applyAlignment="1" applyProtection="1">
      <alignment horizontal="center" wrapText="1" shrinkToFit="1"/>
    </xf>
    <xf numFmtId="0" fontId="18" fillId="0" borderId="16" xfId="0" applyNumberFormat="1" applyFont="1" applyBorder="1" applyAlignment="1" applyProtection="1">
      <alignment horizontal="center" wrapText="1" shrinkToFit="1"/>
    </xf>
    <xf numFmtId="177" fontId="18" fillId="0" borderId="40" xfId="0" applyNumberFormat="1" applyFont="1" applyBorder="1" applyAlignment="1" applyProtection="1">
      <alignment horizontal="center" wrapText="1" shrinkToFit="1"/>
    </xf>
    <xf numFmtId="177" fontId="18" fillId="0" borderId="16" xfId="0" applyNumberFormat="1" applyFont="1" applyBorder="1" applyAlignment="1" applyProtection="1">
      <alignment horizontal="center" wrapText="1" shrinkToFit="1"/>
    </xf>
    <xf numFmtId="179" fontId="18" fillId="0" borderId="40" xfId="0" applyNumberFormat="1" applyFont="1" applyBorder="1" applyAlignment="1" applyProtection="1">
      <alignment horizontal="center" wrapText="1" shrinkToFit="1"/>
    </xf>
    <xf numFmtId="179" fontId="18" fillId="0" borderId="16" xfId="0" applyNumberFormat="1" applyFont="1" applyBorder="1" applyAlignment="1" applyProtection="1">
      <alignment horizontal="center" wrapText="1" shrinkToFit="1"/>
    </xf>
    <xf numFmtId="0" fontId="18" fillId="0" borderId="0" xfId="0" applyFont="1" applyBorder="1" applyAlignment="1" applyProtection="1">
      <alignment horizontal="center" vertical="center" wrapText="1"/>
    </xf>
    <xf numFmtId="0" fontId="18" fillId="0" borderId="13" xfId="0" applyFont="1" applyBorder="1" applyAlignment="1" applyProtection="1">
      <alignment horizontal="center" vertical="center" wrapText="1"/>
    </xf>
    <xf numFmtId="177" fontId="18" fillId="25" borderId="40" xfId="0" applyNumberFormat="1" applyFont="1" applyFill="1" applyBorder="1" applyAlignment="1" applyProtection="1">
      <alignment horizontal="center" wrapText="1" shrinkToFit="1"/>
    </xf>
    <xf numFmtId="177" fontId="18" fillId="25" borderId="16" xfId="0" applyNumberFormat="1" applyFont="1" applyFill="1" applyBorder="1" applyAlignment="1" applyProtection="1">
      <alignment horizontal="center" wrapText="1" shrinkToFit="1"/>
    </xf>
    <xf numFmtId="179" fontId="18" fillId="25" borderId="40" xfId="0" applyNumberFormat="1" applyFont="1" applyFill="1" applyBorder="1" applyAlignment="1" applyProtection="1">
      <alignment horizontal="center" wrapText="1" shrinkToFit="1"/>
    </xf>
    <xf numFmtId="179" fontId="18" fillId="25" borderId="16" xfId="0" applyNumberFormat="1" applyFont="1" applyFill="1" applyBorder="1" applyAlignment="1" applyProtection="1">
      <alignment horizontal="center" wrapText="1" shrinkToFit="1"/>
    </xf>
    <xf numFmtId="3" fontId="18" fillId="8" borderId="1" xfId="0" applyNumberFormat="1" applyFont="1" applyFill="1" applyBorder="1" applyAlignment="1">
      <alignment horizontal="right"/>
    </xf>
    <xf numFmtId="0" fontId="18" fillId="0" borderId="1" xfId="0" applyFont="1" applyFill="1" applyBorder="1" applyAlignment="1" applyProtection="1">
      <alignment horizontal="left" vertical="top"/>
      <protection locked="0"/>
    </xf>
    <xf numFmtId="3" fontId="18" fillId="0" borderId="1" xfId="0" applyNumberFormat="1" applyFont="1" applyFill="1" applyBorder="1" applyAlignment="1" applyProtection="1">
      <alignment horizontal="right"/>
      <protection locked="0"/>
    </xf>
    <xf numFmtId="0" fontId="18" fillId="41" borderId="0" xfId="0" applyFont="1" applyFill="1" applyBorder="1" applyAlignment="1">
      <alignment horizontal="center"/>
    </xf>
    <xf numFmtId="0" fontId="18" fillId="41" borderId="83" xfId="0" applyFont="1" applyFill="1" applyBorder="1"/>
    <xf numFmtId="0" fontId="18" fillId="41" borderId="83" xfId="0" applyFont="1" applyFill="1" applyBorder="1" applyAlignment="1"/>
    <xf numFmtId="0" fontId="18" fillId="41" borderId="0" xfId="0" applyFont="1" applyFill="1" applyBorder="1" applyAlignment="1">
      <alignment horizontal="center" vertical="top"/>
    </xf>
    <xf numFmtId="0" fontId="5" fillId="0" borderId="1" xfId="0" applyFont="1" applyFill="1" applyBorder="1" applyAlignment="1" applyProtection="1">
      <alignment horizontal="left" vertical="top"/>
      <protection locked="0"/>
    </xf>
    <xf numFmtId="167" fontId="18" fillId="0" borderId="40" xfId="0" applyNumberFormat="1" applyFont="1" applyBorder="1" applyAlignment="1">
      <alignment horizontal="center" shrinkToFit="1"/>
    </xf>
    <xf numFmtId="167" fontId="18" fillId="0" borderId="16" xfId="0" applyNumberFormat="1" applyFont="1" applyBorder="1" applyAlignment="1">
      <alignment horizontal="center" shrinkToFit="1"/>
    </xf>
    <xf numFmtId="0" fontId="18" fillId="0" borderId="40" xfId="0" applyFont="1" applyBorder="1" applyAlignment="1">
      <alignment horizontal="center" shrinkToFit="1"/>
    </xf>
    <xf numFmtId="0" fontId="18" fillId="0" borderId="16" xfId="0" applyFont="1" applyBorder="1" applyAlignment="1">
      <alignment horizontal="center" shrinkToFit="1"/>
    </xf>
    <xf numFmtId="0" fontId="95" fillId="24" borderId="0" xfId="0" applyFont="1" applyFill="1" applyAlignment="1">
      <alignment horizontal="center" vertical="top"/>
    </xf>
    <xf numFmtId="184" fontId="85" fillId="29" borderId="0" xfId="0" applyNumberFormat="1" applyFont="1" applyFill="1" applyAlignment="1">
      <alignment horizontal="center" vertical="center"/>
    </xf>
    <xf numFmtId="167" fontId="18" fillId="0" borderId="18" xfId="0" applyNumberFormat="1" applyFont="1" applyBorder="1" applyAlignment="1" applyProtection="1">
      <alignment horizontal="left"/>
      <protection locked="0"/>
    </xf>
    <xf numFmtId="167" fontId="18" fillId="0" borderId="19" xfId="0" applyNumberFormat="1" applyFont="1" applyBorder="1" applyAlignment="1" applyProtection="1">
      <alignment horizontal="left"/>
      <protection locked="0"/>
    </xf>
    <xf numFmtId="167" fontId="18" fillId="0" borderId="20" xfId="0" applyNumberFormat="1" applyFont="1" applyBorder="1" applyAlignment="1" applyProtection="1">
      <alignment horizontal="left"/>
      <protection locked="0"/>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1" fontId="18" fillId="0" borderId="40" xfId="0" applyNumberFormat="1" applyFont="1" applyBorder="1" applyAlignment="1" applyProtection="1">
      <alignment horizontal="center" wrapText="1" shrinkToFit="1"/>
    </xf>
    <xf numFmtId="1" fontId="18" fillId="0" borderId="16" xfId="0" applyNumberFormat="1" applyFont="1" applyBorder="1" applyAlignment="1" applyProtection="1">
      <alignment horizontal="center" wrapText="1" shrinkToFit="1"/>
    </xf>
    <xf numFmtId="171" fontId="17" fillId="8" borderId="39" xfId="0" applyNumberFormat="1" applyFont="1" applyFill="1" applyBorder="1" applyAlignment="1">
      <alignment horizontal="center" shrinkToFit="1"/>
    </xf>
    <xf numFmtId="171" fontId="17" fillId="8" borderId="0" xfId="0" applyNumberFormat="1" applyFont="1" applyFill="1" applyBorder="1" applyAlignment="1">
      <alignment horizontal="center" shrinkToFit="1"/>
    </xf>
    <xf numFmtId="171" fontId="17" fillId="8" borderId="17" xfId="0" applyNumberFormat="1" applyFont="1" applyFill="1" applyBorder="1" applyAlignment="1">
      <alignment horizontal="center" shrinkToFit="1"/>
    </xf>
    <xf numFmtId="171" fontId="17" fillId="8" borderId="36" xfId="0" applyNumberFormat="1" applyFont="1" applyFill="1" applyBorder="1" applyAlignment="1">
      <alignment horizontal="center" shrinkToFit="1"/>
    </xf>
    <xf numFmtId="171" fontId="17" fillId="8" borderId="37" xfId="0" applyNumberFormat="1" applyFont="1" applyFill="1" applyBorder="1" applyAlignment="1">
      <alignment horizontal="center" shrinkToFit="1"/>
    </xf>
    <xf numFmtId="171" fontId="17" fillId="8" borderId="38" xfId="0" applyNumberFormat="1" applyFont="1" applyFill="1" applyBorder="1" applyAlignment="1">
      <alignment horizontal="center" shrinkToFit="1"/>
    </xf>
    <xf numFmtId="167" fontId="17" fillId="8" borderId="39" xfId="0" applyNumberFormat="1" applyFont="1" applyFill="1" applyBorder="1" applyAlignment="1">
      <alignment horizontal="center" shrinkToFit="1"/>
    </xf>
    <xf numFmtId="167" fontId="17" fillId="8" borderId="0" xfId="0" applyNumberFormat="1" applyFont="1" applyFill="1" applyBorder="1" applyAlignment="1">
      <alignment horizontal="center" shrinkToFit="1"/>
    </xf>
    <xf numFmtId="167" fontId="17" fillId="8" borderId="17" xfId="0" applyNumberFormat="1" applyFont="1" applyFill="1" applyBorder="1" applyAlignment="1">
      <alignment horizontal="center" shrinkToFit="1"/>
    </xf>
    <xf numFmtId="167" fontId="17" fillId="8" borderId="36" xfId="0" applyNumberFormat="1" applyFont="1" applyFill="1" applyBorder="1" applyAlignment="1">
      <alignment horizontal="center" shrinkToFit="1"/>
    </xf>
    <xf numFmtId="167" fontId="17" fillId="8" borderId="37" xfId="0" applyNumberFormat="1" applyFont="1" applyFill="1" applyBorder="1" applyAlignment="1">
      <alignment horizontal="center" shrinkToFit="1"/>
    </xf>
    <xf numFmtId="167" fontId="17" fillId="8" borderId="38" xfId="0" applyNumberFormat="1" applyFont="1" applyFill="1" applyBorder="1" applyAlignment="1">
      <alignment horizontal="center" shrinkToFit="1"/>
    </xf>
    <xf numFmtId="0" fontId="18" fillId="0" borderId="39" xfId="0" applyFont="1" applyBorder="1" applyAlignment="1" applyProtection="1">
      <alignment horizontal="center" wrapText="1"/>
      <protection locked="0"/>
    </xf>
    <xf numFmtId="0" fontId="18" fillId="0" borderId="0" xfId="0" applyFont="1" applyBorder="1" applyAlignment="1" applyProtection="1">
      <alignment horizontal="center" wrapText="1"/>
      <protection locked="0"/>
    </xf>
    <xf numFmtId="0" fontId="18" fillId="0" borderId="17" xfId="0" applyFont="1" applyBorder="1" applyAlignment="1" applyProtection="1">
      <alignment horizontal="center" wrapText="1"/>
      <protection locked="0"/>
    </xf>
    <xf numFmtId="0" fontId="18" fillId="0" borderId="36" xfId="0" applyFont="1" applyBorder="1" applyAlignment="1" applyProtection="1">
      <alignment horizontal="center" wrapText="1"/>
      <protection locked="0"/>
    </xf>
    <xf numFmtId="0" fontId="18" fillId="0" borderId="37" xfId="0" applyFont="1" applyBorder="1" applyAlignment="1" applyProtection="1">
      <alignment horizontal="center" wrapText="1"/>
      <protection locked="0"/>
    </xf>
    <xf numFmtId="0" fontId="18" fillId="0" borderId="38" xfId="0" applyFont="1" applyBorder="1" applyAlignment="1" applyProtection="1">
      <alignment horizontal="center" wrapText="1"/>
      <protection locked="0"/>
    </xf>
    <xf numFmtId="0" fontId="18" fillId="8" borderId="39" xfId="0" applyFont="1" applyFill="1" applyBorder="1" applyAlignment="1">
      <alignment horizontal="center" wrapText="1"/>
    </xf>
    <xf numFmtId="0" fontId="18" fillId="8" borderId="0" xfId="0" applyFont="1" applyFill="1" applyBorder="1" applyAlignment="1">
      <alignment horizontal="center" wrapText="1"/>
    </xf>
    <xf numFmtId="0" fontId="18" fillId="8" borderId="17" xfId="0" applyFont="1" applyFill="1" applyBorder="1" applyAlignment="1">
      <alignment horizontal="center" wrapText="1"/>
    </xf>
    <xf numFmtId="0" fontId="18" fillId="8" borderId="36" xfId="0" applyFont="1" applyFill="1" applyBorder="1" applyAlignment="1">
      <alignment horizontal="center" wrapText="1"/>
    </xf>
    <xf numFmtId="0" fontId="18" fillId="8" borderId="37" xfId="0" applyFont="1" applyFill="1" applyBorder="1" applyAlignment="1">
      <alignment horizontal="center" wrapText="1"/>
    </xf>
    <xf numFmtId="0" fontId="18" fillId="8" borderId="38" xfId="0" applyFont="1" applyFill="1" applyBorder="1" applyAlignment="1">
      <alignment horizontal="center" wrapText="1"/>
    </xf>
    <xf numFmtId="0" fontId="18" fillId="8" borderId="39" xfId="0" applyFont="1" applyFill="1" applyBorder="1" applyAlignment="1">
      <alignment horizontal="center" wrapText="1" shrinkToFit="1"/>
    </xf>
    <xf numFmtId="0" fontId="18" fillId="8" borderId="17" xfId="0" applyFont="1" applyFill="1" applyBorder="1" applyAlignment="1">
      <alignment horizontal="center" wrapText="1" shrinkToFit="1"/>
    </xf>
    <xf numFmtId="0" fontId="18" fillId="8" borderId="36" xfId="0" applyFont="1" applyFill="1" applyBorder="1" applyAlignment="1">
      <alignment horizontal="center" wrapText="1" shrinkToFit="1"/>
    </xf>
    <xf numFmtId="0" fontId="18" fillId="8" borderId="38" xfId="0" applyFont="1" applyFill="1" applyBorder="1" applyAlignment="1">
      <alignment horizontal="center" wrapText="1" shrinkToFit="1"/>
    </xf>
    <xf numFmtId="0" fontId="18" fillId="0" borderId="39" xfId="0" applyFont="1" applyBorder="1" applyAlignment="1" applyProtection="1">
      <alignment horizontal="center" shrinkToFit="1"/>
      <protection locked="0"/>
    </xf>
    <xf numFmtId="0" fontId="18" fillId="0" borderId="17" xfId="0" applyFont="1" applyBorder="1" applyAlignment="1" applyProtection="1">
      <alignment horizontal="center" shrinkToFit="1"/>
      <protection locked="0"/>
    </xf>
    <xf numFmtId="0" fontId="18" fillId="0" borderId="36" xfId="0" applyFont="1" applyBorder="1" applyAlignment="1" applyProtection="1">
      <alignment horizontal="center" shrinkToFit="1"/>
      <protection locked="0"/>
    </xf>
    <xf numFmtId="0" fontId="18" fillId="0" borderId="38" xfId="0" applyFont="1" applyBorder="1" applyAlignment="1" applyProtection="1">
      <alignment horizontal="center" shrinkToFit="1"/>
      <protection locked="0"/>
    </xf>
    <xf numFmtId="167" fontId="18" fillId="0" borderId="39" xfId="0" applyNumberFormat="1" applyFont="1" applyBorder="1" applyAlignment="1" applyProtection="1">
      <alignment horizontal="center" shrinkToFit="1"/>
      <protection locked="0"/>
    </xf>
    <xf numFmtId="167" fontId="18" fillId="0" borderId="17" xfId="0" applyNumberFormat="1" applyFont="1" applyBorder="1" applyAlignment="1" applyProtection="1">
      <alignment horizontal="center" shrinkToFit="1"/>
      <protection locked="0"/>
    </xf>
    <xf numFmtId="167" fontId="18" fillId="0" borderId="36" xfId="0" applyNumberFormat="1" applyFont="1" applyBorder="1" applyAlignment="1" applyProtection="1">
      <alignment horizontal="center" shrinkToFit="1"/>
      <protection locked="0"/>
    </xf>
    <xf numFmtId="167" fontId="18" fillId="0" borderId="38" xfId="0" applyNumberFormat="1" applyFont="1" applyBorder="1" applyAlignment="1" applyProtection="1">
      <alignment horizontal="center" shrinkToFit="1"/>
      <protection locked="0"/>
    </xf>
    <xf numFmtId="169" fontId="17" fillId="8" borderId="39" xfId="0" applyNumberFormat="1" applyFont="1" applyFill="1" applyBorder="1" applyAlignment="1">
      <alignment horizontal="center" shrinkToFit="1"/>
    </xf>
    <xf numFmtId="169" fontId="17" fillId="8" borderId="17" xfId="0" applyNumberFormat="1" applyFont="1" applyFill="1" applyBorder="1" applyAlignment="1">
      <alignment horizontal="center" shrinkToFit="1"/>
    </xf>
    <xf numFmtId="169" fontId="17" fillId="8" borderId="36" xfId="0" applyNumberFormat="1" applyFont="1" applyFill="1" applyBorder="1" applyAlignment="1">
      <alignment horizontal="center" shrinkToFit="1"/>
    </xf>
    <xf numFmtId="169" fontId="17" fillId="8" borderId="38" xfId="0" applyNumberFormat="1" applyFont="1" applyFill="1" applyBorder="1" applyAlignment="1">
      <alignment horizontal="center" shrinkToFit="1"/>
    </xf>
    <xf numFmtId="0" fontId="18" fillId="8" borderId="39" xfId="0" applyFont="1" applyFill="1" applyBorder="1" applyAlignment="1" applyProtection="1">
      <alignment horizontal="center" wrapText="1" shrinkToFit="1"/>
    </xf>
    <xf numFmtId="0" fontId="18" fillId="8" borderId="17" xfId="0" applyFont="1" applyFill="1" applyBorder="1" applyAlignment="1" applyProtection="1">
      <alignment horizontal="center" wrapText="1" shrinkToFit="1"/>
    </xf>
    <xf numFmtId="0" fontId="18" fillId="8" borderId="36" xfId="0" applyFont="1" applyFill="1" applyBorder="1" applyAlignment="1" applyProtection="1">
      <alignment horizontal="center" wrapText="1" shrinkToFit="1"/>
    </xf>
    <xf numFmtId="0" fontId="18" fillId="8" borderId="38" xfId="0" applyFont="1" applyFill="1" applyBorder="1" applyAlignment="1" applyProtection="1">
      <alignment horizontal="center" wrapText="1" shrinkToFit="1"/>
    </xf>
    <xf numFmtId="0" fontId="18" fillId="0" borderId="0" xfId="0" applyFont="1" applyBorder="1" applyAlignment="1">
      <alignment horizontal="center" wrapText="1"/>
    </xf>
    <xf numFmtId="0" fontId="18" fillId="0" borderId="13" xfId="0" applyFont="1" applyBorder="1" applyAlignment="1">
      <alignment horizontal="center" wrapText="1"/>
    </xf>
    <xf numFmtId="164" fontId="0" fillId="0" borderId="17" xfId="0" applyNumberFormat="1" applyBorder="1" applyAlignment="1">
      <alignment horizontal="right" vertical="center"/>
    </xf>
    <xf numFmtId="164" fontId="18" fillId="0" borderId="17" xfId="0" applyNumberFormat="1" applyFont="1" applyBorder="1" applyAlignment="1">
      <alignment horizontal="right" vertical="center"/>
    </xf>
    <xf numFmtId="164" fontId="18" fillId="0" borderId="0" xfId="0" applyNumberFormat="1" applyFont="1" applyBorder="1" applyAlignment="1">
      <alignment horizontal="right" vertical="center"/>
    </xf>
    <xf numFmtId="177" fontId="18" fillId="0" borderId="40" xfId="0" applyNumberFormat="1" applyFont="1" applyBorder="1" applyAlignment="1">
      <alignment horizontal="center" shrinkToFit="1"/>
    </xf>
    <xf numFmtId="177" fontId="18" fillId="0" borderId="16" xfId="0" applyNumberFormat="1" applyFont="1" applyBorder="1" applyAlignment="1">
      <alignment horizontal="center" shrinkToFit="1"/>
    </xf>
    <xf numFmtId="167" fontId="0" fillId="0" borderId="40" xfId="0" applyNumberFormat="1" applyBorder="1" applyAlignment="1">
      <alignment horizontal="center" shrinkToFit="1"/>
    </xf>
    <xf numFmtId="167" fontId="0" fillId="0" borderId="16" xfId="0" applyNumberFormat="1" applyBorder="1" applyAlignment="1">
      <alignment horizontal="center" shrinkToFit="1"/>
    </xf>
    <xf numFmtId="176" fontId="17" fillId="8" borderId="39" xfId="0" applyNumberFormat="1" applyFont="1" applyFill="1" applyBorder="1" applyAlignment="1">
      <alignment horizontal="center" shrinkToFit="1"/>
    </xf>
    <xf numFmtId="176" fontId="17" fillId="8" borderId="0" xfId="0" applyNumberFormat="1" applyFont="1" applyFill="1" applyBorder="1" applyAlignment="1">
      <alignment horizontal="center" shrinkToFit="1"/>
    </xf>
    <xf numFmtId="176" fontId="17" fillId="8" borderId="17" xfId="0" applyNumberFormat="1" applyFont="1" applyFill="1" applyBorder="1" applyAlignment="1">
      <alignment horizontal="center" shrinkToFit="1"/>
    </xf>
    <xf numFmtId="176" fontId="17" fillId="8" borderId="36" xfId="0" applyNumberFormat="1" applyFont="1" applyFill="1" applyBorder="1" applyAlignment="1">
      <alignment horizontal="center" shrinkToFit="1"/>
    </xf>
    <xf numFmtId="176" fontId="17" fillId="8" borderId="37" xfId="0" applyNumberFormat="1" applyFont="1" applyFill="1" applyBorder="1" applyAlignment="1">
      <alignment horizontal="center" shrinkToFit="1"/>
    </xf>
    <xf numFmtId="176" fontId="17" fillId="8" borderId="38" xfId="0" applyNumberFormat="1" applyFont="1" applyFill="1" applyBorder="1" applyAlignment="1">
      <alignment horizontal="center" shrinkToFit="1"/>
    </xf>
    <xf numFmtId="167" fontId="18" fillId="5" borderId="0" xfId="0" applyNumberFormat="1" applyFont="1" applyFill="1" applyAlignment="1">
      <alignment horizontal="center"/>
    </xf>
    <xf numFmtId="0" fontId="0" fillId="0" borderId="0" xfId="0" applyBorder="1" applyAlignment="1">
      <alignment horizontal="center" wrapText="1"/>
    </xf>
    <xf numFmtId="0" fontId="0" fillId="0" borderId="0" xfId="0" applyBorder="1" applyAlignment="1">
      <alignment horizontal="center"/>
    </xf>
    <xf numFmtId="167" fontId="0" fillId="0" borderId="42" xfId="0" applyNumberFormat="1" applyBorder="1" applyAlignment="1">
      <alignment horizontal="center" vertical="center"/>
    </xf>
    <xf numFmtId="167" fontId="0" fillId="0" borderId="22" xfId="0" applyNumberFormat="1" applyBorder="1" applyAlignment="1">
      <alignment horizontal="center" vertical="center"/>
    </xf>
    <xf numFmtId="167" fontId="0" fillId="0" borderId="3" xfId="0" applyNumberFormat="1" applyBorder="1" applyAlignment="1">
      <alignment horizontal="center" vertical="center"/>
    </xf>
    <xf numFmtId="167" fontId="0" fillId="0" borderId="41" xfId="0" applyNumberFormat="1" applyBorder="1" applyAlignment="1">
      <alignment horizontal="center" vertical="center"/>
    </xf>
    <xf numFmtId="167" fontId="0" fillId="0" borderId="0" xfId="0" applyNumberFormat="1" applyBorder="1" applyAlignment="1">
      <alignment horizontal="center" vertical="center"/>
    </xf>
    <xf numFmtId="167" fontId="0" fillId="0" borderId="4" xfId="0" applyNumberFormat="1" applyBorder="1" applyAlignment="1">
      <alignment horizontal="center" vertical="center"/>
    </xf>
    <xf numFmtId="0" fontId="13" fillId="0" borderId="42"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1"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4" xfId="0" applyFont="1" applyBorder="1" applyAlignment="1">
      <alignment horizontal="center" vertical="center" wrapText="1"/>
    </xf>
    <xf numFmtId="9" fontId="14" fillId="0" borderId="42" xfId="6" applyFont="1" applyBorder="1" applyAlignment="1">
      <alignment horizontal="center" vertical="center"/>
    </xf>
    <xf numFmtId="9" fontId="14" fillId="0" borderId="3" xfId="6" applyFont="1" applyBorder="1" applyAlignment="1">
      <alignment horizontal="center" vertical="center"/>
    </xf>
    <xf numFmtId="9" fontId="14" fillId="0" borderId="41" xfId="6" applyFont="1" applyBorder="1" applyAlignment="1">
      <alignment horizontal="center" vertical="center"/>
    </xf>
    <xf numFmtId="9" fontId="14" fillId="0" borderId="4" xfId="6" applyFont="1" applyBorder="1" applyAlignment="1">
      <alignment horizontal="center" vertical="center"/>
    </xf>
    <xf numFmtId="0" fontId="34" fillId="7" borderId="0" xfId="0" applyFont="1" applyFill="1" applyAlignment="1">
      <alignment horizontal="center"/>
    </xf>
    <xf numFmtId="176" fontId="18" fillId="5" borderId="0" xfId="0" applyNumberFormat="1" applyFont="1" applyFill="1" applyAlignment="1">
      <alignment horizontal="center"/>
    </xf>
    <xf numFmtId="0" fontId="72" fillId="0" borderId="0" xfId="0" applyFont="1" applyAlignment="1">
      <alignment horizontal="center" vertical="center"/>
    </xf>
    <xf numFmtId="0" fontId="58" fillId="21" borderId="0" xfId="0" applyFont="1" applyFill="1" applyAlignment="1">
      <alignment horizontal="center" wrapText="1"/>
    </xf>
    <xf numFmtId="0" fontId="0" fillId="0" borderId="13" xfId="0" applyBorder="1" applyAlignment="1">
      <alignment horizontal="center" wrapText="1"/>
    </xf>
    <xf numFmtId="0" fontId="18" fillId="0" borderId="113" xfId="0" applyFont="1" applyBorder="1" applyAlignment="1" applyProtection="1">
      <alignment horizontal="center" wrapText="1"/>
      <protection locked="0"/>
    </xf>
    <xf numFmtId="0" fontId="18" fillId="0" borderId="115" xfId="0" applyFont="1" applyBorder="1" applyAlignment="1" applyProtection="1">
      <alignment horizontal="center" wrapText="1"/>
      <protection locked="0"/>
    </xf>
    <xf numFmtId="0" fontId="18" fillId="0" borderId="114" xfId="0" applyFont="1" applyBorder="1" applyAlignment="1" applyProtection="1">
      <alignment horizontal="center" wrapText="1"/>
      <protection locked="0"/>
    </xf>
    <xf numFmtId="0" fontId="1" fillId="0" borderId="113" xfId="0" applyFont="1" applyBorder="1" applyAlignment="1" applyProtection="1">
      <alignment horizontal="center" wrapText="1"/>
      <protection locked="0"/>
    </xf>
    <xf numFmtId="0" fontId="31" fillId="0" borderId="40" xfId="0" applyFont="1" applyBorder="1" applyAlignment="1" applyProtection="1">
      <alignment horizontal="center" wrapText="1"/>
      <protection locked="0"/>
    </xf>
    <xf numFmtId="0" fontId="31" fillId="0" borderId="16" xfId="0" applyFont="1" applyBorder="1" applyAlignment="1" applyProtection="1">
      <alignment horizontal="center" wrapText="1"/>
      <protection locked="0"/>
    </xf>
    <xf numFmtId="0" fontId="18" fillId="0" borderId="40" xfId="0" applyFont="1" applyBorder="1" applyAlignment="1" applyProtection="1">
      <alignment horizontal="center" shrinkToFit="1"/>
      <protection locked="0"/>
    </xf>
    <xf numFmtId="0" fontId="18" fillId="0" borderId="16" xfId="0" applyFont="1" applyBorder="1" applyAlignment="1" applyProtection="1">
      <alignment horizontal="center" shrinkToFit="1"/>
      <protection locked="0"/>
    </xf>
    <xf numFmtId="3" fontId="18" fillId="0" borderId="40" xfId="0" applyNumberFormat="1" applyFont="1" applyBorder="1" applyAlignment="1" applyProtection="1">
      <alignment horizontal="center" shrinkToFit="1"/>
      <protection locked="0"/>
    </xf>
    <xf numFmtId="3" fontId="18" fillId="0" borderId="68" xfId="0" applyNumberFormat="1" applyFont="1" applyBorder="1" applyAlignment="1" applyProtection="1">
      <alignment horizontal="center" shrinkToFit="1"/>
      <protection locked="0"/>
    </xf>
    <xf numFmtId="3" fontId="18" fillId="0" borderId="16" xfId="0" applyNumberFormat="1" applyFont="1" applyBorder="1" applyAlignment="1" applyProtection="1">
      <alignment horizontal="center" shrinkToFit="1"/>
      <protection locked="0"/>
    </xf>
    <xf numFmtId="3" fontId="18" fillId="0" borderId="67" xfId="0" applyNumberFormat="1" applyFont="1" applyBorder="1" applyAlignment="1" applyProtection="1">
      <alignment horizontal="center" shrinkToFit="1"/>
      <protection locked="0"/>
    </xf>
    <xf numFmtId="0" fontId="18" fillId="0" borderId="40" xfId="0" applyFont="1" applyBorder="1" applyAlignment="1" applyProtection="1">
      <alignment horizontal="center" wrapText="1"/>
      <protection locked="0"/>
    </xf>
    <xf numFmtId="0" fontId="18" fillId="0" borderId="16" xfId="0" applyFont="1" applyBorder="1" applyAlignment="1" applyProtection="1">
      <alignment horizontal="center" wrapText="1"/>
      <protection locked="0"/>
    </xf>
    <xf numFmtId="167" fontId="85" fillId="30" borderId="0" xfId="0" applyNumberFormat="1" applyFont="1" applyFill="1" applyAlignment="1">
      <alignment horizontal="center" vertical="center"/>
    </xf>
    <xf numFmtId="171" fontId="85" fillId="30" borderId="0" xfId="0" applyNumberFormat="1" applyFont="1" applyFill="1" applyAlignment="1">
      <alignment horizontal="center" vertical="center"/>
    </xf>
    <xf numFmtId="0" fontId="31" fillId="0" borderId="0" xfId="0" applyFont="1" applyBorder="1" applyAlignment="1">
      <alignment horizontal="center" wrapText="1"/>
    </xf>
    <xf numFmtId="0" fontId="31" fillId="0" borderId="13" xfId="0" applyFont="1" applyBorder="1" applyAlignment="1">
      <alignment horizontal="center" wrapText="1"/>
    </xf>
    <xf numFmtId="0" fontId="1" fillId="0" borderId="17" xfId="0" applyFont="1" applyBorder="1" applyAlignment="1" applyProtection="1">
      <alignment horizontal="center" wrapText="1"/>
      <protection locked="0"/>
    </xf>
    <xf numFmtId="4" fontId="18" fillId="0" borderId="40" xfId="0" applyNumberFormat="1" applyFont="1" applyBorder="1" applyAlignment="1" applyProtection="1">
      <alignment horizontal="center" wrapText="1" shrinkToFit="1"/>
    </xf>
    <xf numFmtId="4" fontId="18" fillId="0" borderId="16" xfId="0" applyNumberFormat="1" applyFont="1" applyBorder="1" applyAlignment="1" applyProtection="1">
      <alignment horizontal="center" wrapText="1" shrinkToFit="1"/>
    </xf>
    <xf numFmtId="3" fontId="18" fillId="0" borderId="66" xfId="0" applyNumberFormat="1" applyFont="1" applyBorder="1" applyAlignment="1" applyProtection="1">
      <alignment horizontal="center" shrinkToFit="1"/>
      <protection locked="0"/>
    </xf>
    <xf numFmtId="3" fontId="18" fillId="0" borderId="65" xfId="0" applyNumberFormat="1" applyFont="1" applyBorder="1" applyAlignment="1" applyProtection="1">
      <alignment horizontal="center" shrinkToFit="1"/>
      <protection locked="0"/>
    </xf>
    <xf numFmtId="49" fontId="18" fillId="0" borderId="40" xfId="0" applyNumberFormat="1" applyFont="1" applyBorder="1" applyAlignment="1" applyProtection="1">
      <alignment horizontal="center" wrapText="1" shrinkToFit="1"/>
    </xf>
    <xf numFmtId="49" fontId="18" fillId="0" borderId="16" xfId="0" applyNumberFormat="1" applyFont="1" applyBorder="1" applyAlignment="1" applyProtection="1">
      <alignment horizontal="center" wrapText="1" shrinkToFit="1"/>
    </xf>
    <xf numFmtId="4" fontId="18" fillId="0" borderId="40" xfId="0" applyNumberFormat="1" applyFont="1" applyBorder="1" applyAlignment="1" applyProtection="1">
      <alignment horizontal="center" shrinkToFit="1"/>
    </xf>
    <xf numFmtId="4" fontId="18" fillId="0" borderId="16" xfId="0" applyNumberFormat="1" applyFont="1" applyBorder="1" applyAlignment="1" applyProtection="1">
      <alignment horizontal="center" shrinkToFit="1"/>
    </xf>
    <xf numFmtId="3" fontId="18" fillId="0" borderId="40" xfId="0" applyNumberFormat="1" applyFont="1" applyBorder="1" applyAlignment="1" applyProtection="1">
      <alignment horizontal="center" wrapText="1" shrinkToFit="1"/>
    </xf>
    <xf numFmtId="3" fontId="18" fillId="0" borderId="16" xfId="0" applyNumberFormat="1" applyFont="1" applyBorder="1" applyAlignment="1" applyProtection="1">
      <alignment horizontal="center" wrapText="1" shrinkToFit="1"/>
    </xf>
    <xf numFmtId="167" fontId="17" fillId="8" borderId="16" xfId="0" applyNumberFormat="1" applyFont="1" applyFill="1" applyBorder="1" applyAlignment="1">
      <alignment horizontal="center" shrinkToFit="1"/>
    </xf>
    <xf numFmtId="167" fontId="17" fillId="8" borderId="69" xfId="0" applyNumberFormat="1" applyFont="1" applyFill="1" applyBorder="1" applyAlignment="1">
      <alignment horizontal="center" shrinkToFit="1"/>
    </xf>
    <xf numFmtId="167" fontId="17" fillId="8" borderId="15" xfId="0" applyNumberFormat="1" applyFont="1" applyFill="1" applyBorder="1" applyAlignment="1">
      <alignment horizontal="center" shrinkToFit="1"/>
    </xf>
    <xf numFmtId="167" fontId="15" fillId="8" borderId="16" xfId="0" applyNumberFormat="1" applyFont="1" applyFill="1" applyBorder="1" applyAlignment="1">
      <alignment horizontal="center" wrapText="1"/>
    </xf>
    <xf numFmtId="167" fontId="15" fillId="8" borderId="15" xfId="0" applyNumberFormat="1" applyFont="1" applyFill="1" applyBorder="1" applyAlignment="1">
      <alignment horizontal="center" wrapText="1"/>
    </xf>
    <xf numFmtId="171" fontId="17" fillId="8" borderId="16" xfId="0" applyNumberFormat="1" applyFont="1" applyFill="1" applyBorder="1" applyAlignment="1">
      <alignment horizontal="center" shrinkToFit="1"/>
    </xf>
    <xf numFmtId="171" fontId="17" fillId="8" borderId="15" xfId="0" applyNumberFormat="1" applyFont="1" applyFill="1" applyBorder="1" applyAlignment="1">
      <alignment horizontal="center" shrinkToFit="1"/>
    </xf>
    <xf numFmtId="167" fontId="18" fillId="0" borderId="40" xfId="0" applyNumberFormat="1" applyFont="1" applyBorder="1" applyAlignment="1" applyProtection="1">
      <alignment horizontal="center" shrinkToFit="1"/>
      <protection locked="0"/>
    </xf>
    <xf numFmtId="167" fontId="18" fillId="0" borderId="66" xfId="0" applyNumberFormat="1" applyFont="1" applyBorder="1" applyAlignment="1" applyProtection="1">
      <alignment horizontal="center" shrinkToFit="1"/>
      <protection locked="0"/>
    </xf>
    <xf numFmtId="167" fontId="18" fillId="0" borderId="16" xfId="0" applyNumberFormat="1" applyFont="1" applyBorder="1" applyAlignment="1" applyProtection="1">
      <alignment horizontal="center" shrinkToFit="1"/>
      <protection locked="0"/>
    </xf>
    <xf numFmtId="167" fontId="18" fillId="0" borderId="65" xfId="0" applyNumberFormat="1" applyFont="1" applyBorder="1" applyAlignment="1" applyProtection="1">
      <alignment horizontal="center" shrinkToFit="1"/>
      <protection locked="0"/>
    </xf>
    <xf numFmtId="172" fontId="18" fillId="0" borderId="40" xfId="0" applyNumberFormat="1" applyFont="1" applyBorder="1" applyAlignment="1" applyProtection="1">
      <alignment horizontal="center" shrinkToFit="1"/>
    </xf>
    <xf numFmtId="172" fontId="18" fillId="0" borderId="16" xfId="0" applyNumberFormat="1" applyFont="1" applyBorder="1" applyAlignment="1" applyProtection="1">
      <alignment horizontal="center" shrinkToFit="1"/>
    </xf>
    <xf numFmtId="178" fontId="18" fillId="0" borderId="40" xfId="0" applyNumberFormat="1" applyFont="1" applyBorder="1" applyAlignment="1" applyProtection="1">
      <alignment horizontal="center" wrapText="1" shrinkToFit="1"/>
    </xf>
    <xf numFmtId="178" fontId="18" fillId="0" borderId="16" xfId="0" applyNumberFormat="1" applyFont="1" applyBorder="1" applyAlignment="1" applyProtection="1">
      <alignment horizontal="center" wrapText="1" shrinkToFit="1"/>
    </xf>
    <xf numFmtId="0" fontId="7" fillId="0" borderId="40" xfId="0" applyNumberFormat="1" applyFont="1" applyBorder="1" applyAlignment="1" applyProtection="1">
      <alignment horizontal="center" wrapText="1" shrinkToFit="1"/>
    </xf>
    <xf numFmtId="0" fontId="7" fillId="0" borderId="16" xfId="0" applyNumberFormat="1" applyFont="1" applyBorder="1" applyAlignment="1" applyProtection="1">
      <alignment horizontal="center" wrapText="1" shrinkToFit="1"/>
    </xf>
    <xf numFmtId="3" fontId="7" fillId="0" borderId="40" xfId="0" applyNumberFormat="1" applyFont="1" applyBorder="1" applyAlignment="1" applyProtection="1">
      <alignment horizontal="center" wrapText="1" shrinkToFit="1"/>
    </xf>
    <xf numFmtId="3" fontId="7" fillId="0" borderId="16" xfId="0" applyNumberFormat="1" applyFont="1" applyBorder="1" applyAlignment="1" applyProtection="1">
      <alignment horizontal="center" wrapText="1" shrinkToFit="1"/>
    </xf>
    <xf numFmtId="3" fontId="7" fillId="0" borderId="40" xfId="0" applyNumberFormat="1" applyFont="1" applyBorder="1" applyAlignment="1" applyProtection="1">
      <alignment horizontal="center" shrinkToFit="1"/>
    </xf>
    <xf numFmtId="3" fontId="7" fillId="0" borderId="16" xfId="0" applyNumberFormat="1" applyFont="1" applyBorder="1" applyAlignment="1" applyProtection="1">
      <alignment horizontal="center" shrinkToFit="1"/>
    </xf>
    <xf numFmtId="167" fontId="7" fillId="0" borderId="40" xfId="0" applyNumberFormat="1" applyFont="1" applyBorder="1" applyAlignment="1" applyProtection="1">
      <alignment horizontal="center" shrinkToFit="1"/>
    </xf>
    <xf numFmtId="167" fontId="7" fillId="0" borderId="16" xfId="0" applyNumberFormat="1" applyFont="1" applyBorder="1" applyAlignment="1" applyProtection="1">
      <alignment horizontal="center" shrinkToFit="1"/>
    </xf>
    <xf numFmtId="178" fontId="7" fillId="0" borderId="40" xfId="0" applyNumberFormat="1" applyFont="1" applyBorder="1" applyAlignment="1" applyProtection="1">
      <alignment horizontal="center" shrinkToFit="1"/>
    </xf>
    <xf numFmtId="178" fontId="7" fillId="0" borderId="16" xfId="0" applyNumberFormat="1" applyFont="1" applyBorder="1" applyAlignment="1" applyProtection="1">
      <alignment horizontal="center" shrinkToFit="1"/>
    </xf>
    <xf numFmtId="0" fontId="7" fillId="0" borderId="0" xfId="0" applyFont="1" applyBorder="1" applyAlignment="1" applyProtection="1">
      <alignment horizontal="center" wrapText="1"/>
    </xf>
    <xf numFmtId="0" fontId="7" fillId="0" borderId="13" xfId="0" applyFont="1" applyBorder="1" applyAlignment="1" applyProtection="1">
      <alignment horizontal="center" wrapText="1"/>
    </xf>
    <xf numFmtId="1" fontId="7" fillId="0" borderId="113" xfId="0" applyNumberFormat="1" applyFont="1" applyBorder="1" applyAlignment="1" applyProtection="1">
      <alignment horizontal="center" shrinkToFit="1"/>
      <protection locked="0" hidden="1"/>
    </xf>
    <xf numFmtId="1" fontId="7" fillId="0" borderId="115" xfId="0" applyNumberFormat="1" applyFont="1" applyBorder="1" applyAlignment="1" applyProtection="1">
      <alignment horizontal="center" shrinkToFit="1"/>
      <protection locked="0" hidden="1"/>
    </xf>
    <xf numFmtId="1" fontId="7" fillId="0" borderId="36" xfId="0" applyNumberFormat="1" applyFont="1" applyBorder="1" applyAlignment="1" applyProtection="1">
      <alignment horizontal="center" shrinkToFit="1"/>
      <protection locked="0" hidden="1"/>
    </xf>
    <xf numFmtId="1" fontId="7" fillId="0" borderId="38" xfId="0" applyNumberFormat="1" applyFont="1" applyBorder="1" applyAlignment="1" applyProtection="1">
      <alignment horizontal="center" shrinkToFit="1"/>
      <protection locked="0" hidden="1"/>
    </xf>
    <xf numFmtId="186" fontId="7" fillId="0" borderId="113" xfId="0" applyNumberFormat="1" applyFont="1" applyBorder="1" applyAlignment="1" applyProtection="1">
      <alignment horizontal="center" shrinkToFit="1"/>
      <protection locked="0" hidden="1"/>
    </xf>
    <xf numFmtId="186" fontId="7" fillId="0" borderId="115" xfId="0" applyNumberFormat="1" applyFont="1" applyBorder="1" applyAlignment="1" applyProtection="1">
      <alignment horizontal="center" shrinkToFit="1"/>
      <protection locked="0" hidden="1"/>
    </xf>
    <xf numFmtId="186" fontId="7" fillId="0" borderId="36" xfId="0" applyNumberFormat="1" applyFont="1" applyBorder="1" applyAlignment="1" applyProtection="1">
      <alignment horizontal="center" shrinkToFit="1"/>
      <protection locked="0" hidden="1"/>
    </xf>
    <xf numFmtId="186" fontId="7" fillId="0" borderId="38" xfId="0" applyNumberFormat="1" applyFont="1" applyBorder="1" applyAlignment="1" applyProtection="1">
      <alignment horizontal="center" shrinkToFit="1"/>
      <protection locked="0" hidden="1"/>
    </xf>
    <xf numFmtId="1" fontId="7" fillId="0" borderId="114" xfId="0" applyNumberFormat="1" applyFont="1" applyFill="1" applyBorder="1" applyAlignment="1" applyProtection="1">
      <alignment horizontal="center" wrapText="1"/>
      <protection hidden="1"/>
    </xf>
    <xf numFmtId="0" fontId="7" fillId="0" borderId="114" xfId="0" applyFont="1" applyFill="1" applyBorder="1" applyAlignment="1" applyProtection="1">
      <alignment horizontal="center" wrapText="1"/>
      <protection hidden="1"/>
    </xf>
    <xf numFmtId="0" fontId="7" fillId="0" borderId="211" xfId="0" applyFont="1" applyFill="1" applyBorder="1" applyAlignment="1" applyProtection="1">
      <alignment horizontal="center" wrapText="1"/>
      <protection hidden="1"/>
    </xf>
    <xf numFmtId="189" fontId="7" fillId="8" borderId="113" xfId="0" applyNumberFormat="1" applyFont="1" applyFill="1" applyBorder="1" applyAlignment="1" applyProtection="1">
      <alignment horizontal="center" shrinkToFit="1"/>
      <protection hidden="1"/>
    </xf>
    <xf numFmtId="189" fontId="7" fillId="8" borderId="115" xfId="0" applyNumberFormat="1" applyFont="1" applyFill="1" applyBorder="1" applyAlignment="1" applyProtection="1">
      <alignment horizontal="center" shrinkToFit="1"/>
      <protection hidden="1"/>
    </xf>
    <xf numFmtId="189" fontId="7" fillId="8" borderId="212" xfId="0" applyNumberFormat="1" applyFont="1" applyFill="1" applyBorder="1" applyAlignment="1" applyProtection="1">
      <alignment horizontal="center" shrinkToFit="1"/>
      <protection hidden="1"/>
    </xf>
    <xf numFmtId="189" fontId="7" fillId="8" borderId="213" xfId="0" applyNumberFormat="1" applyFont="1" applyFill="1" applyBorder="1" applyAlignment="1" applyProtection="1">
      <alignment horizontal="center" shrinkToFit="1"/>
      <protection hidden="1"/>
    </xf>
    <xf numFmtId="0" fontId="7" fillId="0" borderId="113" xfId="0" applyFont="1" applyBorder="1" applyAlignment="1" applyProtection="1">
      <alignment horizontal="center" wrapText="1"/>
      <protection locked="0"/>
    </xf>
    <xf numFmtId="0" fontId="7" fillId="0" borderId="114" xfId="0" applyFont="1" applyBorder="1" applyAlignment="1" applyProtection="1">
      <alignment horizontal="center" wrapText="1"/>
      <protection locked="0"/>
    </xf>
    <xf numFmtId="0" fontId="7" fillId="0" borderId="115" xfId="0" applyFont="1" applyBorder="1" applyAlignment="1" applyProtection="1">
      <alignment horizontal="center" wrapText="1"/>
      <protection locked="0"/>
    </xf>
    <xf numFmtId="0" fontId="7" fillId="0" borderId="36" xfId="0" applyFont="1" applyBorder="1" applyAlignment="1" applyProtection="1">
      <alignment horizontal="center" wrapText="1"/>
      <protection locked="0"/>
    </xf>
    <xf numFmtId="0" fontId="7" fillId="0" borderId="37" xfId="0" applyFont="1" applyBorder="1" applyAlignment="1" applyProtection="1">
      <alignment horizontal="center" wrapText="1"/>
      <protection locked="0"/>
    </xf>
    <xf numFmtId="0" fontId="7" fillId="0" borderId="38" xfId="0" applyFont="1" applyBorder="1" applyAlignment="1" applyProtection="1">
      <alignment horizontal="center" wrapText="1"/>
      <protection locked="0"/>
    </xf>
    <xf numFmtId="0" fontId="7" fillId="8" borderId="15" xfId="0" applyFont="1" applyFill="1" applyBorder="1" applyAlignment="1" applyProtection="1">
      <alignment horizontal="center" wrapText="1"/>
      <protection hidden="1"/>
    </xf>
    <xf numFmtId="0" fontId="7" fillId="0" borderId="15" xfId="0" applyFont="1" applyBorder="1" applyAlignment="1" applyProtection="1">
      <alignment horizontal="center" wrapText="1"/>
      <protection locked="0" hidden="1"/>
    </xf>
    <xf numFmtId="0" fontId="7" fillId="0" borderId="15" xfId="0" applyFont="1" applyBorder="1" applyAlignment="1" applyProtection="1">
      <alignment horizontal="center" wrapText="1"/>
      <protection locked="0"/>
    </xf>
    <xf numFmtId="1" fontId="7" fillId="0" borderId="15" xfId="0" applyNumberFormat="1" applyFont="1" applyBorder="1" applyAlignment="1" applyProtection="1">
      <alignment horizontal="center" shrinkToFit="1"/>
      <protection locked="0" hidden="1"/>
    </xf>
    <xf numFmtId="186" fontId="7" fillId="0" borderId="15" xfId="0" applyNumberFormat="1" applyFont="1" applyBorder="1" applyAlignment="1" applyProtection="1">
      <alignment horizontal="center" shrinkToFit="1"/>
      <protection locked="0" hidden="1"/>
    </xf>
    <xf numFmtId="186" fontId="7" fillId="0" borderId="126" xfId="0" applyNumberFormat="1" applyFont="1" applyBorder="1" applyAlignment="1" applyProtection="1">
      <alignment horizontal="center" shrinkToFit="1"/>
      <protection locked="0" hidden="1"/>
    </xf>
    <xf numFmtId="0" fontId="7" fillId="0" borderId="172" xfId="0" applyFont="1" applyBorder="1" applyAlignment="1" applyProtection="1">
      <alignment horizontal="center" wrapText="1"/>
      <protection locked="0" hidden="1"/>
    </xf>
    <xf numFmtId="0" fontId="7" fillId="0" borderId="144" xfId="0" applyFont="1" applyBorder="1" applyAlignment="1" applyProtection="1">
      <alignment horizontal="center" wrapText="1"/>
      <protection locked="0" hidden="1"/>
    </xf>
    <xf numFmtId="0" fontId="7" fillId="0" borderId="170" xfId="0" applyFont="1" applyBorder="1" applyAlignment="1" applyProtection="1">
      <alignment horizontal="center" wrapText="1"/>
      <protection locked="0" hidden="1"/>
    </xf>
    <xf numFmtId="0" fontId="7" fillId="0" borderId="16" xfId="0" applyFont="1" applyBorder="1" applyAlignment="1" applyProtection="1">
      <alignment horizontal="center" wrapText="1"/>
      <protection locked="0" hidden="1"/>
    </xf>
    <xf numFmtId="3" fontId="7" fillId="0" borderId="0" xfId="0" applyNumberFormat="1" applyFont="1" applyFill="1" applyBorder="1" applyAlignment="1" applyProtection="1">
      <alignment horizontal="center" wrapText="1"/>
      <protection locked="0" hidden="1"/>
    </xf>
    <xf numFmtId="3" fontId="7" fillId="0" borderId="37" xfId="0" applyNumberFormat="1" applyFont="1" applyFill="1" applyBorder="1" applyAlignment="1" applyProtection="1">
      <alignment horizontal="center" wrapText="1"/>
      <protection locked="0" hidden="1"/>
    </xf>
    <xf numFmtId="167" fontId="7" fillId="0" borderId="147" xfId="0" applyNumberFormat="1" applyFont="1" applyFill="1" applyBorder="1" applyAlignment="1" applyProtection="1">
      <alignment horizontal="center" shrinkToFit="1"/>
      <protection locked="0" hidden="1"/>
    </xf>
    <xf numFmtId="167" fontId="7" fillId="0" borderId="206" xfId="0" applyNumberFormat="1" applyFont="1" applyFill="1" applyBorder="1" applyAlignment="1" applyProtection="1">
      <alignment horizontal="center" shrinkToFit="1"/>
      <protection locked="0" hidden="1"/>
    </xf>
    <xf numFmtId="167" fontId="7" fillId="0" borderId="16" xfId="0" applyNumberFormat="1" applyFont="1" applyFill="1" applyBorder="1" applyAlignment="1" applyProtection="1">
      <alignment horizontal="center" shrinkToFit="1"/>
      <protection locked="0" hidden="1"/>
    </xf>
    <xf numFmtId="167" fontId="7" fillId="0" borderId="208" xfId="0" applyNumberFormat="1" applyFont="1" applyFill="1" applyBorder="1" applyAlignment="1" applyProtection="1">
      <alignment horizontal="center" shrinkToFit="1"/>
      <protection locked="0" hidden="1"/>
    </xf>
    <xf numFmtId="187" fontId="7" fillId="0" borderId="205" xfId="0" applyNumberFormat="1" applyFont="1" applyFill="1" applyBorder="1" applyAlignment="1" applyProtection="1">
      <alignment horizontal="center" wrapText="1"/>
      <protection locked="0" hidden="1"/>
    </xf>
    <xf numFmtId="187" fontId="7" fillId="0" borderId="141" xfId="0" applyNumberFormat="1" applyFont="1" applyFill="1" applyBorder="1" applyAlignment="1" applyProtection="1">
      <alignment horizontal="center" wrapText="1"/>
      <protection locked="0" hidden="1"/>
    </xf>
    <xf numFmtId="187" fontId="7" fillId="0" borderId="207" xfId="0" applyNumberFormat="1" applyFont="1" applyFill="1" applyBorder="1" applyAlignment="1" applyProtection="1">
      <alignment horizontal="center" wrapText="1"/>
      <protection locked="0" hidden="1"/>
    </xf>
    <xf numFmtId="187" fontId="7" fillId="0" borderId="16" xfId="0" applyNumberFormat="1" applyFont="1" applyFill="1" applyBorder="1" applyAlignment="1" applyProtection="1">
      <alignment horizontal="center" wrapText="1"/>
      <protection locked="0" hidden="1"/>
    </xf>
    <xf numFmtId="3" fontId="7" fillId="0" borderId="142" xfId="0" applyNumberFormat="1" applyFont="1" applyBorder="1" applyAlignment="1" applyProtection="1">
      <alignment horizontal="center" shrinkToFit="1"/>
      <protection locked="0" hidden="1"/>
    </xf>
    <xf numFmtId="3" fontId="7" fillId="0" borderId="15" xfId="0" applyNumberFormat="1" applyFont="1" applyBorder="1" applyAlignment="1" applyProtection="1">
      <alignment horizontal="center" shrinkToFit="1"/>
      <protection locked="0" hidden="1"/>
    </xf>
    <xf numFmtId="0" fontId="17" fillId="0" borderId="198" xfId="0" applyFont="1" applyFill="1" applyBorder="1" applyAlignment="1" applyProtection="1">
      <alignment horizontal="center" wrapText="1"/>
      <protection hidden="1"/>
    </xf>
    <xf numFmtId="0" fontId="17" fillId="0" borderId="199" xfId="0" applyFont="1" applyFill="1" applyBorder="1" applyAlignment="1" applyProtection="1">
      <alignment horizontal="center" wrapText="1"/>
      <protection hidden="1"/>
    </xf>
    <xf numFmtId="0" fontId="17" fillId="0" borderId="13" xfId="0" applyFont="1" applyFill="1" applyBorder="1" applyAlignment="1" applyProtection="1">
      <alignment horizontal="center" wrapText="1"/>
      <protection hidden="1"/>
    </xf>
    <xf numFmtId="0" fontId="17" fillId="0" borderId="201" xfId="0" applyFont="1" applyFill="1" applyBorder="1" applyAlignment="1" applyProtection="1">
      <alignment horizontal="center" wrapText="1"/>
      <protection hidden="1"/>
    </xf>
    <xf numFmtId="187" fontId="7" fillId="0" borderId="202" xfId="0" applyNumberFormat="1" applyFont="1" applyFill="1" applyBorder="1" applyAlignment="1" applyProtection="1">
      <alignment horizontal="center" wrapText="1"/>
      <protection hidden="1"/>
    </xf>
    <xf numFmtId="187" fontId="7" fillId="0" borderId="136" xfId="0" applyNumberFormat="1" applyFont="1" applyFill="1" applyBorder="1" applyAlignment="1" applyProtection="1">
      <alignment horizontal="center" wrapText="1"/>
      <protection hidden="1"/>
    </xf>
    <xf numFmtId="187" fontId="7" fillId="0" borderId="204" xfId="0" applyNumberFormat="1" applyFont="1" applyFill="1" applyBorder="1" applyAlignment="1" applyProtection="1">
      <alignment horizontal="center" wrapText="1"/>
      <protection hidden="1"/>
    </xf>
    <xf numFmtId="187" fontId="7" fillId="0" borderId="139" xfId="0" applyNumberFormat="1" applyFont="1" applyFill="1" applyBorder="1" applyAlignment="1" applyProtection="1">
      <alignment horizontal="center" wrapText="1"/>
      <protection hidden="1"/>
    </xf>
    <xf numFmtId="0" fontId="7" fillId="0" borderId="136" xfId="0" applyFont="1" applyBorder="1" applyAlignment="1" applyProtection="1">
      <alignment horizontal="center" wrapText="1"/>
      <protection hidden="1"/>
    </xf>
    <xf numFmtId="0" fontId="7" fillId="0" borderId="139" xfId="0" applyFont="1" applyBorder="1" applyAlignment="1" applyProtection="1">
      <alignment horizontal="center" wrapText="1"/>
      <protection hidden="1"/>
    </xf>
    <xf numFmtId="0" fontId="7" fillId="0" borderId="10" xfId="0" applyFont="1" applyBorder="1" applyAlignment="1" applyProtection="1">
      <alignment horizontal="center"/>
      <protection hidden="1"/>
    </xf>
    <xf numFmtId="0" fontId="7" fillId="0" borderId="13" xfId="0" applyFont="1" applyBorder="1" applyAlignment="1" applyProtection="1">
      <alignment horizontal="center"/>
      <protection hidden="1"/>
    </xf>
    <xf numFmtId="0" fontId="7" fillId="0" borderId="10" xfId="0" applyFont="1" applyBorder="1" applyAlignment="1" applyProtection="1">
      <alignment horizontal="center" wrapText="1"/>
      <protection hidden="1"/>
    </xf>
    <xf numFmtId="0" fontId="7" fillId="0" borderId="13" xfId="0" applyFont="1" applyBorder="1" applyAlignment="1" applyProtection="1">
      <alignment horizontal="center" wrapText="1"/>
      <protection hidden="1"/>
    </xf>
    <xf numFmtId="0" fontId="7" fillId="0" borderId="10" xfId="0" applyFont="1" applyFill="1" applyBorder="1" applyAlignment="1" applyProtection="1">
      <alignment horizontal="center" wrapText="1"/>
      <protection hidden="1"/>
    </xf>
    <xf numFmtId="0" fontId="7" fillId="0" borderId="13" xfId="0" applyFont="1" applyFill="1" applyBorder="1" applyAlignment="1" applyProtection="1">
      <alignment horizontal="center" wrapText="1"/>
      <protection hidden="1"/>
    </xf>
    <xf numFmtId="0" fontId="7" fillId="0" borderId="203" xfId="0" applyFont="1" applyFill="1" applyBorder="1" applyAlignment="1" applyProtection="1">
      <alignment horizontal="center" wrapText="1"/>
      <protection hidden="1"/>
    </xf>
    <xf numFmtId="0" fontId="7" fillId="0" borderId="201" xfId="0" applyFont="1" applyFill="1" applyBorder="1" applyAlignment="1" applyProtection="1">
      <alignment horizontal="center" wrapText="1"/>
      <protection hidden="1"/>
    </xf>
    <xf numFmtId="0" fontId="7" fillId="0" borderId="193" xfId="0" applyFont="1" applyFill="1" applyBorder="1" applyAlignment="1" applyProtection="1">
      <alignment horizontal="center" wrapText="1"/>
      <protection hidden="1"/>
    </xf>
    <xf numFmtId="189" fontId="7" fillId="8" borderId="194" xfId="0" applyNumberFormat="1" applyFont="1" applyFill="1" applyBorder="1" applyAlignment="1" applyProtection="1">
      <alignment horizontal="center" shrinkToFit="1"/>
      <protection hidden="1"/>
    </xf>
    <xf numFmtId="189" fontId="7" fillId="8" borderId="195" xfId="0" applyNumberFormat="1" applyFont="1" applyFill="1" applyBorder="1" applyAlignment="1" applyProtection="1">
      <alignment horizontal="center" shrinkToFit="1"/>
      <protection hidden="1"/>
    </xf>
    <xf numFmtId="0" fontId="157" fillId="0" borderId="198" xfId="0" applyNumberFormat="1" applyFont="1" applyFill="1" applyBorder="1" applyAlignment="1" applyProtection="1">
      <alignment horizontal="center" wrapText="1"/>
      <protection hidden="1"/>
    </xf>
    <xf numFmtId="0" fontId="157" fillId="0" borderId="0" xfId="0" applyNumberFormat="1" applyFont="1" applyFill="1" applyBorder="1" applyAlignment="1" applyProtection="1">
      <alignment horizontal="center" wrapText="1"/>
      <protection hidden="1"/>
    </xf>
    <xf numFmtId="167" fontId="7" fillId="8" borderId="15" xfId="0" applyNumberFormat="1" applyFont="1" applyFill="1" applyBorder="1" applyAlignment="1" applyProtection="1">
      <alignment horizontal="center" shrinkToFit="1"/>
      <protection hidden="1"/>
    </xf>
    <xf numFmtId="167" fontId="7" fillId="8" borderId="126" xfId="0" applyNumberFormat="1" applyFont="1" applyFill="1" applyBorder="1" applyAlignment="1" applyProtection="1">
      <alignment horizontal="center" shrinkToFit="1"/>
      <protection hidden="1"/>
    </xf>
    <xf numFmtId="190" fontId="17" fillId="8" borderId="127" xfId="0" applyNumberFormat="1" applyFont="1" applyFill="1" applyBorder="1" applyAlignment="1" applyProtection="1">
      <alignment horizontal="center" wrapText="1"/>
      <protection hidden="1"/>
    </xf>
    <xf numFmtId="190" fontId="17" fillId="8" borderId="15" xfId="0" applyNumberFormat="1" applyFont="1" applyFill="1" applyBorder="1" applyAlignment="1" applyProtection="1">
      <alignment horizontal="center" wrapText="1"/>
      <protection hidden="1"/>
    </xf>
    <xf numFmtId="0" fontId="7" fillId="0" borderId="154" xfId="0" applyFont="1" applyFill="1" applyBorder="1" applyAlignment="1" applyProtection="1">
      <alignment horizontal="center" wrapText="1"/>
      <protection hidden="1"/>
    </xf>
    <xf numFmtId="189" fontId="7" fillId="8" borderId="155" xfId="0" applyNumberFormat="1" applyFont="1" applyFill="1" applyBorder="1" applyAlignment="1" applyProtection="1">
      <alignment horizontal="center" shrinkToFit="1"/>
      <protection hidden="1"/>
    </xf>
    <xf numFmtId="189" fontId="7" fillId="8" borderId="156" xfId="0" applyNumberFormat="1" applyFont="1" applyFill="1" applyBorder="1" applyAlignment="1" applyProtection="1">
      <alignment horizontal="center" shrinkToFit="1"/>
      <protection hidden="1"/>
    </xf>
    <xf numFmtId="0" fontId="157" fillId="0" borderId="159" xfId="0" applyNumberFormat="1" applyFont="1" applyFill="1" applyBorder="1" applyAlignment="1" applyProtection="1">
      <alignment horizontal="center" wrapText="1"/>
      <protection hidden="1"/>
    </xf>
    <xf numFmtId="1" fontId="7" fillId="0" borderId="145" xfId="0" applyNumberFormat="1" applyFont="1" applyBorder="1" applyAlignment="1" applyProtection="1">
      <alignment horizontal="center" shrinkToFit="1"/>
      <protection locked="0" hidden="1"/>
    </xf>
    <xf numFmtId="1" fontId="7" fillId="0" borderId="146" xfId="0" applyNumberFormat="1" applyFont="1" applyBorder="1" applyAlignment="1" applyProtection="1">
      <alignment horizontal="center" shrinkToFit="1"/>
      <protection locked="0" hidden="1"/>
    </xf>
    <xf numFmtId="0" fontId="157" fillId="0" borderId="180" xfId="0" applyNumberFormat="1" applyFont="1" applyFill="1" applyBorder="1" applyAlignment="1" applyProtection="1">
      <alignment horizontal="center" wrapText="1"/>
      <protection hidden="1"/>
    </xf>
    <xf numFmtId="0" fontId="17" fillId="0" borderId="180" xfId="0" applyFont="1" applyFill="1" applyBorder="1" applyAlignment="1" applyProtection="1">
      <alignment horizontal="center" wrapText="1"/>
      <protection hidden="1"/>
    </xf>
    <xf numFmtId="0" fontId="17" fillId="0" borderId="181" xfId="0" applyFont="1" applyFill="1" applyBorder="1" applyAlignment="1" applyProtection="1">
      <alignment horizontal="center" wrapText="1"/>
      <protection hidden="1"/>
    </xf>
    <xf numFmtId="0" fontId="17" fillId="0" borderId="183" xfId="0" applyFont="1" applyFill="1" applyBorder="1" applyAlignment="1" applyProtection="1">
      <alignment horizontal="center" wrapText="1"/>
      <protection hidden="1"/>
    </xf>
    <xf numFmtId="0" fontId="7" fillId="8" borderId="113" xfId="0" applyNumberFormat="1" applyFont="1" applyFill="1" applyBorder="1" applyAlignment="1" applyProtection="1">
      <alignment horizontal="center" wrapText="1"/>
      <protection hidden="1"/>
    </xf>
    <xf numFmtId="0" fontId="7" fillId="8" borderId="114" xfId="0" applyNumberFormat="1" applyFont="1" applyFill="1" applyBorder="1" applyAlignment="1" applyProtection="1">
      <alignment horizontal="center" wrapText="1"/>
      <protection hidden="1"/>
    </xf>
    <xf numFmtId="0" fontId="7" fillId="8" borderId="115" xfId="0" applyNumberFormat="1" applyFont="1" applyFill="1" applyBorder="1" applyAlignment="1" applyProtection="1">
      <alignment horizontal="center" wrapText="1"/>
      <protection hidden="1"/>
    </xf>
    <xf numFmtId="0" fontId="7" fillId="8" borderId="36" xfId="0" applyNumberFormat="1" applyFont="1" applyFill="1" applyBorder="1" applyAlignment="1" applyProtection="1">
      <alignment horizontal="center" wrapText="1"/>
      <protection hidden="1"/>
    </xf>
    <xf numFmtId="0" fontId="7" fillId="8" borderId="37" xfId="0" applyNumberFormat="1" applyFont="1" applyFill="1" applyBorder="1" applyAlignment="1" applyProtection="1">
      <alignment horizontal="center" wrapText="1"/>
      <protection hidden="1"/>
    </xf>
    <xf numFmtId="0" fontId="7" fillId="8" borderId="38" xfId="0" applyNumberFormat="1" applyFont="1" applyFill="1" applyBorder="1" applyAlignment="1" applyProtection="1">
      <alignment horizontal="center" wrapText="1"/>
      <protection hidden="1"/>
    </xf>
    <xf numFmtId="0" fontId="7" fillId="8" borderId="113" xfId="0" applyFont="1" applyFill="1" applyBorder="1" applyAlignment="1" applyProtection="1">
      <alignment horizontal="center" wrapText="1"/>
      <protection hidden="1"/>
    </xf>
    <xf numFmtId="0" fontId="7" fillId="8" borderId="114" xfId="0" applyFont="1" applyFill="1" applyBorder="1" applyAlignment="1" applyProtection="1">
      <alignment horizontal="center" wrapText="1"/>
      <protection hidden="1"/>
    </xf>
    <xf numFmtId="0" fontId="7" fillId="8" borderId="36" xfId="0" applyFont="1" applyFill="1" applyBorder="1" applyAlignment="1" applyProtection="1">
      <alignment horizontal="center" wrapText="1"/>
      <protection hidden="1"/>
    </xf>
    <xf numFmtId="0" fontId="7" fillId="8" borderId="37" xfId="0" applyFont="1" applyFill="1" applyBorder="1" applyAlignment="1" applyProtection="1">
      <alignment horizontal="center" wrapText="1"/>
      <protection hidden="1"/>
    </xf>
    <xf numFmtId="0" fontId="7" fillId="26" borderId="122" xfId="0" applyFont="1" applyFill="1" applyBorder="1" applyAlignment="1" applyProtection="1">
      <alignment horizontal="center" wrapText="1"/>
      <protection hidden="1"/>
    </xf>
    <xf numFmtId="0" fontId="7" fillId="26" borderId="123" xfId="0" applyFont="1" applyFill="1" applyBorder="1" applyAlignment="1" applyProtection="1">
      <alignment horizontal="center" wrapText="1"/>
      <protection hidden="1"/>
    </xf>
    <xf numFmtId="188" fontId="7" fillId="8" borderId="114" xfId="0" applyNumberFormat="1" applyFont="1" applyFill="1" applyBorder="1" applyAlignment="1" applyProtection="1">
      <alignment horizontal="center" wrapText="1"/>
      <protection hidden="1"/>
    </xf>
    <xf numFmtId="188" fontId="7" fillId="8" borderId="115" xfId="0" applyNumberFormat="1" applyFont="1" applyFill="1" applyBorder="1" applyAlignment="1" applyProtection="1">
      <alignment horizontal="center" wrapText="1"/>
      <protection hidden="1"/>
    </xf>
    <xf numFmtId="188" fontId="7" fillId="8" borderId="37" xfId="0" applyNumberFormat="1" applyFont="1" applyFill="1" applyBorder="1" applyAlignment="1" applyProtection="1">
      <alignment horizontal="center" wrapText="1"/>
      <protection hidden="1"/>
    </xf>
    <xf numFmtId="188" fontId="7" fillId="8" borderId="38" xfId="0" applyNumberFormat="1" applyFont="1" applyFill="1" applyBorder="1" applyAlignment="1" applyProtection="1">
      <alignment horizontal="center" wrapText="1"/>
      <protection hidden="1"/>
    </xf>
    <xf numFmtId="3" fontId="7" fillId="8" borderId="15" xfId="0" applyNumberFormat="1" applyFont="1" applyFill="1" applyBorder="1" applyAlignment="1" applyProtection="1">
      <alignment horizontal="center" wrapText="1"/>
      <protection hidden="1"/>
    </xf>
    <xf numFmtId="167" fontId="7" fillId="0" borderId="168" xfId="0" applyNumberFormat="1" applyFont="1" applyFill="1" applyBorder="1" applyAlignment="1" applyProtection="1">
      <alignment horizontal="center" shrinkToFit="1"/>
      <protection locked="0" hidden="1"/>
    </xf>
    <xf numFmtId="167" fontId="7" fillId="0" borderId="171" xfId="0" applyNumberFormat="1" applyFont="1" applyFill="1" applyBorder="1" applyAlignment="1" applyProtection="1">
      <alignment horizontal="center" shrinkToFit="1"/>
      <protection locked="0" hidden="1"/>
    </xf>
    <xf numFmtId="0" fontId="7" fillId="0" borderId="164" xfId="0" applyFont="1" applyFill="1" applyBorder="1" applyAlignment="1" applyProtection="1">
      <alignment horizontal="center" wrapText="1"/>
      <protection hidden="1"/>
    </xf>
    <xf numFmtId="0" fontId="7" fillId="0" borderId="162" xfId="0" applyFont="1" applyFill="1" applyBorder="1" applyAlignment="1" applyProtection="1">
      <alignment horizontal="center" wrapText="1"/>
      <protection hidden="1"/>
    </xf>
    <xf numFmtId="0" fontId="4" fillId="8" borderId="113" xfId="0" applyFont="1" applyFill="1" applyBorder="1" applyAlignment="1" applyProtection="1">
      <alignment horizontal="center"/>
      <protection hidden="1"/>
    </xf>
    <xf numFmtId="0" fontId="7" fillId="8" borderId="115" xfId="0" applyFont="1" applyFill="1" applyBorder="1" applyAlignment="1" applyProtection="1">
      <alignment horizontal="center"/>
      <protection hidden="1"/>
    </xf>
    <xf numFmtId="0" fontId="7" fillId="8" borderId="36" xfId="0" applyFont="1" applyFill="1" applyBorder="1" applyAlignment="1" applyProtection="1">
      <alignment horizontal="center"/>
      <protection hidden="1"/>
    </xf>
    <xf numFmtId="0" fontId="7" fillId="8" borderId="38" xfId="0" applyFont="1" applyFill="1" applyBorder="1" applyAlignment="1" applyProtection="1">
      <alignment horizontal="center"/>
      <protection hidden="1"/>
    </xf>
    <xf numFmtId="187" fontId="7" fillId="8" borderId="113" xfId="0" applyNumberFormat="1" applyFont="1" applyFill="1" applyBorder="1" applyAlignment="1" applyProtection="1">
      <alignment horizontal="center" wrapText="1"/>
      <protection hidden="1"/>
    </xf>
    <xf numFmtId="187" fontId="7" fillId="8" borderId="114" xfId="0" applyNumberFormat="1" applyFont="1" applyFill="1" applyBorder="1" applyAlignment="1" applyProtection="1">
      <alignment horizontal="center" wrapText="1"/>
      <protection hidden="1"/>
    </xf>
    <xf numFmtId="187" fontId="7" fillId="8" borderId="115" xfId="0" applyNumberFormat="1" applyFont="1" applyFill="1" applyBorder="1" applyAlignment="1" applyProtection="1">
      <alignment horizontal="center" wrapText="1"/>
      <protection hidden="1"/>
    </xf>
    <xf numFmtId="187" fontId="7" fillId="8" borderId="36" xfId="0" applyNumberFormat="1" applyFont="1" applyFill="1" applyBorder="1" applyAlignment="1" applyProtection="1">
      <alignment horizontal="center" wrapText="1"/>
      <protection hidden="1"/>
    </xf>
    <xf numFmtId="187" fontId="7" fillId="8" borderId="37" xfId="0" applyNumberFormat="1" applyFont="1" applyFill="1" applyBorder="1" applyAlignment="1" applyProtection="1">
      <alignment horizontal="center" wrapText="1"/>
      <protection hidden="1"/>
    </xf>
    <xf numFmtId="187" fontId="7" fillId="8" borderId="38" xfId="0" applyNumberFormat="1" applyFont="1" applyFill="1" applyBorder="1" applyAlignment="1" applyProtection="1">
      <alignment horizontal="center" wrapText="1"/>
      <protection hidden="1"/>
    </xf>
    <xf numFmtId="187" fontId="7" fillId="8" borderId="15" xfId="0" applyNumberFormat="1" applyFont="1" applyFill="1" applyBorder="1" applyAlignment="1" applyProtection="1">
      <alignment horizontal="center" wrapText="1"/>
      <protection hidden="1"/>
    </xf>
    <xf numFmtId="1" fontId="7" fillId="8" borderId="114" xfId="0" applyNumberFormat="1" applyFont="1" applyFill="1" applyBorder="1" applyAlignment="1" applyProtection="1">
      <alignment horizontal="center" wrapText="1"/>
      <protection hidden="1"/>
    </xf>
    <xf numFmtId="1" fontId="7" fillId="8" borderId="115" xfId="0" applyNumberFormat="1" applyFont="1" applyFill="1" applyBorder="1" applyAlignment="1" applyProtection="1">
      <alignment horizontal="center" wrapText="1"/>
      <protection hidden="1"/>
    </xf>
    <xf numFmtId="1" fontId="7" fillId="8" borderId="37" xfId="0" applyNumberFormat="1" applyFont="1" applyFill="1" applyBorder="1" applyAlignment="1" applyProtection="1">
      <alignment horizontal="center" wrapText="1"/>
      <protection hidden="1"/>
    </xf>
    <xf numFmtId="1" fontId="7" fillId="8" borderId="38" xfId="0" applyNumberFormat="1" applyFont="1" applyFill="1" applyBorder="1" applyAlignment="1" applyProtection="1">
      <alignment horizontal="center" wrapText="1"/>
      <protection hidden="1"/>
    </xf>
    <xf numFmtId="188" fontId="7" fillId="8" borderId="124" xfId="0" applyNumberFormat="1" applyFont="1" applyFill="1" applyBorder="1" applyAlignment="1" applyProtection="1">
      <alignment horizontal="center" wrapText="1"/>
      <protection hidden="1"/>
    </xf>
    <xf numFmtId="188" fontId="7" fillId="8" borderId="128" xfId="0" applyNumberFormat="1" applyFont="1" applyFill="1" applyBorder="1" applyAlignment="1" applyProtection="1">
      <alignment horizontal="center" wrapText="1"/>
      <protection hidden="1"/>
    </xf>
    <xf numFmtId="189" fontId="4" fillId="8" borderId="125" xfId="0" applyNumberFormat="1" applyFont="1" applyFill="1" applyBorder="1" applyAlignment="1" applyProtection="1">
      <alignment horizontal="center" wrapText="1"/>
      <protection hidden="1"/>
    </xf>
    <xf numFmtId="189" fontId="7" fillId="8" borderId="114" xfId="0" applyNumberFormat="1" applyFont="1" applyFill="1" applyBorder="1" applyAlignment="1" applyProtection="1">
      <alignment horizontal="center" wrapText="1"/>
      <protection hidden="1"/>
    </xf>
    <xf numFmtId="189" fontId="7" fillId="8" borderId="115" xfId="0" applyNumberFormat="1" applyFont="1" applyFill="1" applyBorder="1" applyAlignment="1" applyProtection="1">
      <alignment horizontal="center" wrapText="1"/>
      <protection hidden="1"/>
    </xf>
    <xf numFmtId="189" fontId="7" fillId="8" borderId="129" xfId="0" applyNumberFormat="1" applyFont="1" applyFill="1" applyBorder="1" applyAlignment="1" applyProtection="1">
      <alignment horizontal="center" wrapText="1"/>
      <protection hidden="1"/>
    </xf>
    <xf numFmtId="189" fontId="7" fillId="8" borderId="37" xfId="0" applyNumberFormat="1" applyFont="1" applyFill="1" applyBorder="1" applyAlignment="1" applyProtection="1">
      <alignment horizontal="center" wrapText="1"/>
      <protection hidden="1"/>
    </xf>
    <xf numFmtId="189" fontId="7" fillId="8" borderId="38" xfId="0" applyNumberFormat="1" applyFont="1" applyFill="1" applyBorder="1" applyAlignment="1" applyProtection="1">
      <alignment horizontal="center" wrapText="1"/>
      <protection hidden="1"/>
    </xf>
    <xf numFmtId="0" fontId="4" fillId="0" borderId="113" xfId="0" applyFont="1" applyBorder="1" applyAlignment="1" applyProtection="1">
      <alignment horizontal="center" wrapText="1"/>
      <protection locked="0"/>
    </xf>
    <xf numFmtId="0" fontId="4" fillId="0" borderId="15" xfId="0" applyFont="1" applyBorder="1" applyAlignment="1" applyProtection="1">
      <alignment horizontal="center" wrapText="1"/>
      <protection locked="0"/>
    </xf>
    <xf numFmtId="0" fontId="7" fillId="0" borderId="167" xfId="0" applyFont="1" applyBorder="1" applyAlignment="1" applyProtection="1">
      <alignment horizontal="center" wrapText="1"/>
      <protection locked="0" hidden="1"/>
    </xf>
    <xf numFmtId="0" fontId="7" fillId="0" borderId="147" xfId="0" applyFont="1" applyBorder="1" applyAlignment="1" applyProtection="1">
      <alignment horizontal="center" wrapText="1"/>
      <protection locked="0" hidden="1"/>
    </xf>
    <xf numFmtId="0" fontId="6" fillId="0" borderId="145" xfId="0" applyFont="1" applyBorder="1" applyAlignment="1" applyProtection="1">
      <alignment horizontal="center" wrapText="1"/>
      <protection locked="0"/>
    </xf>
    <xf numFmtId="0" fontId="7" fillId="0" borderId="10" xfId="0" applyFont="1" applyBorder="1" applyAlignment="1" applyProtection="1">
      <alignment horizontal="center" wrapText="1"/>
      <protection locked="0"/>
    </xf>
    <xf numFmtId="0" fontId="7" fillId="0" borderId="146" xfId="0" applyFont="1" applyBorder="1" applyAlignment="1" applyProtection="1">
      <alignment horizontal="center" wrapText="1"/>
      <protection locked="0"/>
    </xf>
    <xf numFmtId="0" fontId="7" fillId="0" borderId="145" xfId="0" applyFont="1" applyBorder="1" applyAlignment="1" applyProtection="1">
      <alignment horizontal="center" wrapText="1"/>
      <protection locked="0"/>
    </xf>
    <xf numFmtId="187" fontId="7" fillId="0" borderId="163" xfId="0" applyNumberFormat="1" applyFont="1" applyFill="1" applyBorder="1" applyAlignment="1" applyProtection="1">
      <alignment horizontal="center" wrapText="1"/>
      <protection hidden="1"/>
    </xf>
    <xf numFmtId="187" fontId="7" fillId="0" borderId="165" xfId="0" applyNumberFormat="1" applyFont="1" applyFill="1" applyBorder="1" applyAlignment="1" applyProtection="1">
      <alignment horizontal="center" wrapText="1"/>
      <protection hidden="1"/>
    </xf>
    <xf numFmtId="187" fontId="7" fillId="0" borderId="166" xfId="0" applyNumberFormat="1" applyFont="1" applyFill="1" applyBorder="1" applyAlignment="1" applyProtection="1">
      <alignment horizontal="center" wrapText="1"/>
      <protection locked="0" hidden="1"/>
    </xf>
    <xf numFmtId="187" fontId="7" fillId="0" borderId="169" xfId="0" applyNumberFormat="1" applyFont="1" applyFill="1" applyBorder="1" applyAlignment="1" applyProtection="1">
      <alignment horizontal="center" wrapText="1"/>
      <protection locked="0" hidden="1"/>
    </xf>
    <xf numFmtId="0" fontId="17" fillId="0" borderId="159" xfId="0" applyFont="1" applyFill="1" applyBorder="1" applyAlignment="1" applyProtection="1">
      <alignment horizontal="center" wrapText="1"/>
      <protection hidden="1"/>
    </xf>
    <xf numFmtId="0" fontId="17" fillId="0" borderId="160" xfId="0" applyFont="1" applyFill="1" applyBorder="1" applyAlignment="1" applyProtection="1">
      <alignment horizontal="center" wrapText="1"/>
      <protection hidden="1"/>
    </xf>
    <xf numFmtId="0" fontId="17" fillId="0" borderId="162" xfId="0" applyFont="1" applyFill="1" applyBorder="1" applyAlignment="1" applyProtection="1">
      <alignment horizontal="center" wrapText="1"/>
      <protection hidden="1"/>
    </xf>
    <xf numFmtId="0" fontId="7" fillId="0" borderId="143" xfId="0" applyFont="1" applyBorder="1" applyAlignment="1" applyProtection="1">
      <alignment horizontal="center" wrapText="1"/>
      <protection locked="0" hidden="1"/>
    </xf>
    <xf numFmtId="0" fontId="7" fillId="0" borderId="150" xfId="0" applyFont="1" applyBorder="1" applyAlignment="1" applyProtection="1">
      <alignment horizontal="center" wrapText="1"/>
      <protection locked="0" hidden="1"/>
    </xf>
    <xf numFmtId="0" fontId="7" fillId="0" borderId="137" xfId="0" applyFont="1" applyFill="1" applyBorder="1" applyAlignment="1" applyProtection="1">
      <alignment horizontal="center" wrapText="1"/>
      <protection hidden="1"/>
    </xf>
    <xf numFmtId="0" fontId="7" fillId="0" borderId="134" xfId="0" applyFont="1" applyFill="1" applyBorder="1" applyAlignment="1" applyProtection="1">
      <alignment horizontal="center" wrapText="1"/>
      <protection hidden="1"/>
    </xf>
    <xf numFmtId="187" fontId="2" fillId="0" borderId="140" xfId="0" applyNumberFormat="1" applyFont="1" applyFill="1" applyBorder="1" applyAlignment="1" applyProtection="1">
      <alignment horizontal="center" wrapText="1"/>
      <protection locked="0" hidden="1"/>
    </xf>
    <xf numFmtId="187" fontId="7" fillId="0" borderId="149" xfId="0" applyNumberFormat="1" applyFont="1" applyFill="1" applyBorder="1" applyAlignment="1" applyProtection="1">
      <alignment horizontal="center" wrapText="1"/>
      <protection locked="0" hidden="1"/>
    </xf>
    <xf numFmtId="0" fontId="2" fillId="0" borderId="15" xfId="0" applyFont="1" applyBorder="1" applyAlignment="1" applyProtection="1">
      <alignment horizontal="center" wrapText="1"/>
      <protection locked="0"/>
    </xf>
    <xf numFmtId="0" fontId="7" fillId="0" borderId="9" xfId="0" applyFont="1" applyBorder="1" applyAlignment="1" applyProtection="1">
      <alignment horizontal="center" wrapText="1"/>
      <protection hidden="1"/>
    </xf>
    <xf numFmtId="0" fontId="7" fillId="0" borderId="12" xfId="0" applyFont="1" applyBorder="1" applyAlignment="1" applyProtection="1">
      <alignment horizontal="center" wrapText="1"/>
      <protection hidden="1"/>
    </xf>
    <xf numFmtId="187" fontId="7" fillId="0" borderId="135" xfId="0" applyNumberFormat="1" applyFont="1" applyFill="1" applyBorder="1" applyAlignment="1" applyProtection="1">
      <alignment horizontal="center" wrapText="1"/>
      <protection hidden="1"/>
    </xf>
    <xf numFmtId="187" fontId="7" fillId="0" borderId="138" xfId="0" applyNumberFormat="1" applyFont="1" applyFill="1" applyBorder="1" applyAlignment="1" applyProtection="1">
      <alignment horizontal="center" wrapText="1"/>
      <protection hidden="1"/>
    </xf>
    <xf numFmtId="167" fontId="7" fillId="0" borderId="148" xfId="0" applyNumberFormat="1" applyFont="1" applyFill="1" applyBorder="1" applyAlignment="1" applyProtection="1">
      <alignment horizontal="center" shrinkToFit="1"/>
      <protection locked="0" hidden="1"/>
    </xf>
    <xf numFmtId="167" fontId="7" fillId="0" borderId="151" xfId="0" applyNumberFormat="1" applyFont="1" applyFill="1" applyBorder="1" applyAlignment="1" applyProtection="1">
      <alignment horizontal="center" shrinkToFit="1"/>
      <protection locked="0" hidden="1"/>
    </xf>
    <xf numFmtId="171" fontId="17" fillId="8" borderId="15" xfId="0" applyNumberFormat="1" applyFont="1" applyFill="1" applyBorder="1" applyAlignment="1" applyProtection="1">
      <alignment horizontal="center" wrapText="1" shrinkToFit="1"/>
      <protection hidden="1"/>
    </xf>
    <xf numFmtId="167" fontId="17" fillId="45" borderId="15" xfId="0" applyNumberFormat="1" applyFont="1" applyFill="1" applyBorder="1" applyAlignment="1" applyProtection="1">
      <alignment horizontal="center" wrapText="1" shrinkToFit="1"/>
      <protection hidden="1"/>
    </xf>
    <xf numFmtId="0" fontId="157" fillId="0" borderId="131" xfId="0" applyNumberFormat="1" applyFont="1" applyFill="1" applyBorder="1" applyAlignment="1" applyProtection="1">
      <alignment horizontal="center" wrapText="1"/>
      <protection hidden="1"/>
    </xf>
    <xf numFmtId="0" fontId="17" fillId="0" borderId="131" xfId="0" applyFont="1" applyFill="1" applyBorder="1" applyAlignment="1" applyProtection="1">
      <alignment horizontal="center" wrapText="1"/>
      <protection hidden="1"/>
    </xf>
    <xf numFmtId="0" fontId="17" fillId="0" borderId="132" xfId="0" applyFont="1" applyFill="1" applyBorder="1" applyAlignment="1" applyProtection="1">
      <alignment horizontal="center" wrapText="1"/>
      <protection hidden="1"/>
    </xf>
    <xf numFmtId="0" fontId="17" fillId="0" borderId="134" xfId="0" applyFont="1" applyFill="1" applyBorder="1" applyAlignment="1" applyProtection="1">
      <alignment horizontal="center" wrapText="1"/>
      <protection hidden="1"/>
    </xf>
    <xf numFmtId="0" fontId="7" fillId="0" borderId="10" xfId="0" applyFont="1" applyFill="1" applyBorder="1" applyAlignment="1">
      <alignment horizontal="center" wrapText="1"/>
    </xf>
    <xf numFmtId="0" fontId="7" fillId="0" borderId="13" xfId="0" applyFont="1" applyFill="1" applyBorder="1" applyAlignment="1">
      <alignment horizontal="center" wrapText="1"/>
    </xf>
    <xf numFmtId="0" fontId="7" fillId="0" borderId="0" xfId="0" applyFont="1" applyFill="1" applyBorder="1" applyAlignment="1">
      <alignment horizontal="center" wrapText="1"/>
    </xf>
    <xf numFmtId="0" fontId="7" fillId="26" borderId="120" xfId="0" applyFont="1" applyFill="1" applyBorder="1" applyAlignment="1">
      <alignment horizontal="center" wrapText="1"/>
    </xf>
    <xf numFmtId="0" fontId="7" fillId="26" borderId="121" xfId="0" applyFont="1" applyFill="1" applyBorder="1" applyAlignment="1">
      <alignment horizontal="center" wrapText="1"/>
    </xf>
    <xf numFmtId="0" fontId="7" fillId="26" borderId="122" xfId="0" applyFont="1" applyFill="1" applyBorder="1" applyAlignment="1">
      <alignment horizontal="center" wrapText="1"/>
    </xf>
    <xf numFmtId="0" fontId="7" fillId="26" borderId="123" xfId="0" applyFont="1" applyFill="1" applyBorder="1" applyAlignment="1">
      <alignment horizontal="center" wrapText="1"/>
    </xf>
    <xf numFmtId="0" fontId="17" fillId="0" borderId="13" xfId="0" applyFont="1" applyFill="1" applyBorder="1" applyAlignment="1">
      <alignment horizontal="center" wrapText="1"/>
    </xf>
    <xf numFmtId="0" fontId="17" fillId="0" borderId="12" xfId="0" applyFont="1" applyFill="1" applyBorder="1" applyAlignment="1">
      <alignment horizontal="center" wrapText="1"/>
    </xf>
    <xf numFmtId="0" fontId="17" fillId="0" borderId="14" xfId="0" applyFont="1" applyFill="1" applyBorder="1" applyAlignment="1">
      <alignment horizontal="center" wrapText="1"/>
    </xf>
    <xf numFmtId="0" fontId="7" fillId="0" borderId="185" xfId="0" applyFont="1" applyFill="1" applyBorder="1" applyAlignment="1" applyProtection="1">
      <alignment horizontal="center" wrapText="1"/>
      <protection hidden="1"/>
    </xf>
    <xf numFmtId="0" fontId="7" fillId="0" borderId="183" xfId="0" applyFont="1" applyFill="1" applyBorder="1" applyAlignment="1" applyProtection="1">
      <alignment horizontal="center" wrapText="1"/>
      <protection hidden="1"/>
    </xf>
    <xf numFmtId="167" fontId="7" fillId="0" borderId="188" xfId="0" applyNumberFormat="1" applyFont="1" applyFill="1" applyBorder="1" applyAlignment="1" applyProtection="1">
      <alignment horizontal="center" shrinkToFit="1"/>
      <protection locked="0" hidden="1"/>
    </xf>
    <xf numFmtId="167" fontId="7" fillId="0" borderId="190" xfId="0" applyNumberFormat="1" applyFont="1" applyFill="1" applyBorder="1" applyAlignment="1" applyProtection="1">
      <alignment horizontal="center" shrinkToFit="1"/>
      <protection locked="0" hidden="1"/>
    </xf>
    <xf numFmtId="187" fontId="4" fillId="0" borderId="187" xfId="0" applyNumberFormat="1" applyFont="1" applyFill="1" applyBorder="1" applyAlignment="1" applyProtection="1">
      <alignment horizontal="center" wrapText="1"/>
      <protection locked="0" hidden="1"/>
    </xf>
    <xf numFmtId="187" fontId="7" fillId="0" borderId="189" xfId="0" applyNumberFormat="1" applyFont="1" applyFill="1" applyBorder="1" applyAlignment="1" applyProtection="1">
      <alignment horizontal="center" wrapText="1"/>
      <protection locked="0" hidden="1"/>
    </xf>
    <xf numFmtId="187" fontId="7" fillId="0" borderId="184" xfId="0" applyNumberFormat="1" applyFont="1" applyFill="1" applyBorder="1" applyAlignment="1" applyProtection="1">
      <alignment horizontal="center" wrapText="1"/>
      <protection hidden="1"/>
    </xf>
    <xf numFmtId="187" fontId="7" fillId="0" borderId="186" xfId="0" applyNumberFormat="1" applyFont="1" applyFill="1" applyBorder="1" applyAlignment="1" applyProtection="1">
      <alignment horizontal="center" wrapText="1"/>
      <protection hidden="1"/>
    </xf>
    <xf numFmtId="0" fontId="3" fillId="0" borderId="113" xfId="0" applyFont="1" applyBorder="1" applyAlignment="1" applyProtection="1">
      <alignment horizontal="center" wrapText="1"/>
      <protection locked="0"/>
    </xf>
    <xf numFmtId="0" fontId="2" fillId="0" borderId="145" xfId="0" applyFont="1" applyBorder="1" applyAlignment="1" applyProtection="1">
      <alignment horizontal="center" wrapText="1"/>
      <protection locked="0"/>
    </xf>
    <xf numFmtId="0" fontId="7" fillId="0" borderId="114" xfId="0" applyFont="1" applyFill="1" applyBorder="1" applyAlignment="1">
      <alignment horizontal="center" wrapText="1"/>
    </xf>
    <xf numFmtId="0" fontId="7" fillId="0" borderId="175" xfId="0" applyFont="1" applyFill="1" applyBorder="1" applyAlignment="1" applyProtection="1">
      <alignment horizontal="center" wrapText="1"/>
      <protection hidden="1"/>
    </xf>
    <xf numFmtId="189" fontId="7" fillId="8" borderId="176" xfId="0" applyNumberFormat="1" applyFont="1" applyFill="1" applyBorder="1" applyAlignment="1" applyProtection="1">
      <alignment horizontal="center" shrinkToFit="1"/>
      <protection hidden="1"/>
    </xf>
    <xf numFmtId="189" fontId="7" fillId="8" borderId="177" xfId="0" applyNumberFormat="1" applyFont="1" applyFill="1" applyBorder="1" applyAlignment="1" applyProtection="1">
      <alignment horizontal="center" shrinkToFit="1"/>
      <protection hidden="1"/>
    </xf>
    <xf numFmtId="0" fontId="18" fillId="0" borderId="0" xfId="0" applyFont="1" applyAlignment="1">
      <alignment horizontal="center"/>
    </xf>
    <xf numFmtId="4" fontId="10" fillId="0" borderId="40" xfId="0" applyNumberFormat="1" applyFont="1" applyBorder="1" applyAlignment="1" applyProtection="1">
      <alignment horizontal="center" wrapText="1" shrinkToFit="1"/>
    </xf>
    <xf numFmtId="4" fontId="10" fillId="0" borderId="16" xfId="0" applyNumberFormat="1" applyFont="1" applyBorder="1" applyAlignment="1" applyProtection="1">
      <alignment horizontal="center" wrapText="1" shrinkToFit="1"/>
    </xf>
    <xf numFmtId="167" fontId="17" fillId="8" borderId="40" xfId="0" applyNumberFormat="1" applyFont="1" applyFill="1" applyBorder="1" applyAlignment="1">
      <alignment horizontal="center" wrapText="1"/>
    </xf>
    <xf numFmtId="167" fontId="17" fillId="8" borderId="16" xfId="0" applyNumberFormat="1" applyFont="1" applyFill="1" applyBorder="1" applyAlignment="1">
      <alignment horizontal="center" wrapText="1"/>
    </xf>
    <xf numFmtId="172" fontId="10" fillId="0" borderId="40" xfId="0" applyNumberFormat="1" applyFont="1" applyBorder="1" applyAlignment="1" applyProtection="1">
      <alignment horizontal="center" shrinkToFit="1"/>
    </xf>
    <xf numFmtId="172" fontId="10" fillId="0" borderId="16" xfId="0" applyNumberFormat="1" applyFont="1" applyBorder="1" applyAlignment="1" applyProtection="1">
      <alignment horizontal="center" shrinkToFit="1"/>
    </xf>
    <xf numFmtId="177" fontId="10" fillId="0" borderId="40" xfId="0" applyNumberFormat="1" applyFont="1" applyBorder="1" applyAlignment="1" applyProtection="1">
      <alignment horizontal="center" shrinkToFit="1"/>
    </xf>
    <xf numFmtId="177" fontId="10" fillId="0" borderId="16" xfId="0" applyNumberFormat="1" applyFont="1" applyBorder="1" applyAlignment="1" applyProtection="1">
      <alignment horizontal="center" shrinkToFit="1"/>
    </xf>
    <xf numFmtId="3" fontId="10" fillId="0" borderId="40" xfId="0" applyNumberFormat="1" applyFont="1" applyBorder="1" applyAlignment="1" applyProtection="1">
      <alignment horizontal="center" shrinkToFit="1"/>
    </xf>
    <xf numFmtId="3" fontId="10" fillId="0" borderId="16" xfId="0" applyNumberFormat="1" applyFont="1" applyBorder="1" applyAlignment="1" applyProtection="1">
      <alignment horizontal="center" shrinkToFit="1"/>
    </xf>
    <xf numFmtId="167" fontId="17" fillId="8" borderId="40" xfId="0" applyNumberFormat="1" applyFont="1" applyFill="1" applyBorder="1" applyAlignment="1">
      <alignment horizontal="center" shrinkToFit="1"/>
    </xf>
    <xf numFmtId="0" fontId="10" fillId="0" borderId="40" xfId="0" applyFont="1" applyBorder="1" applyAlignment="1" applyProtection="1">
      <alignment horizontal="center" shrinkToFit="1"/>
      <protection locked="0"/>
    </xf>
    <xf numFmtId="0" fontId="10" fillId="0" borderId="16" xfId="0" applyFont="1" applyBorder="1" applyAlignment="1" applyProtection="1">
      <alignment horizontal="center" shrinkToFit="1"/>
      <protection locked="0"/>
    </xf>
    <xf numFmtId="186" fontId="10" fillId="0" borderId="40" xfId="0" applyNumberFormat="1" applyFont="1" applyBorder="1" applyAlignment="1" applyProtection="1">
      <alignment horizontal="center" shrinkToFit="1"/>
      <protection locked="0"/>
    </xf>
    <xf numFmtId="186" fontId="10" fillId="0" borderId="39" xfId="0" applyNumberFormat="1" applyFont="1" applyBorder="1" applyAlignment="1" applyProtection="1">
      <alignment horizontal="center" shrinkToFit="1"/>
      <protection locked="0"/>
    </xf>
    <xf numFmtId="186" fontId="10" fillId="0" borderId="16" xfId="0" applyNumberFormat="1" applyFont="1" applyBorder="1" applyAlignment="1" applyProtection="1">
      <alignment horizontal="center" shrinkToFit="1"/>
      <protection locked="0"/>
    </xf>
    <xf numFmtId="186" fontId="10" fillId="0" borderId="36" xfId="0" applyNumberFormat="1" applyFont="1" applyBorder="1" applyAlignment="1" applyProtection="1">
      <alignment horizontal="center" shrinkToFit="1"/>
      <protection locked="0"/>
    </xf>
    <xf numFmtId="0" fontId="10" fillId="8" borderId="118" xfId="0" applyFont="1" applyFill="1" applyBorder="1" applyAlignment="1" applyProtection="1">
      <alignment horizontal="center" shrinkToFit="1"/>
      <protection locked="0"/>
    </xf>
    <xf numFmtId="0" fontId="10" fillId="8" borderId="66" xfId="0" applyFont="1" applyFill="1" applyBorder="1" applyAlignment="1" applyProtection="1">
      <alignment horizontal="center" shrinkToFit="1"/>
      <protection locked="0"/>
    </xf>
    <xf numFmtId="0" fontId="10" fillId="8" borderId="119" xfId="0" applyFont="1" applyFill="1" applyBorder="1" applyAlignment="1" applyProtection="1">
      <alignment horizontal="center" shrinkToFit="1"/>
      <protection locked="0"/>
    </xf>
    <xf numFmtId="0" fontId="10" fillId="8" borderId="65" xfId="0" applyFont="1" applyFill="1" applyBorder="1" applyAlignment="1" applyProtection="1">
      <alignment horizontal="center" shrinkToFit="1"/>
      <protection locked="0"/>
    </xf>
    <xf numFmtId="0" fontId="10" fillId="0" borderId="17" xfId="0" applyFont="1" applyBorder="1" applyAlignment="1" applyProtection="1">
      <alignment horizontal="center" wrapText="1"/>
      <protection locked="0"/>
    </xf>
    <xf numFmtId="0" fontId="10" fillId="0" borderId="40" xfId="0" applyFont="1" applyBorder="1" applyAlignment="1" applyProtection="1">
      <alignment horizontal="center" wrapText="1"/>
      <protection locked="0"/>
    </xf>
    <xf numFmtId="0" fontId="10" fillId="0" borderId="38" xfId="0" applyFont="1" applyBorder="1" applyAlignment="1" applyProtection="1">
      <alignment horizontal="center" wrapText="1"/>
      <protection locked="0"/>
    </xf>
    <xf numFmtId="0" fontId="10" fillId="0" borderId="16" xfId="0" applyFont="1" applyBorder="1" applyAlignment="1" applyProtection="1">
      <alignment horizontal="center" wrapText="1"/>
      <protection locked="0"/>
    </xf>
    <xf numFmtId="49" fontId="10" fillId="0" borderId="40" xfId="0" applyNumberFormat="1" applyFont="1" applyBorder="1" applyAlignment="1" applyProtection="1">
      <alignment horizontal="center" shrinkToFit="1"/>
    </xf>
    <xf numFmtId="49" fontId="10" fillId="0" borderId="16" xfId="0" applyNumberFormat="1" applyFont="1" applyBorder="1" applyAlignment="1" applyProtection="1">
      <alignment horizontal="center" shrinkToFit="1"/>
    </xf>
    <xf numFmtId="170" fontId="10" fillId="0" borderId="40" xfId="0" applyNumberFormat="1" applyFont="1" applyBorder="1" applyAlignment="1" applyProtection="1">
      <alignment horizontal="center" shrinkToFit="1"/>
    </xf>
    <xf numFmtId="170" fontId="10" fillId="0" borderId="16" xfId="0" applyNumberFormat="1" applyFont="1" applyBorder="1" applyAlignment="1" applyProtection="1">
      <alignment horizontal="center" shrinkToFit="1"/>
    </xf>
    <xf numFmtId="167" fontId="10" fillId="0" borderId="40" xfId="0" applyNumberFormat="1" applyFont="1" applyBorder="1" applyAlignment="1" applyProtection="1">
      <alignment horizontal="center" shrinkToFit="1"/>
      <protection locked="0"/>
    </xf>
    <xf numFmtId="167" fontId="10" fillId="0" borderId="16" xfId="0" applyNumberFormat="1" applyFont="1" applyBorder="1" applyAlignment="1" applyProtection="1">
      <alignment horizontal="center" shrinkToFit="1"/>
      <protection locked="0"/>
    </xf>
    <xf numFmtId="167" fontId="10" fillId="0" borderId="66" xfId="0" applyNumberFormat="1" applyFont="1" applyBorder="1" applyAlignment="1" applyProtection="1">
      <alignment horizontal="center" shrinkToFit="1"/>
      <protection locked="0"/>
    </xf>
    <xf numFmtId="167" fontId="10" fillId="0" borderId="65" xfId="0" applyNumberFormat="1" applyFont="1" applyBorder="1" applyAlignment="1" applyProtection="1">
      <alignment horizontal="center" shrinkToFit="1"/>
      <protection locked="0"/>
    </xf>
    <xf numFmtId="164" fontId="10" fillId="0" borderId="17" xfId="0" applyNumberFormat="1" applyFont="1" applyBorder="1" applyAlignment="1">
      <alignment horizontal="right" vertical="center"/>
    </xf>
    <xf numFmtId="0" fontId="9" fillId="0" borderId="40" xfId="0" applyFont="1" applyBorder="1" applyAlignment="1" applyProtection="1">
      <alignment horizontal="center" wrapText="1"/>
      <protection locked="0"/>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13" xfId="0" applyFont="1" applyBorder="1" applyAlignment="1">
      <alignment horizontal="center" wrapText="1"/>
    </xf>
    <xf numFmtId="0" fontId="10" fillId="0" borderId="0" xfId="0" applyFont="1" applyBorder="1" applyAlignment="1">
      <alignment horizontal="center" wrapText="1"/>
    </xf>
    <xf numFmtId="164" fontId="10" fillId="0" borderId="0" xfId="0" applyNumberFormat="1" applyFont="1" applyBorder="1" applyAlignment="1">
      <alignment horizontal="right" vertical="center"/>
    </xf>
    <xf numFmtId="0" fontId="10" fillId="0" borderId="0" xfId="0" applyFont="1" applyBorder="1" applyAlignment="1">
      <alignment horizontal="center"/>
    </xf>
    <xf numFmtId="0" fontId="10" fillId="0" borderId="13" xfId="0" applyFont="1" applyBorder="1" applyAlignment="1">
      <alignment horizontal="center"/>
    </xf>
    <xf numFmtId="0" fontId="34" fillId="21" borderId="73" xfId="0" applyFont="1" applyFill="1" applyBorder="1" applyAlignment="1">
      <alignment horizontal="center"/>
    </xf>
    <xf numFmtId="0" fontId="34" fillId="21" borderId="0" xfId="0" applyFont="1" applyFill="1" applyBorder="1" applyAlignment="1">
      <alignment horizontal="center"/>
    </xf>
    <xf numFmtId="0" fontId="34" fillId="21" borderId="74" xfId="0" applyFont="1" applyFill="1" applyBorder="1" applyAlignment="1">
      <alignment horizontal="center"/>
    </xf>
    <xf numFmtId="167" fontId="18" fillId="0" borderId="75" xfId="0" applyNumberFormat="1" applyFont="1" applyFill="1" applyBorder="1" applyAlignment="1">
      <alignment horizontal="center"/>
    </xf>
    <xf numFmtId="167" fontId="18" fillId="0" borderId="76" xfId="0" applyNumberFormat="1" applyFont="1" applyFill="1" applyBorder="1" applyAlignment="1">
      <alignment horizontal="center"/>
    </xf>
    <xf numFmtId="167" fontId="18" fillId="0" borderId="77" xfId="0" applyNumberFormat="1" applyFont="1" applyFill="1" applyBorder="1" applyAlignment="1">
      <alignment horizontal="center"/>
    </xf>
    <xf numFmtId="171" fontId="18" fillId="0" borderId="75" xfId="0" applyNumberFormat="1" applyFont="1" applyFill="1" applyBorder="1" applyAlignment="1">
      <alignment horizontal="center"/>
    </xf>
    <xf numFmtId="171" fontId="18" fillId="0" borderId="76" xfId="0" applyNumberFormat="1" applyFont="1" applyFill="1" applyBorder="1" applyAlignment="1">
      <alignment horizontal="center"/>
    </xf>
    <xf numFmtId="171" fontId="18" fillId="0" borderId="77" xfId="0" applyNumberFormat="1" applyFont="1" applyFill="1" applyBorder="1" applyAlignment="1">
      <alignment horizontal="center"/>
    </xf>
    <xf numFmtId="174" fontId="18" fillId="0" borderId="73" xfId="0" applyNumberFormat="1" applyFont="1" applyFill="1" applyBorder="1" applyAlignment="1">
      <alignment horizontal="left"/>
    </xf>
    <xf numFmtId="174" fontId="18" fillId="0" borderId="0" xfId="0" applyNumberFormat="1" applyFont="1" applyFill="1" applyBorder="1" applyAlignment="1">
      <alignment horizontal="left"/>
    </xf>
    <xf numFmtId="174" fontId="18" fillId="0" borderId="74" xfId="0" applyNumberFormat="1" applyFont="1" applyFill="1" applyBorder="1" applyAlignment="1">
      <alignment horizontal="left"/>
    </xf>
    <xf numFmtId="0" fontId="18" fillId="0" borderId="75" xfId="0" applyFont="1" applyFill="1" applyBorder="1" applyAlignment="1">
      <alignment horizontal="left" vertical="top"/>
    </xf>
    <xf numFmtId="0" fontId="18" fillId="0" borderId="76" xfId="0" applyFont="1" applyFill="1" applyBorder="1" applyAlignment="1">
      <alignment horizontal="left" vertical="top"/>
    </xf>
    <xf numFmtId="0" fontId="18" fillId="0" borderId="77" xfId="0" applyFont="1" applyFill="1" applyBorder="1" applyAlignment="1">
      <alignment horizontal="left" vertical="top"/>
    </xf>
    <xf numFmtId="0" fontId="18" fillId="0" borderId="73" xfId="0" applyFont="1" applyFill="1" applyBorder="1" applyAlignment="1">
      <alignment horizontal="left"/>
    </xf>
    <xf numFmtId="0" fontId="18" fillId="0" borderId="0" xfId="0" applyFont="1" applyFill="1" applyBorder="1" applyAlignment="1">
      <alignment horizontal="left"/>
    </xf>
    <xf numFmtId="0" fontId="18" fillId="0" borderId="74" xfId="0" applyFont="1" applyFill="1" applyBorder="1" applyAlignment="1">
      <alignment horizontal="left"/>
    </xf>
    <xf numFmtId="0" fontId="17" fillId="0" borderId="73" xfId="0" applyFont="1" applyFill="1" applyBorder="1" applyAlignment="1">
      <alignment horizontal="left"/>
    </xf>
    <xf numFmtId="0" fontId="17" fillId="0" borderId="0" xfId="0" applyFont="1" applyFill="1" applyBorder="1" applyAlignment="1">
      <alignment horizontal="left"/>
    </xf>
    <xf numFmtId="0" fontId="17" fillId="0" borderId="74" xfId="0" applyFont="1" applyFill="1" applyBorder="1" applyAlignment="1">
      <alignment horizontal="left"/>
    </xf>
    <xf numFmtId="0" fontId="34" fillId="21" borderId="70" xfId="0" applyFont="1" applyFill="1" applyBorder="1" applyAlignment="1">
      <alignment horizontal="center"/>
    </xf>
    <xf numFmtId="0" fontId="34" fillId="21" borderId="71" xfId="0" applyFont="1" applyFill="1" applyBorder="1" applyAlignment="1">
      <alignment horizontal="center"/>
    </xf>
    <xf numFmtId="0" fontId="34" fillId="21" borderId="72" xfId="0" applyFont="1" applyFill="1" applyBorder="1" applyAlignment="1">
      <alignment horizontal="center"/>
    </xf>
    <xf numFmtId="0" fontId="69" fillId="0" borderId="0" xfId="0" applyFont="1" applyAlignment="1">
      <alignment horizontal="left" vertical="top" wrapText="1"/>
    </xf>
    <xf numFmtId="0" fontId="163" fillId="9" borderId="0" xfId="0" applyFont="1" applyFill="1" applyBorder="1" applyAlignment="1" applyProtection="1">
      <alignment horizontal="left" vertical="center"/>
    </xf>
    <xf numFmtId="0" fontId="107" fillId="32" borderId="0" xfId="0" applyFont="1" applyFill="1" applyBorder="1" applyAlignment="1" applyProtection="1">
      <alignment horizontal="left" vertical="center"/>
    </xf>
    <xf numFmtId="0" fontId="65" fillId="21" borderId="0" xfId="0" applyFont="1" applyFill="1" applyBorder="1" applyAlignment="1" applyProtection="1">
      <alignment horizontal="center" vertical="center"/>
    </xf>
    <xf numFmtId="0" fontId="74" fillId="0" borderId="0" xfId="0" applyFont="1" applyBorder="1" applyAlignment="1">
      <alignment horizontal="left"/>
    </xf>
    <xf numFmtId="0" fontId="150" fillId="0" borderId="0" xfId="0" applyFont="1" applyBorder="1" applyAlignment="1">
      <alignment horizontal="left" wrapText="1"/>
    </xf>
    <xf numFmtId="0" fontId="18" fillId="44" borderId="18" xfId="0" applyFont="1" applyFill="1" applyBorder="1" applyAlignment="1" applyProtection="1">
      <alignment horizontal="left"/>
      <protection hidden="1"/>
    </xf>
    <xf numFmtId="0" fontId="18" fillId="44" borderId="19" xfId="0" applyFont="1" applyFill="1" applyBorder="1" applyAlignment="1" applyProtection="1">
      <alignment horizontal="left"/>
      <protection hidden="1"/>
    </xf>
    <xf numFmtId="0" fontId="18" fillId="44" borderId="20" xfId="0" applyFont="1" applyFill="1" applyBorder="1" applyAlignment="1" applyProtection="1">
      <alignment horizontal="left"/>
      <protection hidden="1"/>
    </xf>
    <xf numFmtId="0" fontId="18" fillId="45" borderId="19" xfId="0" applyFont="1" applyFill="1" applyBorder="1" applyAlignment="1" applyProtection="1">
      <alignment horizontal="left"/>
      <protection hidden="1"/>
    </xf>
    <xf numFmtId="0" fontId="18" fillId="45" borderId="20" xfId="0" applyFont="1" applyFill="1" applyBorder="1" applyAlignment="1" applyProtection="1">
      <alignment horizontal="left"/>
      <protection hidden="1"/>
    </xf>
    <xf numFmtId="0" fontId="69" fillId="0" borderId="0" xfId="0" applyFont="1" applyAlignment="1">
      <alignment horizontal="center" vertical="center"/>
    </xf>
    <xf numFmtId="0" fontId="18" fillId="44" borderId="18" xfId="0" applyFont="1" applyFill="1" applyBorder="1" applyAlignment="1" applyProtection="1">
      <alignment horizontal="left"/>
    </xf>
    <xf numFmtId="0" fontId="18" fillId="45" borderId="19" xfId="0" applyFont="1" applyFill="1" applyBorder="1" applyAlignment="1" applyProtection="1">
      <alignment horizontal="left"/>
    </xf>
    <xf numFmtId="0" fontId="18" fillId="45" borderId="20" xfId="0" applyFont="1" applyFill="1" applyBorder="1" applyAlignment="1" applyProtection="1">
      <alignment horizontal="left"/>
    </xf>
    <xf numFmtId="174" fontId="18" fillId="0" borderId="18" xfId="0" applyNumberFormat="1" applyFont="1" applyBorder="1" applyAlignment="1" applyProtection="1">
      <alignment horizontal="left"/>
      <protection locked="0" hidden="1"/>
    </xf>
    <xf numFmtId="174" fontId="18" fillId="0" borderId="19" xfId="0" applyNumberFormat="1" applyFont="1" applyBorder="1" applyAlignment="1" applyProtection="1">
      <alignment horizontal="left"/>
      <protection locked="0" hidden="1"/>
    </xf>
    <xf numFmtId="174" fontId="18" fillId="0" borderId="20" xfId="0" applyNumberFormat="1" applyFont="1" applyBorder="1" applyAlignment="1" applyProtection="1">
      <alignment horizontal="left"/>
      <protection locked="0" hidden="1"/>
    </xf>
    <xf numFmtId="0" fontId="32" fillId="0" borderId="0" xfId="0" applyFont="1" applyAlignment="1">
      <alignment horizontal="left"/>
    </xf>
    <xf numFmtId="0" fontId="32" fillId="0" borderId="0" xfId="0" applyFont="1" applyBorder="1" applyAlignment="1" applyProtection="1">
      <alignment horizontal="left"/>
    </xf>
    <xf numFmtId="49" fontId="18" fillId="44" borderId="18" xfId="0" applyNumberFormat="1" applyFont="1" applyFill="1" applyBorder="1" applyAlignment="1" applyProtection="1">
      <alignment horizontal="left"/>
    </xf>
    <xf numFmtId="49" fontId="18" fillId="44" borderId="19" xfId="0" applyNumberFormat="1" applyFont="1" applyFill="1" applyBorder="1" applyAlignment="1" applyProtection="1">
      <alignment horizontal="left"/>
    </xf>
    <xf numFmtId="49" fontId="18" fillId="44" borderId="20" xfId="0" applyNumberFormat="1" applyFont="1" applyFill="1" applyBorder="1" applyAlignment="1" applyProtection="1">
      <alignment horizontal="left"/>
    </xf>
    <xf numFmtId="0" fontId="18" fillId="8" borderId="42" xfId="0" applyFont="1" applyFill="1" applyBorder="1" applyAlignment="1" applyProtection="1">
      <alignment horizontal="left" vertical="top" wrapText="1" indent="2"/>
      <protection hidden="1"/>
    </xf>
    <xf numFmtId="0" fontId="18" fillId="8" borderId="22" xfId="0" applyFont="1" applyFill="1" applyBorder="1" applyAlignment="1" applyProtection="1">
      <alignment horizontal="left" vertical="top" wrapText="1" indent="2"/>
      <protection hidden="1"/>
    </xf>
    <xf numFmtId="0" fontId="18" fillId="8" borderId="3" xfId="0" applyFont="1" applyFill="1" applyBorder="1" applyAlignment="1" applyProtection="1">
      <alignment horizontal="left" vertical="top" wrapText="1" indent="2"/>
      <protection hidden="1"/>
    </xf>
    <xf numFmtId="0" fontId="18" fillId="8" borderId="41" xfId="0" applyFont="1" applyFill="1" applyBorder="1" applyAlignment="1" applyProtection="1">
      <alignment horizontal="left" vertical="top" wrapText="1" indent="2"/>
      <protection hidden="1"/>
    </xf>
    <xf numFmtId="0" fontId="18" fillId="8" borderId="0" xfId="0" applyFont="1" applyFill="1" applyBorder="1" applyAlignment="1" applyProtection="1">
      <alignment horizontal="left" vertical="top" wrapText="1" indent="2"/>
      <protection hidden="1"/>
    </xf>
    <xf numFmtId="0" fontId="18" fillId="8" borderId="4" xfId="0" applyFont="1" applyFill="1" applyBorder="1" applyAlignment="1" applyProtection="1">
      <alignment horizontal="left" vertical="top" wrapText="1" indent="2"/>
      <protection hidden="1"/>
    </xf>
    <xf numFmtId="0" fontId="18" fillId="8" borderId="43" xfId="0" applyFont="1" applyFill="1" applyBorder="1" applyAlignment="1" applyProtection="1">
      <alignment horizontal="left" vertical="top" wrapText="1" indent="2"/>
      <protection hidden="1"/>
    </xf>
    <xf numFmtId="0" fontId="18" fillId="8" borderId="25" xfId="0" applyFont="1" applyFill="1" applyBorder="1" applyAlignment="1" applyProtection="1">
      <alignment horizontal="left" vertical="top" wrapText="1" indent="2"/>
      <protection hidden="1"/>
    </xf>
    <xf numFmtId="0" fontId="18" fillId="8" borderId="5" xfId="0" applyFont="1" applyFill="1" applyBorder="1" applyAlignment="1" applyProtection="1">
      <alignment horizontal="left" vertical="top" wrapText="1" indent="2"/>
      <protection hidden="1"/>
    </xf>
    <xf numFmtId="0" fontId="156" fillId="0" borderId="0" xfId="0" applyFont="1" applyAlignment="1">
      <alignment horizontal="left" vertical="center" wrapText="1"/>
    </xf>
    <xf numFmtId="0" fontId="18" fillId="0" borderId="76" xfId="0" applyFont="1" applyFill="1" applyBorder="1" applyAlignment="1">
      <alignment horizontal="left" vertical="top" wrapText="1"/>
    </xf>
    <xf numFmtId="0" fontId="18" fillId="0" borderId="77" xfId="0" applyFont="1" applyFill="1" applyBorder="1" applyAlignment="1">
      <alignment horizontal="left" vertical="top" wrapText="1"/>
    </xf>
    <xf numFmtId="167" fontId="32" fillId="37" borderId="91" xfId="0" applyNumberFormat="1" applyFont="1" applyFill="1" applyBorder="1" applyAlignment="1" applyProtection="1">
      <alignment horizontal="left" vertical="top"/>
    </xf>
    <xf numFmtId="0" fontId="57" fillId="37" borderId="91" xfId="0" applyFont="1" applyFill="1" applyBorder="1" applyAlignment="1" applyProtection="1">
      <alignment vertical="top"/>
    </xf>
    <xf numFmtId="167" fontId="57" fillId="37" borderId="91" xfId="0" applyNumberFormat="1" applyFont="1" applyFill="1" applyBorder="1" applyAlignment="1" applyProtection="1">
      <alignment horizontal="left" vertical="top"/>
    </xf>
    <xf numFmtId="167" fontId="57" fillId="37" borderId="112" xfId="0" applyNumberFormat="1" applyFont="1" applyFill="1" applyBorder="1" applyAlignment="1" applyProtection="1">
      <alignment horizontal="left" vertical="top"/>
    </xf>
    <xf numFmtId="0" fontId="63" fillId="37" borderId="0" xfId="0" applyFont="1" applyFill="1" applyAlignment="1" applyProtection="1">
      <alignment horizontal="left" vertical="center" wrapText="1"/>
    </xf>
    <xf numFmtId="0" fontId="108" fillId="38" borderId="0" xfId="0" applyFont="1" applyFill="1" applyAlignment="1" applyProtection="1">
      <alignment horizontal="left" vertical="top"/>
    </xf>
    <xf numFmtId="0" fontId="57" fillId="37" borderId="91" xfId="0" applyFont="1" applyFill="1" applyBorder="1" applyAlignment="1" applyProtection="1">
      <alignment horizontal="left" vertical="top"/>
    </xf>
    <xf numFmtId="0" fontId="112" fillId="37" borderId="91" xfId="0" applyFont="1" applyFill="1" applyBorder="1" applyAlignment="1" applyProtection="1">
      <alignment horizontal="left" vertical="top"/>
    </xf>
    <xf numFmtId="0" fontId="164" fillId="37" borderId="91" xfId="0" applyFont="1" applyFill="1" applyBorder="1" applyAlignment="1" applyProtection="1">
      <alignment horizontal="left" vertical="top"/>
    </xf>
    <xf numFmtId="0" fontId="57" fillId="37" borderId="112" xfId="0" applyFont="1" applyFill="1" applyBorder="1" applyAlignment="1" applyProtection="1">
      <alignment horizontal="left" vertical="top"/>
    </xf>
    <xf numFmtId="171" fontId="32" fillId="37" borderId="91" xfId="0" applyNumberFormat="1" applyFont="1" applyFill="1" applyBorder="1" applyAlignment="1" applyProtection="1">
      <alignment horizontal="left" vertical="top"/>
    </xf>
    <xf numFmtId="171" fontId="57" fillId="37" borderId="91" xfId="0" applyNumberFormat="1" applyFont="1" applyFill="1" applyBorder="1" applyAlignment="1" applyProtection="1">
      <alignment horizontal="left" vertical="top"/>
    </xf>
    <xf numFmtId="171" fontId="57" fillId="37" borderId="112" xfId="0" applyNumberFormat="1" applyFont="1" applyFill="1" applyBorder="1" applyAlignment="1" applyProtection="1">
      <alignment horizontal="left" vertical="top"/>
    </xf>
    <xf numFmtId="174" fontId="18" fillId="38" borderId="0" xfId="0" applyNumberFormat="1" applyFont="1" applyFill="1" applyAlignment="1" applyProtection="1">
      <alignment horizontal="left" vertical="top"/>
    </xf>
    <xf numFmtId="0" fontId="18" fillId="38" borderId="0" xfId="0" applyFont="1" applyFill="1" applyAlignment="1" applyProtection="1">
      <alignment horizontal="left" vertical="top"/>
    </xf>
    <xf numFmtId="0" fontId="17" fillId="38" borderId="0" xfId="0" applyFont="1" applyFill="1" applyAlignment="1" applyProtection="1">
      <alignment horizontal="left" vertical="top"/>
    </xf>
    <xf numFmtId="0" fontId="32" fillId="37" borderId="0" xfId="0" applyFont="1" applyFill="1" applyAlignment="1" applyProtection="1">
      <alignment horizontal="left" vertical="top" wrapText="1"/>
    </xf>
    <xf numFmtId="0" fontId="32" fillId="37" borderId="0" xfId="0" applyNumberFormat="1" applyFont="1" applyFill="1" applyAlignment="1" applyProtection="1">
      <alignment horizontal="left" vertical="top" wrapText="1"/>
    </xf>
    <xf numFmtId="174" fontId="32" fillId="37" borderId="0" xfId="0" applyNumberFormat="1" applyFont="1" applyFill="1" applyAlignment="1" applyProtection="1">
      <alignment horizontal="left" vertical="top" wrapText="1"/>
    </xf>
    <xf numFmtId="0" fontId="57" fillId="37" borderId="0" xfId="0" applyFont="1" applyFill="1" applyAlignment="1" applyProtection="1">
      <alignment horizontal="left" vertical="top" wrapText="1"/>
    </xf>
    <xf numFmtId="0" fontId="107" fillId="36" borderId="0" xfId="0" applyFont="1" applyFill="1" applyAlignment="1" applyProtection="1">
      <alignment horizontal="left" vertical="center"/>
    </xf>
    <xf numFmtId="0" fontId="106" fillId="21" borderId="0" xfId="0" applyFont="1" applyFill="1" applyAlignment="1" applyProtection="1">
      <alignment horizontal="left" vertical="center"/>
    </xf>
    <xf numFmtId="0" fontId="74" fillId="0" borderId="0" xfId="0" applyFont="1" applyAlignment="1" applyProtection="1">
      <alignment horizontal="center"/>
    </xf>
    <xf numFmtId="0" fontId="68" fillId="0" borderId="0" xfId="0" applyFont="1" applyAlignment="1" applyProtection="1">
      <alignment horizontal="center"/>
    </xf>
    <xf numFmtId="0" fontId="108" fillId="38" borderId="0" xfId="0" applyFont="1" applyFill="1" applyAlignment="1" applyProtection="1">
      <alignment horizontal="left" vertical="center" wrapText="1"/>
    </xf>
    <xf numFmtId="0" fontId="31" fillId="0" borderId="0" xfId="0" applyFont="1" applyAlignment="1" applyProtection="1">
      <alignment horizontal="left" vertical="top" wrapText="1"/>
    </xf>
    <xf numFmtId="0" fontId="1" fillId="0" borderId="0" xfId="0" applyFont="1" applyAlignment="1">
      <alignment horizontal="center" wrapText="1"/>
    </xf>
    <xf numFmtId="0" fontId="1" fillId="0" borderId="0" xfId="0" applyFont="1" applyAlignment="1" applyProtection="1">
      <alignment horizontal="center" vertical="top" wrapText="1"/>
    </xf>
    <xf numFmtId="0" fontId="65" fillId="21" borderId="0" xfId="0" applyFont="1" applyFill="1" applyAlignment="1" applyProtection="1">
      <alignment horizontal="center" wrapText="1"/>
    </xf>
    <xf numFmtId="14" fontId="18" fillId="38" borderId="0" xfId="2" applyNumberFormat="1" applyFont="1" applyFill="1" applyBorder="1" applyAlignment="1" applyProtection="1">
      <alignment horizontal="left" vertical="top"/>
      <protection locked="0"/>
    </xf>
    <xf numFmtId="0" fontId="23" fillId="38" borderId="0" xfId="2" applyFont="1" applyFill="1" applyBorder="1" applyAlignment="1" applyProtection="1">
      <alignment horizontal="center" vertical="center" wrapText="1"/>
    </xf>
    <xf numFmtId="0" fontId="18" fillId="38" borderId="0" xfId="2" applyFont="1" applyFill="1" applyBorder="1" applyAlignment="1" applyProtection="1">
      <alignment horizontal="left" vertical="top"/>
      <protection locked="0"/>
    </xf>
    <xf numFmtId="0" fontId="24" fillId="38" borderId="0" xfId="2" applyFont="1" applyFill="1" applyBorder="1" applyAlignment="1" applyProtection="1">
      <alignment horizontal="left" vertical="top"/>
    </xf>
    <xf numFmtId="0" fontId="65" fillId="21" borderId="0" xfId="0" applyFont="1" applyFill="1" applyAlignment="1" applyProtection="1">
      <alignment horizontal="center" vertical="center"/>
    </xf>
    <xf numFmtId="0" fontId="109" fillId="0" borderId="0" xfId="0" applyFont="1" applyAlignment="1" applyProtection="1">
      <alignment horizontal="center"/>
    </xf>
    <xf numFmtId="14" fontId="111" fillId="0" borderId="0" xfId="0" applyNumberFormat="1" applyFont="1" applyBorder="1" applyAlignment="1" applyProtection="1">
      <alignment horizontal="center" wrapText="1"/>
      <protection locked="0"/>
    </xf>
    <xf numFmtId="14" fontId="111" fillId="0" borderId="25" xfId="0" applyNumberFormat="1" applyFont="1" applyBorder="1" applyAlignment="1" applyProtection="1">
      <alignment horizontal="center" wrapText="1"/>
      <protection locked="0"/>
    </xf>
    <xf numFmtId="0" fontId="31" fillId="0" borderId="0" xfId="0" applyFont="1" applyAlignment="1" applyProtection="1">
      <alignment horizontal="justify" vertical="top" wrapText="1"/>
    </xf>
    <xf numFmtId="0" fontId="18" fillId="0" borderId="0" xfId="0" applyFont="1" applyAlignment="1" applyProtection="1">
      <alignment horizontal="left" vertical="top" wrapText="1"/>
    </xf>
    <xf numFmtId="0" fontId="109" fillId="0" borderId="0" xfId="0" applyFont="1" applyAlignment="1" applyProtection="1">
      <alignment horizontal="center" wrapText="1"/>
    </xf>
    <xf numFmtId="0" fontId="111" fillId="0" borderId="0" xfId="0" applyNumberFormat="1" applyFont="1" applyBorder="1" applyAlignment="1" applyProtection="1">
      <alignment horizontal="center" wrapText="1"/>
      <protection locked="0"/>
    </xf>
    <xf numFmtId="0" fontId="111" fillId="0" borderId="25" xfId="0" applyNumberFormat="1" applyFont="1" applyBorder="1" applyAlignment="1" applyProtection="1">
      <alignment horizontal="center" wrapText="1"/>
      <protection locked="0"/>
    </xf>
    <xf numFmtId="0" fontId="17" fillId="0" borderId="0" xfId="0" applyFont="1" applyAlignment="1" applyProtection="1">
      <alignment horizontal="left" vertical="top"/>
    </xf>
    <xf numFmtId="0" fontId="113" fillId="0" borderId="0" xfId="0" applyFont="1" applyAlignment="1" applyProtection="1">
      <alignment horizontal="left" vertical="top"/>
    </xf>
    <xf numFmtId="0" fontId="18" fillId="0" borderId="0" xfId="0" applyFont="1" applyAlignment="1" applyProtection="1">
      <alignment horizontal="left" vertical="center" wrapText="1"/>
    </xf>
    <xf numFmtId="0" fontId="107" fillId="9" borderId="0" xfId="0" applyFont="1" applyFill="1" applyAlignment="1" applyProtection="1">
      <alignment horizontal="left" vertical="center"/>
    </xf>
    <xf numFmtId="175" fontId="15" fillId="0" borderId="0" xfId="2" applyNumberFormat="1" applyFont="1" applyFill="1" applyBorder="1" applyAlignment="1" applyProtection="1">
      <alignment horizontal="left"/>
    </xf>
    <xf numFmtId="0" fontId="17" fillId="0" borderId="25" xfId="2" applyFont="1" applyBorder="1" applyAlignment="1" applyProtection="1"/>
    <xf numFmtId="0" fontId="19" fillId="0" borderId="22" xfId="2" applyFont="1" applyFill="1" applyBorder="1" applyAlignment="1" applyProtection="1">
      <alignment horizontal="left" vertical="top" readingOrder="1"/>
    </xf>
    <xf numFmtId="0" fontId="19" fillId="0" borderId="22" xfId="2" applyFont="1" applyFill="1" applyBorder="1" applyAlignment="1" applyProtection="1">
      <alignment horizontal="left" vertical="top"/>
    </xf>
    <xf numFmtId="174" fontId="17" fillId="0" borderId="25" xfId="2" applyNumberFormat="1" applyFont="1" applyBorder="1" applyAlignment="1" applyProtection="1">
      <alignment horizontal="left"/>
    </xf>
    <xf numFmtId="0" fontId="17" fillId="0" borderId="25" xfId="2" applyFont="1" applyBorder="1" applyAlignment="1" applyProtection="1">
      <alignment horizontal="left"/>
    </xf>
    <xf numFmtId="0" fontId="57" fillId="9" borderId="0" xfId="2" applyFont="1" applyFill="1" applyBorder="1" applyAlignment="1" applyProtection="1">
      <alignment readingOrder="1"/>
    </xf>
    <xf numFmtId="0" fontId="17" fillId="0" borderId="25" xfId="2" applyFont="1" applyBorder="1" applyAlignment="1" applyProtection="1">
      <alignment shrinkToFit="1"/>
    </xf>
    <xf numFmtId="0" fontId="17" fillId="0" borderId="25" xfId="2" applyFont="1" applyBorder="1" applyAlignment="1" applyProtection="1">
      <alignment horizontal="left" shrinkToFit="1"/>
    </xf>
    <xf numFmtId="0" fontId="20" fillId="0" borderId="22" xfId="2" applyFont="1" applyBorder="1" applyAlignment="1" applyProtection="1">
      <alignment horizontal="left" vertical="top" readingOrder="1"/>
    </xf>
    <xf numFmtId="0" fontId="17" fillId="0" borderId="25" xfId="0" applyFont="1" applyBorder="1" applyAlignment="1" applyProtection="1"/>
    <xf numFmtId="0" fontId="57" fillId="9" borderId="0" xfId="2" applyFont="1" applyFill="1" applyBorder="1" applyAlignment="1" applyProtection="1"/>
    <xf numFmtId="0" fontId="20" fillId="0" borderId="22" xfId="0" applyFont="1" applyBorder="1" applyAlignment="1" applyProtection="1">
      <alignment horizontal="left" vertical="top"/>
    </xf>
    <xf numFmtId="0" fontId="19" fillId="0" borderId="0" xfId="2" applyFont="1" applyFill="1" applyBorder="1" applyAlignment="1" applyProtection="1">
      <alignment horizontal="left" vertical="top"/>
    </xf>
    <xf numFmtId="0" fontId="25" fillId="0" borderId="22" xfId="2" applyFont="1" applyFill="1" applyBorder="1" applyAlignment="1" applyProtection="1">
      <alignment horizontal="left" vertical="top"/>
    </xf>
    <xf numFmtId="14" fontId="17" fillId="0" borderId="25" xfId="2" applyNumberFormat="1" applyFont="1" applyFill="1" applyBorder="1" applyAlignment="1" applyProtection="1">
      <protection locked="0"/>
    </xf>
    <xf numFmtId="0" fontId="33" fillId="0" borderId="25" xfId="2" applyFont="1" applyBorder="1" applyAlignment="1" applyProtection="1"/>
    <xf numFmtId="0" fontId="18" fillId="0" borderId="57" xfId="0" applyFont="1" applyBorder="1" applyAlignment="1" applyProtection="1">
      <alignment horizontal="center" wrapText="1"/>
      <protection locked="0"/>
    </xf>
    <xf numFmtId="0" fontId="18" fillId="0" borderId="58" xfId="0" applyFont="1" applyBorder="1" applyAlignment="1" applyProtection="1">
      <alignment horizontal="center" wrapText="1"/>
      <protection locked="0"/>
    </xf>
    <xf numFmtId="0" fontId="18" fillId="0" borderId="59" xfId="0" applyFont="1" applyBorder="1" applyAlignment="1" applyProtection="1">
      <alignment horizontal="center" wrapText="1"/>
      <protection locked="0"/>
    </xf>
    <xf numFmtId="0" fontId="18" fillId="0" borderId="62" xfId="0" applyFont="1" applyBorder="1" applyAlignment="1" applyProtection="1">
      <alignment horizontal="center" wrapText="1"/>
      <protection locked="0"/>
    </xf>
    <xf numFmtId="0" fontId="18" fillId="0" borderId="63" xfId="0" applyFont="1" applyBorder="1" applyAlignment="1" applyProtection="1">
      <alignment horizontal="center" wrapText="1"/>
      <protection locked="0"/>
    </xf>
    <xf numFmtId="0" fontId="18" fillId="0" borderId="64" xfId="0" applyFont="1" applyBorder="1" applyAlignment="1" applyProtection="1">
      <alignment horizontal="center" wrapText="1"/>
      <protection locked="0"/>
    </xf>
    <xf numFmtId="0" fontId="18" fillId="0" borderId="60" xfId="0" applyFont="1" applyBorder="1" applyAlignment="1" applyProtection="1">
      <alignment horizontal="center" wrapText="1"/>
      <protection locked="0"/>
    </xf>
    <xf numFmtId="0" fontId="18" fillId="0" borderId="61" xfId="0" applyFont="1" applyBorder="1" applyAlignment="1" applyProtection="1">
      <alignment horizontal="center" wrapText="1"/>
      <protection locked="0"/>
    </xf>
    <xf numFmtId="0" fontId="17" fillId="0" borderId="25" xfId="0" applyFont="1" applyBorder="1" applyAlignment="1" applyProtection="1">
      <protection locked="0"/>
    </xf>
    <xf numFmtId="0" fontId="20" fillId="0" borderId="0" xfId="0" applyFont="1" applyBorder="1" applyAlignment="1">
      <alignment horizontal="left" vertical="top"/>
    </xf>
    <xf numFmtId="0" fontId="17" fillId="0" borderId="25" xfId="0" applyFont="1" applyBorder="1" applyProtection="1">
      <protection locked="0"/>
    </xf>
    <xf numFmtId="0" fontId="18" fillId="19" borderId="54" xfId="0" applyFont="1" applyFill="1" applyBorder="1" applyAlignment="1" applyProtection="1">
      <alignment horizontal="left" vertical="top"/>
    </xf>
    <xf numFmtId="0" fontId="18" fillId="19" borderId="55" xfId="0" applyFont="1" applyFill="1" applyBorder="1" applyAlignment="1" applyProtection="1">
      <alignment horizontal="left" vertical="top"/>
    </xf>
    <xf numFmtId="0" fontId="18" fillId="19" borderId="56" xfId="0" applyFont="1" applyFill="1" applyBorder="1" applyAlignment="1" applyProtection="1">
      <alignment horizontal="left" vertical="top"/>
    </xf>
    <xf numFmtId="0" fontId="18" fillId="19" borderId="54" xfId="0" applyFont="1" applyFill="1" applyBorder="1" applyAlignment="1" applyProtection="1">
      <alignment horizontal="center" vertical="top"/>
    </xf>
    <xf numFmtId="0" fontId="18" fillId="19" borderId="55" xfId="0" applyFont="1" applyFill="1" applyBorder="1" applyAlignment="1" applyProtection="1">
      <alignment horizontal="center" vertical="top"/>
    </xf>
    <xf numFmtId="0" fontId="18" fillId="19" borderId="56" xfId="0" applyFont="1" applyFill="1" applyBorder="1" applyAlignment="1" applyProtection="1">
      <alignment horizontal="center" vertical="top"/>
    </xf>
    <xf numFmtId="0" fontId="18" fillId="17" borderId="54" xfId="0" applyFont="1" applyFill="1" applyBorder="1" applyAlignment="1" applyProtection="1">
      <alignment horizontal="center" vertical="top"/>
    </xf>
    <xf numFmtId="0" fontId="18" fillId="17" borderId="55" xfId="0" applyFont="1" applyFill="1" applyBorder="1" applyAlignment="1" applyProtection="1">
      <alignment horizontal="center" vertical="top"/>
    </xf>
    <xf numFmtId="0" fontId="18" fillId="17" borderId="56" xfId="0" applyFont="1" applyFill="1" applyBorder="1" applyAlignment="1" applyProtection="1">
      <alignment horizontal="center" vertical="top"/>
    </xf>
    <xf numFmtId="0" fontId="32" fillId="8" borderId="54" xfId="0" applyNumberFormat="1" applyFont="1" applyFill="1" applyBorder="1" applyAlignment="1" applyProtection="1">
      <alignment horizontal="left" vertical="top"/>
    </xf>
    <xf numFmtId="0" fontId="32" fillId="8" borderId="55" xfId="0" applyNumberFormat="1" applyFont="1" applyFill="1" applyBorder="1" applyAlignment="1" applyProtection="1">
      <alignment horizontal="left" vertical="top"/>
    </xf>
    <xf numFmtId="0" fontId="32" fillId="8" borderId="56" xfId="0" applyNumberFormat="1" applyFont="1" applyFill="1" applyBorder="1" applyAlignment="1" applyProtection="1">
      <alignment horizontal="left" vertical="top"/>
    </xf>
    <xf numFmtId="167" fontId="32" fillId="8" borderId="54" xfId="0" applyNumberFormat="1" applyFont="1" applyFill="1" applyBorder="1" applyAlignment="1" applyProtection="1">
      <alignment horizontal="left" vertical="top"/>
    </xf>
    <xf numFmtId="167" fontId="32" fillId="8" borderId="55" xfId="0" applyNumberFormat="1" applyFont="1" applyFill="1" applyBorder="1" applyAlignment="1" applyProtection="1">
      <alignment horizontal="left" vertical="top"/>
    </xf>
    <xf numFmtId="167" fontId="32" fillId="8" borderId="56" xfId="0" applyNumberFormat="1" applyFont="1" applyFill="1" applyBorder="1" applyAlignment="1" applyProtection="1">
      <alignment horizontal="left" vertical="top"/>
    </xf>
    <xf numFmtId="0" fontId="18" fillId="15" borderId="53" xfId="0" applyFont="1" applyFill="1" applyBorder="1" applyAlignment="1" applyProtection="1">
      <alignment horizontal="left" vertical="top"/>
    </xf>
    <xf numFmtId="0" fontId="32" fillId="8" borderId="53" xfId="0" applyFont="1" applyFill="1" applyBorder="1" applyAlignment="1" applyProtection="1"/>
    <xf numFmtId="171" fontId="32" fillId="8" borderId="53" xfId="0" applyNumberFormat="1" applyFont="1" applyFill="1" applyBorder="1" applyAlignment="1" applyProtection="1">
      <alignment horizontal="right" vertical="top"/>
    </xf>
    <xf numFmtId="0" fontId="18" fillId="14" borderId="53" xfId="0" applyNumberFormat="1" applyFont="1" applyFill="1" applyBorder="1" applyAlignment="1" applyProtection="1">
      <alignment horizontal="left" vertical="top"/>
      <protection locked="0"/>
    </xf>
    <xf numFmtId="171" fontId="18" fillId="14" borderId="53" xfId="0" applyNumberFormat="1" applyFont="1" applyFill="1" applyBorder="1" applyAlignment="1" applyProtection="1">
      <alignment horizontal="right" vertical="top"/>
      <protection locked="0"/>
    </xf>
    <xf numFmtId="174" fontId="18" fillId="15" borderId="53" xfId="0" applyNumberFormat="1" applyFont="1" applyFill="1" applyBorder="1" applyAlignment="1" applyProtection="1">
      <alignment horizontal="left" vertical="top"/>
    </xf>
    <xf numFmtId="0" fontId="18" fillId="15" borderId="53" xfId="0" applyFont="1" applyFill="1" applyBorder="1" applyAlignment="1" applyProtection="1"/>
    <xf numFmtId="166" fontId="18" fillId="15" borderId="53" xfId="0" applyNumberFormat="1" applyFont="1" applyFill="1" applyBorder="1" applyAlignment="1" applyProtection="1">
      <alignment horizontal="left" vertical="top"/>
    </xf>
    <xf numFmtId="0" fontId="18" fillId="11" borderId="53" xfId="0" applyFont="1" applyFill="1" applyBorder="1" applyAlignment="1" applyProtection="1"/>
    <xf numFmtId="0" fontId="18" fillId="11" borderId="53" xfId="0" applyFont="1" applyFill="1" applyBorder="1" applyAlignment="1" applyProtection="1">
      <alignment horizontal="left" vertical="top"/>
    </xf>
    <xf numFmtId="49" fontId="11" fillId="11" borderId="53" xfId="0" applyNumberFormat="1" applyFont="1" applyFill="1" applyBorder="1" applyAlignment="1" applyProtection="1">
      <alignment horizontal="left" vertical="top"/>
    </xf>
    <xf numFmtId="49" fontId="18" fillId="11" borderId="53" xfId="0" applyNumberFormat="1" applyFont="1" applyFill="1" applyBorder="1" applyAlignment="1" applyProtection="1">
      <alignment horizontal="left" vertical="top"/>
    </xf>
    <xf numFmtId="171" fontId="18" fillId="11" borderId="53" xfId="0" applyNumberFormat="1" applyFont="1" applyFill="1" applyBorder="1" applyAlignment="1" applyProtection="1">
      <alignment horizontal="left" vertical="top"/>
    </xf>
    <xf numFmtId="167" fontId="18" fillId="11" borderId="54" xfId="0" applyNumberFormat="1" applyFont="1" applyFill="1" applyBorder="1" applyAlignment="1" applyProtection="1">
      <alignment horizontal="left" vertical="top"/>
    </xf>
    <xf numFmtId="167" fontId="18" fillId="11" borderId="55" xfId="0" applyNumberFormat="1" applyFont="1" applyFill="1" applyBorder="1" applyAlignment="1" applyProtection="1">
      <alignment horizontal="left" vertical="top"/>
    </xf>
    <xf numFmtId="167" fontId="18" fillId="11" borderId="56" xfId="0" applyNumberFormat="1" applyFont="1" applyFill="1" applyBorder="1" applyAlignment="1" applyProtection="1">
      <alignment horizontal="left" vertical="top"/>
    </xf>
    <xf numFmtId="0" fontId="18" fillId="11" borderId="53" xfId="0" applyFont="1" applyFill="1" applyBorder="1" applyAlignment="1" applyProtection="1">
      <alignment horizontal="left" vertical="top"/>
      <protection locked="0"/>
    </xf>
    <xf numFmtId="0" fontId="18" fillId="19" borderId="53" xfId="0" applyFont="1" applyFill="1" applyBorder="1" applyAlignment="1" applyProtection="1"/>
    <xf numFmtId="0" fontId="18" fillId="10" borderId="84" xfId="0" applyFont="1" applyFill="1" applyBorder="1" applyAlignment="1" applyProtection="1">
      <alignment horizontal="left" vertical="top" wrapText="1"/>
    </xf>
    <xf numFmtId="0" fontId="18" fillId="10" borderId="85" xfId="0" applyFont="1" applyFill="1" applyBorder="1" applyAlignment="1" applyProtection="1">
      <alignment horizontal="left" vertical="top" wrapText="1"/>
    </xf>
    <xf numFmtId="0" fontId="18" fillId="10" borderId="86" xfId="0" applyFont="1" applyFill="1" applyBorder="1" applyAlignment="1" applyProtection="1">
      <alignment horizontal="left" vertical="top" wrapText="1"/>
    </xf>
    <xf numFmtId="0" fontId="18" fillId="10" borderId="0" xfId="0" applyFont="1" applyFill="1" applyBorder="1" applyAlignment="1" applyProtection="1">
      <alignment horizontal="left" vertical="top" wrapText="1"/>
    </xf>
    <xf numFmtId="0" fontId="18" fillId="10" borderId="87" xfId="0" applyFont="1" applyFill="1" applyBorder="1" applyAlignment="1" applyProtection="1">
      <alignment horizontal="left" vertical="top" wrapText="1"/>
    </xf>
    <xf numFmtId="0" fontId="18" fillId="10" borderId="88" xfId="0" applyFont="1" applyFill="1" applyBorder="1" applyAlignment="1" applyProtection="1">
      <alignment horizontal="left" vertical="top" wrapText="1"/>
    </xf>
    <xf numFmtId="0" fontId="74" fillId="9" borderId="53" xfId="0" applyFont="1" applyFill="1" applyBorder="1" applyAlignment="1" applyProtection="1">
      <alignment vertical="center"/>
    </xf>
    <xf numFmtId="0" fontId="18" fillId="14" borderId="53" xfId="0" applyFont="1" applyFill="1" applyBorder="1" applyAlignment="1" applyProtection="1"/>
    <xf numFmtId="49" fontId="18" fillId="0" borderId="53" xfId="0" applyNumberFormat="1" applyFont="1" applyFill="1" applyBorder="1" applyAlignment="1" applyProtection="1">
      <alignment horizontal="left" vertical="top"/>
      <protection locked="0"/>
    </xf>
    <xf numFmtId="0" fontId="74" fillId="9" borderId="54" xfId="0" applyFont="1" applyFill="1" applyBorder="1" applyAlignment="1" applyProtection="1">
      <alignment vertical="center"/>
    </xf>
    <xf numFmtId="0" fontId="74" fillId="9" borderId="55" xfId="0" applyFont="1" applyFill="1" applyBorder="1" applyAlignment="1" applyProtection="1">
      <alignment vertical="center"/>
    </xf>
    <xf numFmtId="178" fontId="32" fillId="8" borderId="53" xfId="0" applyNumberFormat="1" applyFont="1" applyFill="1" applyBorder="1" applyAlignment="1" applyProtection="1">
      <alignment horizontal="left" vertical="top"/>
    </xf>
    <xf numFmtId="1" fontId="32" fillId="8" borderId="53" xfId="0" applyNumberFormat="1" applyFont="1" applyFill="1" applyBorder="1" applyAlignment="1" applyProtection="1">
      <alignment horizontal="left" vertical="top"/>
    </xf>
    <xf numFmtId="0" fontId="32" fillId="8" borderId="53" xfId="0" applyFont="1" applyFill="1" applyBorder="1" applyAlignment="1" applyProtection="1">
      <alignment horizontal="left" vertical="top"/>
    </xf>
    <xf numFmtId="3" fontId="32" fillId="8" borderId="53" xfId="0" applyNumberFormat="1" applyFont="1" applyFill="1" applyBorder="1" applyAlignment="1" applyProtection="1">
      <alignment horizontal="left" vertical="top"/>
    </xf>
    <xf numFmtId="167" fontId="32" fillId="8" borderId="53" xfId="0" applyNumberFormat="1" applyFont="1" applyFill="1" applyBorder="1" applyAlignment="1" applyProtection="1">
      <alignment horizontal="left" vertical="top"/>
    </xf>
    <xf numFmtId="0" fontId="18" fillId="14" borderId="53" xfId="0" applyNumberFormat="1" applyFont="1" applyFill="1" applyBorder="1" applyAlignment="1" applyProtection="1">
      <alignment horizontal="left" vertical="top"/>
    </xf>
    <xf numFmtId="171" fontId="18" fillId="14" borderId="53" xfId="0" applyNumberFormat="1" applyFont="1" applyFill="1" applyBorder="1" applyAlignment="1" applyProtection="1">
      <alignment horizontal="right" vertical="top"/>
    </xf>
    <xf numFmtId="4" fontId="32" fillId="8" borderId="53" xfId="0" applyNumberFormat="1" applyFont="1" applyFill="1" applyBorder="1" applyAlignment="1" applyProtection="1">
      <alignment horizontal="left" vertical="top"/>
    </xf>
    <xf numFmtId="0" fontId="1" fillId="14" borderId="53" xfId="0" applyFont="1" applyFill="1" applyBorder="1" applyAlignment="1" applyProtection="1"/>
    <xf numFmtId="49" fontId="18" fillId="0" borderId="54" xfId="0" applyNumberFormat="1" applyFont="1" applyFill="1" applyBorder="1" applyAlignment="1" applyProtection="1">
      <alignment horizontal="left" vertical="top"/>
      <protection locked="0"/>
    </xf>
    <xf numFmtId="49" fontId="18" fillId="0" borderId="55" xfId="0" applyNumberFormat="1" applyFont="1" applyFill="1" applyBorder="1" applyAlignment="1" applyProtection="1">
      <alignment horizontal="left" vertical="top"/>
      <protection locked="0"/>
    </xf>
    <xf numFmtId="49" fontId="18" fillId="0" borderId="56" xfId="0" applyNumberFormat="1" applyFont="1" applyFill="1" applyBorder="1" applyAlignment="1" applyProtection="1">
      <alignment horizontal="left" vertical="top"/>
      <protection locked="0"/>
    </xf>
    <xf numFmtId="49" fontId="18" fillId="0" borderId="54" xfId="0" applyNumberFormat="1" applyFont="1" applyFill="1" applyBorder="1" applyAlignment="1" applyProtection="1">
      <alignment horizontal="right" vertical="top"/>
      <protection locked="0"/>
    </xf>
    <xf numFmtId="49" fontId="18" fillId="0" borderId="55" xfId="0" applyNumberFormat="1" applyFont="1" applyFill="1" applyBorder="1" applyAlignment="1" applyProtection="1">
      <alignment horizontal="right" vertical="top"/>
      <protection locked="0"/>
    </xf>
    <xf numFmtId="49" fontId="18" fillId="0" borderId="56" xfId="0" applyNumberFormat="1" applyFont="1" applyFill="1" applyBorder="1" applyAlignment="1" applyProtection="1">
      <alignment horizontal="right" vertical="top"/>
      <protection locked="0"/>
    </xf>
    <xf numFmtId="0" fontId="18" fillId="0" borderId="54" xfId="0" applyFont="1" applyFill="1" applyBorder="1" applyAlignment="1" applyProtection="1">
      <alignment horizontal="left" vertical="top"/>
      <protection locked="0"/>
    </xf>
    <xf numFmtId="0" fontId="18" fillId="0" borderId="55" xfId="0" applyFont="1" applyFill="1" applyBorder="1" applyAlignment="1" applyProtection="1">
      <alignment horizontal="left" vertical="top"/>
      <protection locked="0"/>
    </xf>
    <xf numFmtId="0" fontId="18" fillId="0" borderId="56" xfId="0" applyFont="1" applyFill="1" applyBorder="1" applyAlignment="1" applyProtection="1">
      <alignment horizontal="left" vertical="top"/>
      <protection locked="0"/>
    </xf>
    <xf numFmtId="0" fontId="18" fillId="17" borderId="53" xfId="0" applyFont="1" applyFill="1" applyBorder="1" applyAlignment="1" applyProtection="1"/>
    <xf numFmtId="0" fontId="18" fillId="16" borderId="53" xfId="0" applyFont="1" applyFill="1" applyBorder="1" applyAlignment="1" applyProtection="1"/>
    <xf numFmtId="14" fontId="18" fillId="16" borderId="53" xfId="0" applyNumberFormat="1" applyFont="1" applyFill="1" applyBorder="1" applyAlignment="1" applyProtection="1">
      <alignment horizontal="left" vertical="top"/>
    </xf>
    <xf numFmtId="0" fontId="18" fillId="43" borderId="53" xfId="0" applyFont="1" applyFill="1" applyBorder="1" applyAlignment="1" applyProtection="1"/>
    <xf numFmtId="14" fontId="18" fillId="43" borderId="53" xfId="0" applyNumberFormat="1" applyFont="1" applyFill="1" applyBorder="1" applyAlignment="1" applyProtection="1">
      <alignment horizontal="left" vertical="top"/>
    </xf>
    <xf numFmtId="0" fontId="18" fillId="16" borderId="53" xfId="0" applyFont="1" applyFill="1" applyBorder="1" applyAlignment="1" applyProtection="1">
      <alignment horizontal="left" vertical="top"/>
    </xf>
    <xf numFmtId="0" fontId="18" fillId="18" borderId="53" xfId="0" applyFont="1" applyFill="1" applyBorder="1" applyAlignment="1" applyProtection="1"/>
    <xf numFmtId="0" fontId="18" fillId="18" borderId="53" xfId="0" applyFont="1" applyFill="1" applyBorder="1" applyAlignment="1" applyProtection="1">
      <alignment horizontal="left" vertical="top"/>
    </xf>
    <xf numFmtId="0" fontId="18" fillId="0" borderId="53" xfId="0" applyFont="1" applyFill="1" applyBorder="1" applyAlignment="1" applyProtection="1">
      <alignment horizontal="left" vertical="top"/>
      <protection locked="0"/>
    </xf>
    <xf numFmtId="168" fontId="18" fillId="0" borderId="53" xfId="0" applyNumberFormat="1" applyFont="1" applyFill="1" applyBorder="1" applyAlignment="1" applyProtection="1">
      <alignment horizontal="left" vertical="top"/>
      <protection locked="0"/>
    </xf>
    <xf numFmtId="0" fontId="18" fillId="0" borderId="53" xfId="0" applyNumberFormat="1" applyFont="1" applyFill="1" applyBorder="1" applyAlignment="1" applyProtection="1">
      <alignment horizontal="left" vertical="top"/>
      <protection locked="0"/>
    </xf>
    <xf numFmtId="174" fontId="18" fillId="16" borderId="53" xfId="0" applyNumberFormat="1" applyFont="1" applyFill="1" applyBorder="1" applyAlignment="1" applyProtection="1">
      <alignment horizontal="left" vertical="top"/>
    </xf>
    <xf numFmtId="166" fontId="18" fillId="18" borderId="53" xfId="0" applyNumberFormat="1" applyFont="1" applyFill="1" applyBorder="1" applyAlignment="1" applyProtection="1">
      <alignment horizontal="left" vertical="top"/>
    </xf>
    <xf numFmtId="0" fontId="18" fillId="19" borderId="53" xfId="0" applyFont="1" applyFill="1" applyBorder="1" applyAlignment="1" applyProtection="1">
      <alignment horizontal="left" vertical="top"/>
    </xf>
    <xf numFmtId="166" fontId="18" fillId="19" borderId="53" xfId="0" applyNumberFormat="1" applyFont="1" applyFill="1" applyBorder="1" applyAlignment="1" applyProtection="1">
      <alignment horizontal="left" vertical="top"/>
    </xf>
    <xf numFmtId="174" fontId="18" fillId="18" borderId="53" xfId="0" applyNumberFormat="1" applyFont="1" applyFill="1" applyBorder="1" applyAlignment="1" applyProtection="1">
      <alignment horizontal="left" vertical="top"/>
    </xf>
    <xf numFmtId="0" fontId="18" fillId="14" borderId="53" xfId="0" applyFont="1" applyFill="1" applyBorder="1" applyAlignment="1" applyProtection="1">
      <alignment horizontal="left" vertical="top"/>
    </xf>
    <xf numFmtId="0" fontId="68" fillId="0" borderId="0" xfId="0" applyFont="1" applyAlignment="1" applyProtection="1">
      <alignment horizontal="center" vertical="center"/>
    </xf>
    <xf numFmtId="166" fontId="18" fillId="16" borderId="53" xfId="0" applyNumberFormat="1" applyFont="1" applyFill="1" applyBorder="1" applyAlignment="1" applyProtection="1">
      <alignment horizontal="left" vertical="top"/>
    </xf>
    <xf numFmtId="0" fontId="18" fillId="17" borderId="53" xfId="0" applyFont="1" applyFill="1" applyBorder="1" applyAlignment="1" applyProtection="1">
      <alignment horizontal="left" vertical="top"/>
    </xf>
    <xf numFmtId="14" fontId="18" fillId="17" borderId="53" xfId="0" applyNumberFormat="1" applyFont="1" applyFill="1" applyBorder="1" applyAlignment="1" applyProtection="1">
      <alignment horizontal="left" vertical="top"/>
    </xf>
    <xf numFmtId="174" fontId="18" fillId="17" borderId="53" xfId="0" applyNumberFormat="1" applyFont="1" applyFill="1" applyBorder="1" applyAlignment="1" applyProtection="1">
      <alignment horizontal="left" vertical="top"/>
    </xf>
    <xf numFmtId="14" fontId="18" fillId="18" borderId="53" xfId="0" applyNumberFormat="1" applyFont="1" applyFill="1" applyBorder="1" applyAlignment="1" applyProtection="1">
      <alignment horizontal="left" vertical="top"/>
    </xf>
    <xf numFmtId="164" fontId="0" fillId="0" borderId="0" xfId="0" applyNumberFormat="1" applyBorder="1" applyAlignment="1">
      <alignment horizontal="right" vertical="center"/>
    </xf>
    <xf numFmtId="0" fontId="0" fillId="0" borderId="0" xfId="0" applyAlignment="1">
      <alignment horizontal="right"/>
    </xf>
    <xf numFmtId="0" fontId="0" fillId="0" borderId="0" xfId="0" applyAlignment="1">
      <alignment horizontal="left"/>
    </xf>
  </cellXfs>
  <cellStyles count="11">
    <cellStyle name="40% - Accent3" xfId="8" builtinId="39"/>
    <cellStyle name="Comma" xfId="7" builtinId="3"/>
    <cellStyle name="Currency" xfId="10" builtinId="4"/>
    <cellStyle name="Hyperlink" xfId="1" builtinId="8"/>
    <cellStyle name="Normal" xfId="0" builtinId="0"/>
    <cellStyle name="Normal 10" xfId="4" xr:uid="{00000000-0005-0000-0000-000005000000}"/>
    <cellStyle name="Normal 2" xfId="5" xr:uid="{00000000-0005-0000-0000-000006000000}"/>
    <cellStyle name="Normal 25" xfId="2" xr:uid="{00000000-0005-0000-0000-000007000000}"/>
    <cellStyle name="Normal 3" xfId="9" xr:uid="{00000000-0005-0000-0000-000008000000}"/>
    <cellStyle name="Percent" xfId="6" builtinId="5"/>
    <cellStyle name="Percent 3" xfId="3" xr:uid="{00000000-0005-0000-0000-00000A000000}"/>
  </cellStyles>
  <dxfs count="955">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ill>
        <patternFill>
          <bgColor rgb="FFFAF5D6"/>
        </patternFill>
      </fill>
    </dxf>
    <dxf>
      <fill>
        <patternFill>
          <fgColor rgb="FFFAF5D6"/>
          <bgColor rgb="FFFAF5D6"/>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u val="none"/>
        <color auto="1"/>
      </font>
      <numFmt numFmtId="19" formatCode="m/d/yyyy"/>
    </dxf>
    <dxf>
      <font>
        <b/>
        <i val="0"/>
        <strike val="0"/>
        <u val="none"/>
        <color auto="1"/>
      </font>
      <numFmt numFmtId="19" formatCode="m/d/yyyy"/>
    </dxf>
    <dxf>
      <fill>
        <patternFill>
          <bgColor theme="5" tint="0.59996337778862885"/>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strike val="0"/>
        <color theme="0"/>
      </font>
      <border>
        <left/>
        <right/>
        <top/>
        <bottom/>
        <vertical/>
        <horizontal/>
      </border>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numFmt numFmtId="186" formatCode="###\ &quot;W&quot;"/>
      <fill>
        <patternFill>
          <bgColor theme="9" tint="0.79998168889431442"/>
        </patternFill>
      </fill>
    </dxf>
    <dxf>
      <numFmt numFmtId="191" formatCode="####.#\ \W"/>
    </dxf>
    <dxf>
      <numFmt numFmtId="186" formatCode="###\ &quot;W&quot;"/>
      <fill>
        <patternFill>
          <bgColor theme="9" tint="0.79998168889431442"/>
        </patternFill>
      </fill>
    </dxf>
    <dxf>
      <fill>
        <patternFill>
          <bgColor theme="5" tint="0.59996337778862885"/>
        </patternFill>
      </fill>
    </dxf>
    <dxf>
      <fill>
        <patternFill>
          <bgColor theme="5" tint="0.59996337778862885"/>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FF0000"/>
      </font>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FF0000"/>
      </font>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FF0000"/>
      </font>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FF0000"/>
      </font>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FF0000"/>
      </font>
    </dxf>
    <dxf>
      <fill>
        <patternFill>
          <bgColor theme="5" tint="0.59996337778862885"/>
        </patternFill>
      </fill>
    </dxf>
    <dxf>
      <numFmt numFmtId="191" formatCode="####.#\ \W"/>
    </dxf>
    <dxf>
      <numFmt numFmtId="186" formatCode="###\ &quot;W&quot;"/>
      <fill>
        <patternFill>
          <bgColor theme="9" tint="0.79998168889431442"/>
        </patternFill>
      </fill>
    </dxf>
    <dxf>
      <fill>
        <patternFill>
          <bgColor theme="5" tint="0.59996337778862885"/>
        </patternFill>
      </fill>
    </dxf>
    <dxf>
      <numFmt numFmtId="191" formatCode="####.#\ \W"/>
    </dxf>
    <dxf>
      <numFmt numFmtId="186" formatCode="###\ &quot;W&quot;"/>
      <fill>
        <patternFill>
          <bgColor theme="9" tint="0.79998168889431442"/>
        </patternFill>
      </fill>
    </dxf>
    <dxf>
      <fill>
        <patternFill>
          <bgColor theme="5" tint="0.59996337778862885"/>
        </patternFill>
      </fill>
    </dxf>
    <dxf>
      <numFmt numFmtId="191" formatCode="####.#\ \W"/>
    </dxf>
    <dxf>
      <numFmt numFmtId="186" formatCode="###\ &quot;W&quot;"/>
      <fill>
        <patternFill>
          <bgColor theme="9" tint="0.79998168889431442"/>
        </patternFill>
      </fill>
    </dxf>
    <dxf>
      <fill>
        <patternFill>
          <bgColor theme="5" tint="0.59996337778862885"/>
        </patternFill>
      </fill>
    </dxf>
    <dxf>
      <fill>
        <patternFill>
          <bgColor theme="5" tint="0.59996337778862885"/>
        </patternFill>
      </fill>
    </dxf>
    <dxf>
      <numFmt numFmtId="186" formatCode="###\ &quot;W&quot;"/>
      <fill>
        <patternFill>
          <bgColor theme="9" tint="0.79998168889431442"/>
        </patternFill>
      </fill>
    </dxf>
    <dxf>
      <numFmt numFmtId="191" formatCode="####.#\ \W"/>
    </dxf>
    <dxf>
      <fill>
        <patternFill>
          <bgColor theme="7"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numFmt numFmtId="186" formatCode="###\ &quot;W&quot;"/>
      <fill>
        <patternFill>
          <bgColor theme="9" tint="0.79998168889431442"/>
        </patternFill>
      </fill>
    </dxf>
    <dxf>
      <numFmt numFmtId="191" formatCode="####.#\ \W"/>
    </dxf>
    <dxf>
      <fill>
        <patternFill>
          <bgColor theme="7"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numFmt numFmtId="186" formatCode="###\ &quot;W&quot;"/>
      <fill>
        <patternFill>
          <bgColor theme="9" tint="0.79998168889431442"/>
        </patternFill>
      </fill>
    </dxf>
    <dxf>
      <numFmt numFmtId="191" formatCode="####.#\ \W"/>
    </dxf>
    <dxf>
      <fill>
        <patternFill>
          <bgColor theme="7"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ont>
        <b/>
        <i val="0"/>
        <color rgb="FFFF0000"/>
      </font>
    </dxf>
    <dxf>
      <font>
        <b/>
        <i val="0"/>
        <color rgb="FFFF0000"/>
      </font>
    </dxf>
    <dxf>
      <numFmt numFmtId="186" formatCode="###\ &quot;W&quot;"/>
      <fill>
        <patternFill>
          <bgColor theme="9" tint="0.79998168889431442"/>
        </patternFill>
      </fill>
    </dxf>
    <dxf>
      <numFmt numFmtId="191" formatCode="####.#\ \W"/>
    </dxf>
    <dxf>
      <numFmt numFmtId="186" formatCode="###\ &quot;W&quot;"/>
      <fill>
        <patternFill>
          <bgColor theme="9" tint="0.79998168889431442"/>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ill>
        <patternFill>
          <bgColor theme="5" tint="0.59996337778862885"/>
        </patternFill>
      </fill>
    </dxf>
    <dxf>
      <font>
        <color rgb="FFFF0000"/>
      </font>
    </dxf>
    <dxf>
      <font>
        <color theme="0"/>
      </font>
      <fill>
        <patternFill>
          <bgColor rgb="FFC41230"/>
        </patternFill>
      </fill>
    </dxf>
    <dxf>
      <fill>
        <patternFill>
          <bgColor rgb="FFFFDD00"/>
        </patternFill>
      </fill>
    </dxf>
    <dxf>
      <fill>
        <patternFill>
          <bgColor rgb="FF8DC63F"/>
        </patternFill>
      </fill>
    </dxf>
    <dxf>
      <font>
        <color theme="0"/>
      </font>
      <fill>
        <patternFill>
          <bgColor rgb="FFC41230"/>
        </patternFill>
      </fill>
    </dxf>
    <dxf>
      <fill>
        <patternFill>
          <bgColor rgb="FF8DC63F"/>
        </patternFill>
      </fill>
    </dxf>
    <dxf>
      <font>
        <color theme="0"/>
      </font>
      <fill>
        <patternFill>
          <bgColor rgb="FFF7941E"/>
        </patternFill>
      </fill>
    </dxf>
    <dxf>
      <font>
        <color theme="0"/>
      </font>
      <fill>
        <patternFill>
          <bgColor rgb="FFC41230"/>
        </patternFill>
      </fill>
    </dxf>
    <dxf>
      <fill>
        <patternFill>
          <bgColor rgb="FFFFDD00"/>
        </patternFill>
      </fill>
    </dxf>
    <dxf>
      <fill>
        <patternFill>
          <bgColor rgb="FF8DC63F"/>
        </patternFill>
      </fill>
    </dxf>
    <dxf>
      <font>
        <color theme="0"/>
      </font>
      <fill>
        <patternFill>
          <bgColor rgb="FFC41230"/>
        </patternFill>
      </fill>
    </dxf>
    <dxf>
      <fill>
        <patternFill>
          <bgColor rgb="FF8DC63F"/>
        </patternFill>
      </fill>
    </dxf>
    <dxf>
      <font>
        <color theme="0"/>
      </font>
      <fill>
        <patternFill>
          <bgColor rgb="FFF7941E"/>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92D050"/>
      </font>
    </dxf>
    <dxf>
      <font>
        <color rgb="FFF7941E"/>
      </font>
    </dxf>
    <dxf>
      <font>
        <color rgb="FFC41230"/>
      </font>
    </dxf>
    <dxf>
      <fill>
        <patternFill>
          <bgColor theme="0" tint="-0.24994659260841701"/>
        </patternFill>
      </fill>
    </dxf>
    <dxf>
      <fill>
        <patternFill>
          <bgColor theme="0" tint="-0.2499465926084170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border>
        <left/>
        <right/>
        <top/>
        <bottom/>
        <vertical/>
        <horizontal/>
      </border>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numFmt numFmtId="2" formatCode="0.00"/>
    </dxf>
    <dxf>
      <font>
        <b val="0"/>
        <i val="0"/>
        <strike val="0"/>
        <condense val="0"/>
        <extend val="0"/>
        <outline val="0"/>
        <shadow val="0"/>
        <u val="none"/>
        <vertAlign val="baseline"/>
        <sz val="8"/>
        <color theme="1"/>
        <name val="Calibri Light"/>
        <scheme val="none"/>
      </font>
      <numFmt numFmtId="2" formatCode="0.00"/>
      <alignment horizontal="center" vertical="center" textRotation="0" wrapText="1" indent="0" justifyLastLine="0" shrinkToFit="0" readingOrder="0"/>
    </dxf>
    <dxf>
      <alignment horizontal="general" vertical="bottom" textRotation="0" wrapText="1" indent="0" justifyLastLine="0" shrinkToFit="0" readingOrder="0"/>
      <protection locked="1" hidden="0"/>
    </dxf>
    <dxf>
      <numFmt numFmtId="179" formatCode="0.0000000000"/>
    </dxf>
    <dxf>
      <font>
        <strike val="0"/>
        <outline val="0"/>
        <shadow val="0"/>
        <u val="none"/>
        <vertAlign val="baseline"/>
        <sz val="11"/>
        <color theme="0" tint="-0.34998626667073579"/>
        <name val="Calibri"/>
        <scheme val="minor"/>
      </font>
      <numFmt numFmtId="170" formatCode="0.000"/>
    </dxf>
    <dxf>
      <font>
        <strike val="0"/>
        <outline val="0"/>
        <shadow val="0"/>
        <u val="none"/>
        <vertAlign val="baseline"/>
        <sz val="11"/>
        <color theme="0" tint="-0.34998626667073579"/>
        <name val="Calibri"/>
        <scheme val="minor"/>
      </font>
      <numFmt numFmtId="170" formatCode="0.000"/>
    </dxf>
    <dxf>
      <font>
        <strike val="0"/>
        <outline val="0"/>
        <shadow val="0"/>
        <u val="none"/>
        <vertAlign val="baseline"/>
        <sz val="11"/>
        <color theme="0" tint="-0.34998626667073579"/>
        <name val="Calibri"/>
        <scheme val="minor"/>
      </font>
      <numFmt numFmtId="170" formatCode="0.000"/>
    </dxf>
    <dxf>
      <font>
        <strike val="0"/>
        <outline val="0"/>
        <shadow val="0"/>
        <u val="none"/>
        <vertAlign val="baseline"/>
        <sz val="11"/>
        <color theme="0" tint="-0.34998626667073579"/>
        <name val="Calibri"/>
        <scheme val="minor"/>
      </font>
    </dxf>
    <dxf>
      <font>
        <strike val="0"/>
        <outline val="0"/>
        <shadow val="0"/>
        <u val="none"/>
        <vertAlign val="baseline"/>
        <sz val="11"/>
        <color theme="0" tint="-0.34998626667073579"/>
        <name val="Calibri"/>
        <scheme val="minor"/>
      </font>
    </dxf>
    <dxf>
      <font>
        <strike val="0"/>
        <outline val="0"/>
        <shadow val="0"/>
        <u val="none"/>
        <vertAlign val="baseline"/>
        <sz val="11"/>
        <color theme="0" tint="-0.34998626667073579"/>
        <name val="Calibri"/>
        <scheme val="minor"/>
      </font>
    </dxf>
    <dxf>
      <font>
        <strike val="0"/>
        <outline val="0"/>
        <shadow val="0"/>
        <u val="none"/>
        <vertAlign val="baseline"/>
        <sz val="11"/>
        <color theme="0" tint="-0.34998626667073579"/>
        <name val="Calibri"/>
        <scheme val="minor"/>
      </font>
    </dxf>
    <dxf>
      <numFmt numFmtId="170" formatCode="0.000"/>
    </dxf>
    <dxf>
      <numFmt numFmtId="170" formatCode="0.000"/>
    </dxf>
    <dxf>
      <numFmt numFmtId="170" formatCode="0.000"/>
    </dxf>
    <dxf>
      <numFmt numFmtId="170" formatCode="0.000"/>
    </dxf>
    <dxf>
      <numFmt numFmtId="170" formatCode="0.000"/>
    </dxf>
    <dxf>
      <numFmt numFmtId="170" formatCode="0.000"/>
    </dxf>
    <dxf>
      <numFmt numFmtId="170" formatCode="0.000"/>
    </dxf>
    <dxf>
      <numFmt numFmtId="170" formatCode="0.000"/>
    </dxf>
    <dxf>
      <numFmt numFmtId="170" formatCode="0.000"/>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numFmt numFmtId="30" formatCode="@"/>
    </dxf>
    <dxf>
      <font>
        <strike val="0"/>
        <outline val="0"/>
        <shadow val="0"/>
        <u val="none"/>
        <vertAlign val="baseline"/>
        <sz val="11"/>
        <color auto="1"/>
        <name val="Calibri"/>
        <scheme val="minor"/>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name val="Calibri"/>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name val="Calibri"/>
      </font>
      <numFmt numFmtId="30" formatCode="@"/>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scheme val="none"/>
      </font>
      <numFmt numFmtId="30" formatCode="@"/>
    </dxf>
    <dxf>
      <font>
        <strike val="0"/>
        <outline val="0"/>
        <shadow val="0"/>
        <u val="none"/>
        <vertAlign val="baseline"/>
        <sz val="11"/>
        <color theme="1"/>
        <name val="Calibri"/>
      </font>
      <numFmt numFmtId="30" formatCode="@"/>
    </dxf>
    <dxf>
      <font>
        <strike val="0"/>
        <outline val="0"/>
        <shadow val="0"/>
        <u val="none"/>
        <vertAlign val="baseline"/>
        <sz val="11"/>
        <color theme="1"/>
        <name val="Calibri"/>
      </font>
    </dxf>
    <dxf>
      <font>
        <strike val="0"/>
        <outline val="0"/>
        <shadow val="0"/>
        <u val="none"/>
        <vertAlign val="baseline"/>
        <sz val="11"/>
        <color theme="1"/>
        <name val="Calibri"/>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alignment horizontal="general" vertical="bottom" textRotation="0" wrapText="1" indent="0" justifyLastLine="0" shrinkToFit="0" readingOrder="0"/>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center" vertical="bottom" textRotation="0" wrapText="0" indent="0" justifyLastLine="0" shrinkToFit="0" readingOrder="0"/>
    </dxf>
    <dxf>
      <numFmt numFmtId="12" formatCode="&quot;$&quot;#,##0.00_);[Red]\(&quot;$&quot;#,##0.00\)"/>
      <fill>
        <patternFill patternType="none">
          <fgColor indexed="64"/>
          <bgColor auto="1"/>
        </patternFill>
      </fill>
    </dxf>
    <dxf>
      <fill>
        <patternFill patternType="none">
          <fgColor indexed="64"/>
          <bgColor auto="1"/>
        </patternFill>
      </fill>
      <alignment horizontal="center" vertical="bottom" textRotation="0" wrapText="0" indent="0" justifyLastLine="0" shrinkToFit="0" readingOrder="0"/>
    </dxf>
    <dxf>
      <numFmt numFmtId="4" formatCode="#,##0.00"/>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numFmt numFmtId="12" formatCode="&quot;$&quot;#,##0.00_);[Red]\(&quot;$&quot;#,##0.00\)"/>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ill>
        <patternFill patternType="none">
          <fgColor indexed="64"/>
          <bgColor indexed="65"/>
        </patternFill>
      </fill>
    </dxf>
    <dxf>
      <alignment horizontal="center" vertical="bottom" textRotation="0" wrapText="0" indent="0" justifyLastLine="0" shrinkToFit="0" readingOrder="0"/>
    </dxf>
    <dxf>
      <numFmt numFmtId="12" formatCode="&quot;$&quot;#,##0.00_);[Red]\(&quot;$&quot;#,##0.00\)"/>
    </dxf>
    <dxf>
      <numFmt numFmtId="4" formatCode="#,##0.00"/>
      <alignment horizontal="center" vertical="bottom" textRotation="0" wrapText="0" indent="0" justifyLastLine="0" shrinkToFit="0" readingOrder="0"/>
    </dxf>
    <dxf>
      <numFmt numFmtId="4"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2" formatCode="&quot;$&quot;#,##0.00_);[Red]\(&quot;$&quot;#,##0.00\)"/>
      <alignment horizontal="center" vertical="bottom" textRotation="0" wrapText="0" indent="0" justifyLastLine="0" shrinkToFit="0" readingOrder="0"/>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ill>
        <patternFill patternType="none">
          <fgColor indexed="64"/>
          <bgColor indexed="65"/>
        </patternFill>
      </fill>
    </dxf>
    <dxf>
      <alignment horizontal="center" vertical="bottom" textRotation="0" wrapText="0" indent="0" justifyLastLine="0" shrinkToFit="0" readingOrder="0"/>
    </dxf>
    <dxf>
      <numFmt numFmtId="12" formatCode="&quot;$&quot;#,##0.00_);[Red]\(&quot;$&quot;#,##0.00\)"/>
    </dxf>
    <dxf>
      <numFmt numFmtId="4" formatCode="#,##0.00"/>
      <alignment horizontal="center" vertical="bottom" textRotation="0" wrapText="0" indent="0" justifyLastLine="0" shrinkToFit="0" readingOrder="0"/>
    </dxf>
    <dxf>
      <numFmt numFmtId="4"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2" formatCode="&quot;$&quot;#,##0.00_);[Red]\(&quot;$&quot;#,##0.00\)"/>
      <alignment horizontal="center" vertical="bottom" textRotation="0" wrapText="0" indent="0" justifyLastLine="0" shrinkToFit="0" readingOrder="0"/>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ill>
        <patternFill patternType="none">
          <fgColor indexed="64"/>
          <bgColor auto="1"/>
        </patternFill>
      </fill>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border outline="0">
        <top style="thin">
          <color theme="7" tint="0.39997558519241921"/>
        </top>
      </border>
    </dxf>
    <dxf>
      <border outline="0">
        <left style="thin">
          <color theme="7" tint="0.39997558519241921"/>
        </left>
        <top style="thin">
          <color theme="7" tint="0.39997558519241921"/>
        </top>
        <bottom style="thin">
          <color theme="7" tint="0.39997558519241921"/>
        </bottom>
      </border>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border outline="0">
        <bottom style="thin">
          <color theme="7" tint="0.39997558519241921"/>
        </bottom>
      </border>
    </dxf>
    <dxf>
      <font>
        <b/>
        <i val="0"/>
        <strike val="0"/>
        <condense val="0"/>
        <extend val="0"/>
        <outline val="0"/>
        <shadow val="0"/>
        <u val="none"/>
        <vertAlign val="baseline"/>
        <sz val="10"/>
        <color theme="0"/>
        <name val="Calibri Light"/>
        <scheme val="none"/>
      </font>
      <numFmt numFmtId="0" formatCode="General"/>
      <fill>
        <patternFill patternType="solid">
          <fgColor theme="7"/>
          <bgColor theme="7"/>
        </patternFill>
      </fill>
      <alignment horizontal="general" vertical="bottom" textRotation="0" wrapText="1" indent="0" justifyLastLine="0" shrinkToFit="0" readingOrder="0"/>
    </dxf>
    <dxf>
      <font>
        <strike val="0"/>
        <outline val="0"/>
        <shadow val="0"/>
        <u val="none"/>
        <vertAlign val="baseline"/>
        <sz val="10"/>
        <color theme="1"/>
        <name val="Calibri"/>
        <scheme val="minor"/>
      </font>
      <fill>
        <patternFill patternType="none">
          <fgColor indexed="64"/>
          <bgColor auto="1"/>
        </patternFill>
      </fill>
    </dxf>
    <dxf>
      <font>
        <strike val="0"/>
        <outline val="0"/>
        <shadow val="0"/>
        <u val="none"/>
        <vertAlign val="baseline"/>
        <sz val="10"/>
        <color theme="1"/>
        <name val="Calibri"/>
        <scheme val="minor"/>
      </font>
      <fill>
        <patternFill patternType="none">
          <fgColor indexed="64"/>
          <bgColor auto="1"/>
        </patternFill>
      </fill>
    </dxf>
    <dxf>
      <font>
        <strike val="0"/>
        <outline val="0"/>
        <shadow val="0"/>
        <u val="none"/>
        <vertAlign val="baseline"/>
        <sz val="10"/>
        <color theme="1"/>
        <name val="Calibri"/>
        <scheme val="minor"/>
      </font>
      <fill>
        <patternFill patternType="none">
          <fgColor indexed="64"/>
          <bgColor indexed="65"/>
        </patternFill>
      </fill>
    </dxf>
    <dxf>
      <font>
        <strike val="0"/>
        <outline val="0"/>
        <shadow val="0"/>
        <u val="none"/>
        <vertAlign val="baseline"/>
        <sz val="10"/>
        <color theme="1"/>
        <name val="Calibri"/>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strike val="0"/>
        <outline val="0"/>
        <shadow val="0"/>
        <u val="none"/>
        <vertAlign val="baseline"/>
        <sz val="10"/>
        <color theme="1"/>
        <name val="Calibri"/>
        <scheme val="minor"/>
      </font>
      <fill>
        <patternFill patternType="none">
          <fgColor indexed="64"/>
          <bgColor auto="1"/>
        </patternFill>
      </fill>
    </dxf>
    <dxf>
      <font>
        <strike val="0"/>
        <outline val="0"/>
        <shadow val="0"/>
        <u val="none"/>
        <vertAlign val="baseline"/>
        <sz val="10"/>
        <color theme="1"/>
        <name val="Calibri"/>
        <scheme val="minor"/>
      </font>
      <fill>
        <patternFill patternType="none">
          <fgColor indexed="64"/>
          <bgColor indexed="65"/>
        </patternFill>
      </fill>
    </dxf>
    <dxf>
      <font>
        <strike val="0"/>
        <outline val="0"/>
        <shadow val="0"/>
        <u val="none"/>
        <vertAlign val="baseline"/>
        <sz val="10"/>
        <color theme="1"/>
        <name val="Calibri"/>
        <scheme val="minor"/>
      </font>
      <fill>
        <patternFill patternType="none">
          <fgColor indexed="64"/>
          <bgColor auto="1"/>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bottom" textRotation="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bottom" textRotation="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bottom" textRotation="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bottom" textRotation="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bottom" textRotation="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bottom" textRotation="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0"/>
        <color theme="1"/>
        <name val="Calibri"/>
        <scheme val="minor"/>
      </font>
      <numFmt numFmtId="0" formatCode="General"/>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numFmt numFmtId="4" formatCode="#,##0.00"/>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0"/>
        <color theme="1"/>
        <name val="Calibri"/>
        <scheme val="minor"/>
      </font>
      <numFmt numFmtId="4" formatCode="#,##0.00"/>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0"/>
        <color theme="1"/>
        <name val="Calibri"/>
        <scheme val="minor"/>
      </font>
      <numFmt numFmtId="19" formatCode="m/d/yyyy"/>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0"/>
        <color theme="1"/>
        <name val="Calibri"/>
        <scheme val="minor"/>
      </font>
      <numFmt numFmtId="0" formatCode="General"/>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0"/>
        <color theme="1"/>
        <name val="Calibri"/>
        <scheme val="minor"/>
      </font>
      <numFmt numFmtId="30" formatCode="@"/>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numFmt numFmtId="30" formatCode="@"/>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border outline="0">
        <top style="thin">
          <color theme="7" tint="0.39997558519241921"/>
        </top>
      </border>
    </dxf>
    <dxf>
      <font>
        <strike val="0"/>
        <outline val="0"/>
        <shadow val="0"/>
        <u val="none"/>
        <vertAlign val="baseline"/>
        <sz val="10"/>
        <color theme="1"/>
        <name val="Calibri"/>
        <scheme val="minor"/>
      </font>
      <fill>
        <patternFill patternType="none">
          <fgColor indexed="64"/>
          <bgColor auto="1"/>
        </patternFill>
      </fill>
    </dxf>
    <dxf>
      <border outline="0">
        <bottom style="thin">
          <color theme="7" tint="0.39997558519241921"/>
        </bottom>
      </border>
    </dxf>
    <dxf>
      <font>
        <b/>
        <i val="0"/>
        <strike val="0"/>
        <condense val="0"/>
        <extend val="0"/>
        <outline val="0"/>
        <shadow val="0"/>
        <u val="none"/>
        <vertAlign val="baseline"/>
        <sz val="10"/>
        <color theme="0"/>
        <name val="Calibri Light"/>
        <scheme val="none"/>
      </font>
      <numFmt numFmtId="0" formatCode="General"/>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left/>
        <right/>
        <top style="thin">
          <color theme="7" tint="0.39997558519241921"/>
        </top>
        <bottom style="thin">
          <color theme="7" tint="0.39997558519241921"/>
        </bottom>
      </border>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left/>
        <right/>
        <top style="thin">
          <color theme="7" tint="0.39997558519241921"/>
        </top>
        <bottom style="thin">
          <color theme="7" tint="0.39997558519241921"/>
        </bottom>
      </border>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border outline="0">
        <top style="thin">
          <color theme="7" tint="0.39997558519241921"/>
        </top>
      </border>
    </dxf>
    <dxf>
      <border outline="0">
        <top style="thin">
          <color theme="7" tint="0.39997558519241921"/>
        </top>
        <bottom style="thin">
          <color theme="7" tint="0.39997558519241921"/>
        </bottom>
      </border>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auto="1"/>
        </patternFill>
      </fill>
      <alignment horizontal="general" vertical="bottom" textRotation="0" wrapText="0" indent="0" justifyLastLine="0" shrinkToFit="0" readingOrder="0"/>
    </dxf>
    <dxf>
      <border outline="0">
        <bottom style="thin">
          <color theme="7" tint="0.39997558519241921"/>
        </bottom>
      </border>
    </dxf>
    <dxf>
      <font>
        <b/>
        <i val="0"/>
        <strike val="0"/>
        <condense val="0"/>
        <extend val="0"/>
        <outline val="0"/>
        <shadow val="0"/>
        <u val="none"/>
        <vertAlign val="baseline"/>
        <sz val="10"/>
        <color theme="0"/>
        <name val="Calibri Light"/>
        <scheme val="none"/>
      </font>
      <numFmt numFmtId="0" formatCode="General"/>
      <fill>
        <patternFill patternType="none">
          <fgColor indexed="64"/>
          <bgColor auto="1"/>
        </patternFill>
      </fill>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19" formatCode="m/d/yyyy"/>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19" formatCode="m/d/yyyy"/>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19" formatCode="m/d/yyyy"/>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19" formatCode="m/d/yyyy"/>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19" formatCode="m/d/yyyy"/>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ont>
        <sz val="10"/>
        <name val="Calibri Light"/>
        <scheme val="none"/>
      </font>
      <fill>
        <patternFill patternType="none">
          <fgColor indexed="64"/>
          <bgColor indexed="65"/>
        </patternFill>
      </fill>
    </dxf>
    <dxf>
      <font>
        <sz val="10"/>
        <name val="Calibri Light"/>
        <scheme val="none"/>
      </font>
      <fill>
        <patternFill patternType="none">
          <fgColor indexed="64"/>
          <bgColor indexed="65"/>
        </patternFill>
      </fill>
    </dxf>
    <dxf>
      <font>
        <sz val="10"/>
        <name val="Calibri Light"/>
        <scheme val="none"/>
      </font>
      <fill>
        <patternFill patternType="none">
          <fgColor indexed="64"/>
          <bgColor indexed="65"/>
        </patternFill>
      </fill>
    </dxf>
    <dxf>
      <font>
        <sz val="10"/>
        <name val="Calibri Light"/>
        <scheme val="none"/>
      </font>
      <fill>
        <patternFill patternType="none">
          <fgColor indexed="64"/>
          <bgColor indexed="65"/>
        </patternFill>
      </fill>
    </dxf>
    <dxf>
      <font>
        <sz val="10"/>
        <name val="Calibri Light"/>
        <scheme val="none"/>
      </font>
      <fill>
        <patternFill patternType="none">
          <fgColor indexed="64"/>
          <bgColor indexed="65"/>
        </patternFill>
      </fill>
    </dxf>
    <dxf>
      <font>
        <sz val="10"/>
        <name val="Calibri Light"/>
        <scheme val="none"/>
      </font>
      <fill>
        <patternFill patternType="none">
          <fgColor indexed="64"/>
          <bgColor indexed="65"/>
        </patternFill>
      </fill>
    </dxf>
    <dxf>
      <font>
        <sz val="10"/>
        <name val="Calibri Light"/>
        <scheme val="none"/>
      </font>
      <fill>
        <patternFill patternType="none">
          <fgColor indexed="64"/>
          <bgColor indexed="65"/>
        </patternFill>
      </fill>
    </dxf>
    <dxf>
      <font>
        <sz val="10"/>
        <name val="Calibri Light"/>
        <scheme val="none"/>
      </font>
      <fill>
        <patternFill patternType="none">
          <fgColor indexed="64"/>
          <bgColor indexed="65"/>
        </patternFill>
      </fill>
    </dxf>
    <dxf>
      <font>
        <sz val="10"/>
        <name val="Calibri Light"/>
        <scheme val="none"/>
      </font>
      <fill>
        <patternFill patternType="none">
          <fgColor indexed="64"/>
          <bgColor auto="1"/>
        </patternFill>
      </fill>
      <alignment horizontal="left" vertical="bottom" textRotation="0" wrapText="0" indent="0" justifyLastLine="0" shrinkToFit="0" readingOrder="0"/>
    </dxf>
    <dxf>
      <font>
        <sz val="10"/>
        <name val="Calibri Light"/>
        <scheme val="none"/>
      </font>
      <fill>
        <patternFill patternType="none">
          <fgColor indexed="64"/>
          <bgColor auto="1"/>
        </patternFill>
      </fill>
      <alignment horizontal="left" vertical="bottom" textRotation="0" wrapText="0" indent="0" justifyLastLine="0" shrinkToFit="0" readingOrder="0"/>
    </dxf>
    <dxf>
      <font>
        <sz val="10"/>
        <name val="Calibri Light"/>
        <scheme val="none"/>
      </font>
      <fill>
        <patternFill patternType="none">
          <fgColor indexed="64"/>
          <bgColor indexed="65"/>
        </patternFill>
      </fill>
      <alignment horizontal="left" vertical="bottom" textRotation="0" wrapText="0" indent="0" justifyLastLine="0" shrinkToFit="0" readingOrder="0"/>
    </dxf>
    <dxf>
      <font>
        <sz val="10"/>
        <name val="Calibri Light"/>
        <scheme val="none"/>
      </font>
      <fill>
        <patternFill patternType="none">
          <fgColor indexed="64"/>
          <bgColor indexed="65"/>
        </patternFill>
      </fill>
      <alignment horizontal="left" vertical="bottom" textRotation="0" wrapText="0" indent="0" justifyLastLine="0" shrinkToFit="0" readingOrder="0"/>
    </dxf>
    <dxf>
      <font>
        <sz val="10"/>
        <name val="Calibri Light"/>
        <scheme val="none"/>
      </font>
      <fill>
        <patternFill patternType="none">
          <fgColor indexed="64"/>
          <bgColor indexed="65"/>
        </patternFill>
      </fill>
      <alignment horizontal="left" vertical="bottom" textRotation="0" wrapText="0" indent="0" justifyLastLine="0" shrinkToFit="0" readingOrder="0"/>
    </dxf>
    <dxf>
      <font>
        <sz val="10"/>
        <name val="Calibri Light"/>
        <scheme val="none"/>
      </font>
      <fill>
        <patternFill patternType="none">
          <fgColor indexed="64"/>
          <bgColor indexed="65"/>
        </patternFill>
      </fill>
      <alignment horizontal="left" vertical="bottom" textRotation="0" wrapText="0" indent="0" justifyLastLine="0" shrinkToFit="0" readingOrder="0"/>
    </dxf>
    <dxf>
      <font>
        <sz val="10"/>
        <name val="Calibri Light"/>
        <scheme val="none"/>
      </font>
      <fill>
        <patternFill patternType="none">
          <fgColor indexed="64"/>
          <bgColor indexed="65"/>
        </patternFill>
      </fill>
      <alignment horizontal="left" vertical="bottom" textRotation="0" wrapText="0" indent="0" justifyLastLine="0" shrinkToFit="0" readingOrder="0"/>
    </dxf>
    <dxf>
      <font>
        <sz val="10"/>
        <name val="Calibri Light"/>
        <scheme val="none"/>
      </font>
      <fill>
        <patternFill patternType="none">
          <fgColor indexed="64"/>
          <bgColor indexed="65"/>
        </patternFill>
      </fill>
      <alignment horizontal="left" vertical="bottom" textRotation="0" wrapText="0" indent="0" justifyLastLine="0" shrinkToFit="0" readingOrder="0"/>
    </dxf>
    <dxf>
      <font>
        <sz val="10"/>
        <name val="Calibri Light"/>
        <scheme val="none"/>
      </font>
      <fill>
        <patternFill patternType="none">
          <fgColor indexed="64"/>
          <bgColor indexed="65"/>
        </patternFill>
      </fill>
      <alignment horizontal="left" vertical="bottom" textRotation="0" wrapText="0" indent="0" justifyLastLine="0" shrinkToFit="0" readingOrder="0"/>
    </dxf>
    <dxf>
      <font>
        <sz val="10"/>
        <name val="Calibri Light"/>
        <scheme val="none"/>
      </font>
      <fill>
        <patternFill patternType="none">
          <fgColor indexed="64"/>
          <bgColor auto="1"/>
        </patternFill>
      </fill>
      <alignment horizontal="left" vertical="bottom" textRotation="0" wrapText="0" indent="0" justifyLastLine="0" shrinkToFit="0" readingOrder="0"/>
    </dxf>
    <dxf>
      <font>
        <sz val="10"/>
        <name val="Calibri Light"/>
        <scheme val="none"/>
      </font>
      <fill>
        <patternFill patternType="none">
          <fgColor indexed="64"/>
          <bgColor auto="1"/>
        </patternFill>
      </fill>
      <alignment horizontal="left" vertical="bottom" textRotation="0" wrapText="0" indent="0" justifyLastLine="0" shrinkToFit="0" readingOrder="0"/>
    </dxf>
    <dxf>
      <font>
        <sz val="10"/>
        <name val="Calibri Light"/>
        <scheme val="none"/>
      </font>
      <numFmt numFmtId="0" formatCode="General"/>
      <fill>
        <patternFill patternType="none">
          <fgColor indexed="64"/>
          <bgColor auto="1"/>
        </patternFill>
      </fill>
      <alignment horizontal="left" vertical="bottom" textRotation="0" wrapText="0" indent="0" justifyLastLine="0" shrinkToFit="0" readingOrder="0"/>
    </dxf>
    <dxf>
      <font>
        <sz val="10"/>
        <name val="Calibri Light"/>
        <scheme val="none"/>
      </font>
      <numFmt numFmtId="4" formatCode="#,##0.00"/>
      <fill>
        <patternFill patternType="none">
          <fgColor indexed="64"/>
          <bgColor auto="1"/>
        </patternFill>
      </fill>
      <alignment horizontal="left" vertical="bottom" textRotation="0" wrapText="0" indent="0" justifyLastLine="0" shrinkToFit="0" readingOrder="0"/>
    </dxf>
    <dxf>
      <font>
        <sz val="10"/>
        <name val="Calibri Light"/>
        <scheme val="none"/>
      </font>
      <numFmt numFmtId="4" formatCode="#,##0.00"/>
      <fill>
        <patternFill patternType="none">
          <fgColor indexed="64"/>
          <bgColor auto="1"/>
        </patternFill>
      </fill>
      <alignment horizontal="left" vertical="bottom" textRotation="0" wrapText="0" indent="0" justifyLastLine="0" shrinkToFit="0" readingOrder="0"/>
    </dxf>
    <dxf>
      <font>
        <sz val="10"/>
        <name val="Calibri Light"/>
        <scheme val="none"/>
      </font>
      <fill>
        <patternFill patternType="none">
          <fgColor indexed="64"/>
          <bgColor auto="1"/>
        </patternFill>
      </fill>
      <alignment horizontal="left" vertical="bottom" textRotation="0" wrapText="0" indent="0" justifyLastLine="0" shrinkToFit="0" readingOrder="0"/>
    </dxf>
    <dxf>
      <font>
        <sz val="10"/>
        <name val="Calibri Light"/>
        <scheme val="none"/>
      </font>
      <numFmt numFmtId="19" formatCode="m/d/yyyy"/>
      <fill>
        <patternFill patternType="none">
          <fgColor indexed="64"/>
          <bgColor auto="1"/>
        </patternFill>
      </fill>
      <alignment horizontal="left" vertical="bottom" textRotation="0" wrapText="0" indent="0" justifyLastLine="0" shrinkToFit="0" readingOrder="0"/>
    </dxf>
    <dxf>
      <font>
        <sz val="10"/>
        <name val="Calibri Light"/>
        <scheme val="none"/>
      </font>
      <numFmt numFmtId="0" formatCode="General"/>
      <fill>
        <patternFill patternType="none">
          <fgColor indexed="64"/>
          <bgColor auto="1"/>
        </patternFill>
      </fill>
      <alignment horizontal="left" vertical="bottom" textRotation="0" wrapText="0" indent="0" justifyLastLine="0" shrinkToFit="0" readingOrder="0"/>
    </dxf>
    <dxf>
      <font>
        <sz val="10"/>
        <name val="Calibri Light"/>
        <scheme val="none"/>
      </font>
      <numFmt numFmtId="30" formatCode="@"/>
      <fill>
        <patternFill patternType="none">
          <fgColor indexed="64"/>
          <bgColor auto="1"/>
        </patternFill>
      </fill>
      <alignment horizontal="left" vertical="bottom" textRotation="0" wrapText="0" indent="0" justifyLastLine="0" shrinkToFit="0" readingOrder="0"/>
    </dxf>
    <dxf>
      <font>
        <sz val="10"/>
        <name val="Calibri Light"/>
        <scheme val="none"/>
      </font>
      <fill>
        <patternFill patternType="none">
          <fgColor indexed="64"/>
          <bgColor auto="1"/>
        </patternFill>
      </fill>
      <alignment horizontal="left" vertical="bottom" textRotation="0" wrapText="0" indent="0" justifyLastLine="0" shrinkToFit="0" readingOrder="0"/>
    </dxf>
    <dxf>
      <font>
        <sz val="10"/>
        <name val="Calibri Light"/>
        <scheme val="none"/>
      </font>
      <fill>
        <patternFill patternType="none">
          <fgColor indexed="64"/>
          <bgColor auto="1"/>
        </patternFill>
      </fill>
      <alignment horizontal="left" vertical="bottom" textRotation="0" wrapText="0" indent="0" justifyLastLine="0" shrinkToFit="0" readingOrder="0"/>
    </dxf>
    <dxf>
      <font>
        <sz val="10"/>
        <name val="Calibri Light"/>
        <scheme val="none"/>
      </font>
      <fill>
        <patternFill patternType="none">
          <fgColor indexed="64"/>
          <bgColor auto="1"/>
        </patternFill>
      </fill>
      <alignment horizontal="left" vertical="bottom" textRotation="0" wrapText="0" indent="0" justifyLastLine="0" shrinkToFit="0" readingOrder="0"/>
    </dxf>
    <dxf>
      <font>
        <sz val="10"/>
        <name val="Calibri Light"/>
        <scheme val="none"/>
      </font>
      <fill>
        <patternFill patternType="none">
          <fgColor indexed="64"/>
          <bgColor auto="1"/>
        </patternFill>
      </fill>
      <alignment horizontal="left" vertical="bottom" textRotation="0" wrapText="0" indent="0" justifyLastLine="0" shrinkToFit="0" readingOrder="0"/>
    </dxf>
    <dxf>
      <font>
        <sz val="10"/>
        <name val="Calibri Light"/>
        <scheme val="none"/>
      </font>
      <fill>
        <patternFill patternType="none">
          <fgColor indexed="64"/>
          <bgColor auto="1"/>
        </patternFill>
      </fill>
      <alignment horizontal="left" vertical="bottom" textRotation="0" wrapText="0" indent="0" justifyLastLine="0" shrinkToFit="0" readingOrder="0"/>
    </dxf>
    <dxf>
      <font>
        <sz val="10"/>
        <name val="Calibri Light"/>
        <scheme val="none"/>
      </font>
      <fill>
        <patternFill patternType="none">
          <fgColor indexed="64"/>
          <bgColor auto="1"/>
        </patternFill>
      </fill>
      <alignment horizontal="left" vertical="bottom" textRotation="0" wrapText="0" indent="0" justifyLastLine="0" shrinkToFit="0" readingOrder="0"/>
    </dxf>
    <dxf>
      <font>
        <sz val="10"/>
        <name val="Calibri Light"/>
        <scheme val="none"/>
      </font>
      <fill>
        <patternFill patternType="none">
          <fgColor indexed="64"/>
          <bgColor auto="1"/>
        </patternFill>
      </fill>
      <alignment horizontal="left" vertical="bottom" textRotation="0" wrapText="0" indent="0" justifyLastLine="0" shrinkToFit="0" readingOrder="0"/>
    </dxf>
    <dxf>
      <font>
        <sz val="10"/>
        <name val="Calibri Light"/>
        <scheme val="none"/>
      </font>
      <fill>
        <patternFill patternType="none">
          <fgColor indexed="64"/>
          <bgColor auto="1"/>
        </patternFill>
      </fill>
      <alignment horizontal="left" vertical="bottom" textRotation="0" wrapText="0" indent="0" justifyLastLine="0" shrinkToFit="0" readingOrder="0"/>
    </dxf>
    <dxf>
      <font>
        <sz val="10"/>
        <name val="Calibri Light"/>
        <scheme val="none"/>
      </font>
      <numFmt numFmtId="30" formatCode="@"/>
      <fill>
        <patternFill patternType="none">
          <fgColor indexed="64"/>
          <bgColor auto="1"/>
        </patternFill>
      </fill>
      <alignment horizontal="left" vertical="bottom" textRotation="0" wrapText="0" indent="0" justifyLastLine="0" shrinkToFit="0" readingOrder="0"/>
    </dxf>
    <dxf>
      <font>
        <sz val="10"/>
        <name val="Calibri Light"/>
        <scheme val="none"/>
      </font>
      <fill>
        <patternFill patternType="none">
          <fgColor indexed="64"/>
          <bgColor auto="1"/>
        </patternFill>
      </fill>
      <alignment horizontal="left" vertical="bottom" textRotation="0" wrapText="0" indent="0" justifyLastLine="0" shrinkToFit="0" readingOrder="0"/>
    </dxf>
    <dxf>
      <font>
        <sz val="10"/>
        <name val="Calibri Light"/>
        <scheme val="none"/>
      </font>
      <fill>
        <patternFill patternType="none">
          <fgColor indexed="64"/>
          <bgColor indexed="65"/>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19" formatCode="m/d/yyyy"/>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ont>
        <strike val="0"/>
        <outline val="0"/>
        <shadow val="0"/>
        <u val="none"/>
        <vertAlign val="baseline"/>
        <sz val="10"/>
        <color auto="1"/>
        <name val="Calibri Light"/>
        <scheme val="none"/>
      </font>
    </dxf>
    <dxf>
      <font>
        <strike val="0"/>
        <outline val="0"/>
        <shadow val="0"/>
        <u val="none"/>
        <vertAlign val="baseline"/>
        <sz val="10"/>
        <color auto="1"/>
        <name val="Calibri Light"/>
        <scheme val="none"/>
      </font>
    </dxf>
    <dxf>
      <font>
        <strike val="0"/>
        <outline val="0"/>
        <shadow val="0"/>
        <u val="none"/>
        <vertAlign val="baseline"/>
        <sz val="10"/>
        <color auto="1"/>
        <name val="Calibri Light"/>
        <scheme val="none"/>
      </font>
    </dxf>
    <dxf>
      <font>
        <strike val="0"/>
        <outline val="0"/>
        <shadow val="0"/>
        <u val="none"/>
        <vertAlign val="baseline"/>
        <sz val="10"/>
        <color auto="1"/>
        <name val="Calibri Light"/>
        <scheme val="none"/>
      </font>
    </dxf>
    <dxf>
      <font>
        <strike val="0"/>
        <outline val="0"/>
        <shadow val="0"/>
        <u val="none"/>
        <vertAlign val="baseline"/>
        <sz val="10"/>
        <color auto="1"/>
        <name val="Calibri Light"/>
        <scheme val="none"/>
      </font>
    </dxf>
    <dxf>
      <font>
        <strike val="0"/>
        <outline val="0"/>
        <shadow val="0"/>
        <u val="none"/>
        <vertAlign val="baseline"/>
        <sz val="10"/>
        <color auto="1"/>
        <name val="Calibri Light"/>
        <scheme val="none"/>
      </font>
    </dxf>
    <dxf>
      <font>
        <b val="0"/>
        <i val="0"/>
        <strike val="0"/>
        <condense val="0"/>
        <extend val="0"/>
        <outline val="0"/>
        <shadow val="0"/>
        <u val="none"/>
        <vertAlign val="baseline"/>
        <sz val="10"/>
        <color auto="1"/>
        <name val="Calibri Light"/>
        <scheme val="none"/>
      </font>
    </dxf>
    <dxf>
      <font>
        <strike val="0"/>
        <outline val="0"/>
        <shadow val="0"/>
        <u val="none"/>
        <vertAlign val="baseline"/>
        <sz val="10"/>
        <color auto="1"/>
        <name val="Calibri Light"/>
        <scheme val="none"/>
      </font>
    </dxf>
    <dxf>
      <font>
        <strike val="0"/>
        <outline val="0"/>
        <shadow val="0"/>
        <u val="none"/>
        <vertAlign val="baseline"/>
        <sz val="10"/>
        <color auto="1"/>
        <name val="Calibri Light"/>
        <scheme val="none"/>
      </font>
    </dxf>
    <dxf>
      <font>
        <strike val="0"/>
        <outline val="0"/>
        <shadow val="0"/>
        <u val="none"/>
        <vertAlign val="baseline"/>
        <sz val="10"/>
        <color auto="1"/>
        <name val="Calibri Light"/>
        <scheme val="none"/>
      </font>
    </dxf>
    <dxf>
      <font>
        <b val="0"/>
        <i val="0"/>
        <strike val="0"/>
        <condense val="0"/>
        <extend val="0"/>
        <outline val="0"/>
        <shadow val="0"/>
        <u val="none"/>
        <vertAlign val="baseline"/>
        <sz val="10"/>
        <color auto="1"/>
        <name val="Calibri Light"/>
        <scheme val="none"/>
      </font>
      <alignment horizontal="left" vertical="bottom" textRotation="0" indent="0" justifyLastLine="0" shrinkToFit="0" readingOrder="0"/>
    </dxf>
    <dxf>
      <font>
        <b val="0"/>
        <i val="0"/>
        <strike val="0"/>
        <condense val="0"/>
        <extend val="0"/>
        <outline val="0"/>
        <shadow val="0"/>
        <u val="none"/>
        <vertAlign val="baseline"/>
        <sz val="10"/>
        <color auto="1"/>
        <name val="Calibri Light"/>
        <scheme val="none"/>
      </font>
      <alignment horizontal="left" vertical="bottom" textRotation="0" indent="0" justifyLastLine="0" shrinkToFit="0" readingOrder="0"/>
    </dxf>
    <dxf>
      <font>
        <b val="0"/>
        <i val="0"/>
        <strike val="0"/>
        <condense val="0"/>
        <extend val="0"/>
        <outline val="0"/>
        <shadow val="0"/>
        <u val="none"/>
        <vertAlign val="baseline"/>
        <sz val="10"/>
        <color auto="1"/>
        <name val="Calibri Light"/>
        <scheme val="none"/>
      </font>
      <alignment horizontal="left" vertical="bottom" textRotation="0" indent="0" justifyLastLine="0" shrinkToFit="0" readingOrder="0"/>
    </dxf>
    <dxf>
      <font>
        <b val="0"/>
        <i val="0"/>
        <strike val="0"/>
        <condense val="0"/>
        <extend val="0"/>
        <outline val="0"/>
        <shadow val="0"/>
        <u val="none"/>
        <vertAlign val="baseline"/>
        <sz val="10"/>
        <color auto="1"/>
        <name val="Calibri Light"/>
        <scheme val="none"/>
      </font>
      <alignment horizontal="left" vertical="bottom" textRotation="0" indent="0" justifyLastLine="0" shrinkToFit="0" readingOrder="0"/>
    </dxf>
    <dxf>
      <font>
        <b val="0"/>
        <i val="0"/>
        <strike val="0"/>
        <condense val="0"/>
        <extend val="0"/>
        <outline val="0"/>
        <shadow val="0"/>
        <u val="none"/>
        <vertAlign val="baseline"/>
        <sz val="10"/>
        <color auto="1"/>
        <name val="Calibri Light"/>
        <scheme val="none"/>
      </font>
      <alignment horizontal="left" vertical="bottom" textRotation="0" indent="0" justifyLastLine="0" shrinkToFit="0" readingOrder="0"/>
    </dxf>
    <dxf>
      <font>
        <b val="0"/>
        <i val="0"/>
        <strike val="0"/>
        <condense val="0"/>
        <extend val="0"/>
        <outline val="0"/>
        <shadow val="0"/>
        <u val="none"/>
        <vertAlign val="baseline"/>
        <sz val="10"/>
        <color auto="1"/>
        <name val="Calibri Light"/>
        <scheme val="none"/>
      </font>
      <alignment horizontal="left" vertical="bottom" textRotation="0" indent="0" justifyLastLine="0" shrinkToFit="0" readingOrder="0"/>
    </dxf>
    <dxf>
      <font>
        <b val="0"/>
        <i val="0"/>
        <strike val="0"/>
        <condense val="0"/>
        <extend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wrapText="0" indent="0" justifyLastLine="0" shrinkToFit="0" readingOrder="0"/>
    </dxf>
    <dxf>
      <font>
        <strike val="0"/>
        <outline val="0"/>
        <shadow val="0"/>
        <u val="none"/>
        <vertAlign val="baseline"/>
        <sz val="10"/>
        <color auto="1"/>
        <name val="Calibri Light"/>
        <scheme val="none"/>
      </font>
      <numFmt numFmtId="0" formatCode="General"/>
      <alignment horizontal="left" vertical="bottom" textRotation="0" indent="0" justifyLastLine="0" shrinkToFit="0" readingOrder="0"/>
    </dxf>
    <dxf>
      <font>
        <strike val="0"/>
        <outline val="0"/>
        <shadow val="0"/>
        <u val="none"/>
        <vertAlign val="baseline"/>
        <sz val="10"/>
        <color auto="1"/>
        <name val="Calibri Light"/>
        <scheme val="none"/>
      </font>
      <numFmt numFmtId="4" formatCode="#,##0.00"/>
      <alignment horizontal="left" vertical="bottom" textRotation="0" wrapText="0" indent="0" justifyLastLine="0" shrinkToFit="0" readingOrder="0"/>
    </dxf>
    <dxf>
      <font>
        <strike val="0"/>
        <outline val="0"/>
        <shadow val="0"/>
        <u val="none"/>
        <vertAlign val="baseline"/>
        <sz val="10"/>
        <color auto="1"/>
        <name val="Calibri Light"/>
        <scheme val="none"/>
      </font>
      <numFmt numFmtId="4" formatCode="#,##0.00"/>
      <alignment horizontal="left" vertical="bottom" textRotation="0" wrapText="0" indent="0" justifyLastLine="0" shrinkToFit="0" readingOrder="0"/>
    </dxf>
    <dxf>
      <font>
        <strike val="0"/>
        <outline val="0"/>
        <shadow val="0"/>
        <u val="none"/>
        <vertAlign val="baseline"/>
        <sz val="10"/>
        <color auto="1"/>
        <name val="Calibri Light"/>
        <scheme val="none"/>
      </font>
      <alignment horizontal="left" vertical="bottom" textRotation="0" wrapText="0" indent="0" justifyLastLine="0" shrinkToFit="0" readingOrder="0"/>
    </dxf>
    <dxf>
      <font>
        <strike val="0"/>
        <outline val="0"/>
        <shadow val="0"/>
        <u val="none"/>
        <vertAlign val="baseline"/>
        <sz val="10"/>
        <color auto="1"/>
        <name val="Calibri Light"/>
        <scheme val="none"/>
      </font>
      <numFmt numFmtId="19" formatCode="m/d/yyyy"/>
      <alignment horizontal="left" vertical="bottom" textRotation="0" wrapText="0" indent="0" justifyLastLine="0" shrinkToFit="0" readingOrder="0"/>
    </dxf>
    <dxf>
      <font>
        <strike val="0"/>
        <outline val="0"/>
        <shadow val="0"/>
        <u val="none"/>
        <vertAlign val="baseline"/>
        <sz val="10"/>
        <color auto="1"/>
        <name val="Calibri Light"/>
        <scheme val="none"/>
      </font>
      <numFmt numFmtId="0" formatCode="General"/>
      <alignment horizontal="left" vertical="bottom" textRotation="0" wrapText="0" indent="0" justifyLastLine="0" shrinkToFit="0" readingOrder="0"/>
    </dxf>
    <dxf>
      <font>
        <strike val="0"/>
        <outline val="0"/>
        <shadow val="0"/>
        <u val="none"/>
        <vertAlign val="baseline"/>
        <sz val="10"/>
        <color auto="1"/>
        <name val="Calibri Light"/>
        <scheme val="none"/>
      </font>
      <numFmt numFmtId="30" formatCode="@"/>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numFmt numFmtId="30" formatCode="@"/>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dxf>
    <dxf>
      <font>
        <b/>
        <i val="0"/>
        <strike val="0"/>
        <condense val="0"/>
        <extend val="0"/>
        <outline val="0"/>
        <shadow val="0"/>
        <u val="none"/>
        <vertAlign val="baseline"/>
        <sz val="10"/>
        <color auto="1"/>
        <name val="Calibri Light"/>
        <scheme val="none"/>
      </font>
      <alignment horizontal="general" vertical="bottom" textRotation="0" wrapText="1" indent="0" justifyLastLine="0" shrinkToFit="0" readingOrder="0"/>
    </dxf>
  </dxfs>
  <tableStyles count="0" defaultTableStyle="TableStyleMedium2" defaultPivotStyle="PivotStyleLight16"/>
  <colors>
    <mruColors>
      <color rgb="FF555555"/>
      <color rgb="FF1B6CB5"/>
      <color rgb="FF17375E"/>
      <color rgb="FFF3901D"/>
      <color rgb="FFD98C24"/>
      <color rgb="FFD9D9D9"/>
      <color rgb="FF7BC143"/>
      <color rgb="FF0000FF"/>
      <color rgb="FF72CDF4"/>
      <color rgb="FF4396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s>
</file>

<file path=xl/ctrlProps/ctrlProp1.xml><?xml version="1.0" encoding="utf-8"?>
<formControlPr xmlns="http://schemas.microsoft.com/office/spreadsheetml/2009/9/main" objectType="CheckBox" fmlaLink="$AU$18" lockText="1" noThreeD="1"/>
</file>

<file path=xl/ctrlProps/ctrlProp10.xml><?xml version="1.0" encoding="utf-8"?>
<formControlPr xmlns="http://schemas.microsoft.com/office/spreadsheetml/2009/9/main" objectType="CheckBox" fmlaLink="$AU$27" lockText="1" noThreeD="1"/>
</file>

<file path=xl/ctrlProps/ctrlProp11.xml><?xml version="1.0" encoding="utf-8"?>
<formControlPr xmlns="http://schemas.microsoft.com/office/spreadsheetml/2009/9/main" objectType="CheckBox" fmlaLink="$AU$28"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fmlaLink="$J$26" lockText="1" noThreeD="1"/>
</file>

<file path=xl/ctrlProps/ctrlProp2.xml><?xml version="1.0" encoding="utf-8"?>
<formControlPr xmlns="http://schemas.microsoft.com/office/spreadsheetml/2009/9/main" objectType="CheckBox" fmlaLink="$AU$19" lockText="1" noThreeD="1"/>
</file>

<file path=xl/ctrlProps/ctrlProp20.xml><?xml version="1.0" encoding="utf-8"?>
<formControlPr xmlns="http://schemas.microsoft.com/office/spreadsheetml/2009/9/main" objectType="CheckBox" fmlaLink="$J$29" lockText="1" noThreeD="1"/>
</file>

<file path=xl/ctrlProps/ctrlProp21.xml><?xml version="1.0" encoding="utf-8"?>
<formControlPr xmlns="http://schemas.microsoft.com/office/spreadsheetml/2009/9/main" objectType="CheckBox" fmlaLink="$J$30" lockText="1" noThreeD="1"/>
</file>

<file path=xl/ctrlProps/ctrlProp22.xml><?xml version="1.0" encoding="utf-8"?>
<formControlPr xmlns="http://schemas.microsoft.com/office/spreadsheetml/2009/9/main" objectType="CheckBox" fmlaLink="$J$31" lockText="1" noThreeD="1"/>
</file>

<file path=xl/ctrlProps/ctrlProp23.xml><?xml version="1.0" encoding="utf-8"?>
<formControlPr xmlns="http://schemas.microsoft.com/office/spreadsheetml/2009/9/main" objectType="CheckBox" fmlaLink="$J$33" lockText="1" noThreeD="1"/>
</file>

<file path=xl/ctrlProps/ctrlProp24.xml><?xml version="1.0" encoding="utf-8"?>
<formControlPr xmlns="http://schemas.microsoft.com/office/spreadsheetml/2009/9/main" objectType="CheckBox" fmlaLink="$J$37"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AU$20"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fmlaLink="$J$52" lockText="1" noThreeD="1"/>
</file>

<file path=xl/ctrlProps/ctrlProp33.xml><?xml version="1.0" encoding="utf-8"?>
<formControlPr xmlns="http://schemas.microsoft.com/office/spreadsheetml/2009/9/main" objectType="CheckBox" fmlaLink="$J$53" lockText="1" noThreeD="1"/>
</file>

<file path=xl/ctrlProps/ctrlProp34.xml><?xml version="1.0" encoding="utf-8"?>
<formControlPr xmlns="http://schemas.microsoft.com/office/spreadsheetml/2009/9/main" objectType="CheckBox" fmlaLink="$J$54"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fmlaLink="$J$64"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AU$21"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fmlaLink="$J$28" lockText="1" noThreeD="1"/>
</file>

<file path=xl/ctrlProps/ctrlProp43.xml><?xml version="1.0" encoding="utf-8"?>
<formControlPr xmlns="http://schemas.microsoft.com/office/spreadsheetml/2009/9/main" objectType="CheckBox" fmlaLink="TEMPLATE!$C$170"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AU$22"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fmlaLink="$AU$23" lockText="1" noThreeD="1"/>
</file>

<file path=xl/ctrlProps/ctrlProp7.xml><?xml version="1.0" encoding="utf-8"?>
<formControlPr xmlns="http://schemas.microsoft.com/office/spreadsheetml/2009/9/main" objectType="CheckBox" fmlaLink="$AU$24" lockText="1" noThreeD="1"/>
</file>

<file path=xl/ctrlProps/ctrlProp8.xml><?xml version="1.0" encoding="utf-8"?>
<formControlPr xmlns="http://schemas.microsoft.com/office/spreadsheetml/2009/9/main" objectType="CheckBox" fmlaLink="$AU$25" lockText="1" noThreeD="1"/>
</file>

<file path=xl/ctrlProps/ctrlProp9.xml><?xml version="1.0" encoding="utf-8"?>
<formControlPr xmlns="http://schemas.microsoft.com/office/spreadsheetml/2009/9/main" objectType="CheckBox" fmlaLink="$AU$26" lockText="1" noThreeD="1"/>
</file>

<file path=xl/drawings/_rels/drawing1.xml.rels><?xml version="1.0" encoding="UTF-8" standalone="yes"?>
<Relationships xmlns="http://schemas.openxmlformats.org/package/2006/relationships"><Relationship Id="rId8" Type="http://schemas.openxmlformats.org/officeDocument/2006/relationships/hyperlink" Target="#'M03-S02'!A1"/><Relationship Id="rId13" Type="http://schemas.openxmlformats.org/officeDocument/2006/relationships/hyperlink" Target="https://www.ameren.com/missouri/energy-efficiency/business/program-overview" TargetMode="External"/><Relationship Id="rId18" Type="http://schemas.openxmlformats.org/officeDocument/2006/relationships/image" Target="../media/image6.png"/><Relationship Id="rId3" Type="http://schemas.openxmlformats.org/officeDocument/2006/relationships/hyperlink" Target="#'M01-S07'!A1"/><Relationship Id="rId21" Type="http://schemas.openxmlformats.org/officeDocument/2006/relationships/image" Target="../media/image9.svg"/><Relationship Id="rId7" Type="http://schemas.openxmlformats.org/officeDocument/2006/relationships/hyperlink" Target="#'M02-S01'!A1"/><Relationship Id="rId12" Type="http://schemas.openxmlformats.org/officeDocument/2006/relationships/image" Target="../media/image1.png"/><Relationship Id="rId17" Type="http://schemas.openxmlformats.org/officeDocument/2006/relationships/image" Target="../media/image5.svg"/><Relationship Id="rId25" Type="http://schemas.openxmlformats.org/officeDocument/2006/relationships/image" Target="../media/image13.svg"/><Relationship Id="rId2" Type="http://schemas.openxmlformats.org/officeDocument/2006/relationships/hyperlink" Target="#'M01-S06'!A1"/><Relationship Id="rId16" Type="http://schemas.openxmlformats.org/officeDocument/2006/relationships/image" Target="../media/image4.png"/><Relationship Id="rId20" Type="http://schemas.openxmlformats.org/officeDocument/2006/relationships/image" Target="../media/image8.png"/><Relationship Id="rId1" Type="http://schemas.openxmlformats.org/officeDocument/2006/relationships/hyperlink" Target="#'M01-S03'!A1"/><Relationship Id="rId6" Type="http://schemas.openxmlformats.org/officeDocument/2006/relationships/hyperlink" Target="#'M01-S01'!A1"/><Relationship Id="rId11" Type="http://schemas.openxmlformats.org/officeDocument/2006/relationships/hyperlink" Target="#'M01-S04'!A1"/><Relationship Id="rId24" Type="http://schemas.openxmlformats.org/officeDocument/2006/relationships/image" Target="../media/image12.png"/><Relationship Id="rId5" Type="http://schemas.openxmlformats.org/officeDocument/2006/relationships/hyperlink" Target="#'M01-S02'!A1"/><Relationship Id="rId15" Type="http://schemas.openxmlformats.org/officeDocument/2006/relationships/image" Target="../media/image3.svg"/><Relationship Id="rId23" Type="http://schemas.openxmlformats.org/officeDocument/2006/relationships/image" Target="../media/image11.svg"/><Relationship Id="rId10" Type="http://schemas.openxmlformats.org/officeDocument/2006/relationships/hyperlink" Target="#'M05-S01'!A1"/><Relationship Id="rId19" Type="http://schemas.openxmlformats.org/officeDocument/2006/relationships/image" Target="../media/image7.svg"/><Relationship Id="rId4" Type="http://schemas.openxmlformats.org/officeDocument/2006/relationships/hyperlink" Target="#'M01-S08'!A1"/><Relationship Id="rId9" Type="http://schemas.openxmlformats.org/officeDocument/2006/relationships/hyperlink" Target="#'M04-S01'!A1"/><Relationship Id="rId14" Type="http://schemas.openxmlformats.org/officeDocument/2006/relationships/image" Target="../media/image2.png"/><Relationship Id="rId22" Type="http://schemas.openxmlformats.org/officeDocument/2006/relationships/image" Target="../media/image10.png"/></Relationships>
</file>

<file path=xl/drawings/_rels/drawing10.xml.rels><?xml version="1.0" encoding="UTF-8" standalone="yes"?>
<Relationships xmlns="http://schemas.openxmlformats.org/package/2006/relationships"><Relationship Id="rId8" Type="http://schemas.openxmlformats.org/officeDocument/2006/relationships/hyperlink" Target="#'M03-S02'!A1"/><Relationship Id="rId13" Type="http://schemas.openxmlformats.org/officeDocument/2006/relationships/image" Target="../media/image1.png"/><Relationship Id="rId3" Type="http://schemas.openxmlformats.org/officeDocument/2006/relationships/hyperlink" Target="#'M02-S07'!A1"/><Relationship Id="rId7" Type="http://schemas.openxmlformats.org/officeDocument/2006/relationships/hyperlink" Target="#'M02-S01'!A1"/><Relationship Id="rId12" Type="http://schemas.openxmlformats.org/officeDocument/2006/relationships/hyperlink" Target="#'M02-S03'!A1"/><Relationship Id="rId2" Type="http://schemas.openxmlformats.org/officeDocument/2006/relationships/hyperlink" Target="#'M02-S06'!A1"/><Relationship Id="rId1" Type="http://schemas.openxmlformats.org/officeDocument/2006/relationships/hyperlink" Target="#'M02-S05'!A1"/><Relationship Id="rId6" Type="http://schemas.openxmlformats.org/officeDocument/2006/relationships/hyperlink" Target="#'M01-S01'!A1"/><Relationship Id="rId11" Type="http://schemas.openxmlformats.org/officeDocument/2006/relationships/hyperlink" Target="#'M02-S02'!A1"/><Relationship Id="rId5" Type="http://schemas.openxmlformats.org/officeDocument/2006/relationships/hyperlink" Target="#'M02-S04'!A1"/><Relationship Id="rId10" Type="http://schemas.openxmlformats.org/officeDocument/2006/relationships/hyperlink" Target="#'M05-S01'!A1"/><Relationship Id="rId4" Type="http://schemas.openxmlformats.org/officeDocument/2006/relationships/hyperlink" Target="#'M02-S08'!A1"/><Relationship Id="rId9" Type="http://schemas.openxmlformats.org/officeDocument/2006/relationships/hyperlink" Target="#'M04-S01'!A1"/></Relationships>
</file>

<file path=xl/drawings/_rels/drawing11.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image" Target="../media/image1.png"/><Relationship Id="rId3" Type="http://schemas.openxmlformats.org/officeDocument/2006/relationships/hyperlink" Target="#'M02-S07'!A1"/><Relationship Id="rId7" Type="http://schemas.openxmlformats.org/officeDocument/2006/relationships/hyperlink" Target="#'M03-S02'!A1"/><Relationship Id="rId12" Type="http://schemas.openxmlformats.org/officeDocument/2006/relationships/hyperlink" Target="#'M02-S04'!A1"/><Relationship Id="rId2" Type="http://schemas.openxmlformats.org/officeDocument/2006/relationships/hyperlink" Target="#'M02-S06'!A1"/><Relationship Id="rId1" Type="http://schemas.openxmlformats.org/officeDocument/2006/relationships/hyperlink" Target="#'M02-S05'!A1"/><Relationship Id="rId6" Type="http://schemas.openxmlformats.org/officeDocument/2006/relationships/hyperlink" Target="#'M02-S01'!A1"/><Relationship Id="rId11" Type="http://schemas.openxmlformats.org/officeDocument/2006/relationships/hyperlink" Target="#'M02-S03'!A1"/><Relationship Id="rId5" Type="http://schemas.openxmlformats.org/officeDocument/2006/relationships/hyperlink" Target="#'M01-S01'!A1"/><Relationship Id="rId15" Type="http://schemas.openxmlformats.org/officeDocument/2006/relationships/image" Target="../media/image26.png"/><Relationship Id="rId10" Type="http://schemas.openxmlformats.org/officeDocument/2006/relationships/hyperlink" Target="#'M02-S02'!A1"/><Relationship Id="rId4" Type="http://schemas.openxmlformats.org/officeDocument/2006/relationships/hyperlink" Target="#'M02-S08'!A1"/><Relationship Id="rId9" Type="http://schemas.openxmlformats.org/officeDocument/2006/relationships/hyperlink" Target="#'M05-S01'!A1"/><Relationship Id="rId14" Type="http://schemas.openxmlformats.org/officeDocument/2006/relationships/hyperlink" Target="mailto:BizSavers@ameren.com" TargetMode="External"/></Relationships>
</file>

<file path=xl/drawings/_rels/drawing12.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hyperlink" Target="http://www.tradeallynetwork.com/wp-content/uploads/2020.07-Ameren-New-Construction-Handbook.pdf" TargetMode="External"/><Relationship Id="rId3" Type="http://schemas.openxmlformats.org/officeDocument/2006/relationships/hyperlink" Target="#'M02-S08'!A1"/><Relationship Id="rId7" Type="http://schemas.openxmlformats.org/officeDocument/2006/relationships/hyperlink" Target="#'M04-S01'!A1"/><Relationship Id="rId12" Type="http://schemas.openxmlformats.org/officeDocument/2006/relationships/hyperlink" Target="#'M02-S05'!A1"/><Relationship Id="rId17" Type="http://schemas.openxmlformats.org/officeDocument/2006/relationships/hyperlink" Target="https://www.ameren.com/missouri/energy-efficiency/business/" TargetMode="External"/><Relationship Id="rId2" Type="http://schemas.openxmlformats.org/officeDocument/2006/relationships/hyperlink" Target="#'M02-S07'!A1"/><Relationship Id="rId16" Type="http://schemas.openxmlformats.org/officeDocument/2006/relationships/hyperlink" Target="mailto:BizSavers@ameren.com" TargetMode="External"/><Relationship Id="rId1" Type="http://schemas.openxmlformats.org/officeDocument/2006/relationships/hyperlink" Target="#'M02-S06'!A1"/><Relationship Id="rId6" Type="http://schemas.openxmlformats.org/officeDocument/2006/relationships/hyperlink" Target="#'M03-S02'!A1"/><Relationship Id="rId11" Type="http://schemas.openxmlformats.org/officeDocument/2006/relationships/hyperlink" Target="#'M02-S04'!A1"/><Relationship Id="rId5" Type="http://schemas.openxmlformats.org/officeDocument/2006/relationships/hyperlink" Target="#'M02-S01'!A1"/><Relationship Id="rId15" Type="http://schemas.openxmlformats.org/officeDocument/2006/relationships/hyperlink" Target="#'M01-S02-2'!D91"/><Relationship Id="rId10" Type="http://schemas.openxmlformats.org/officeDocument/2006/relationships/hyperlink" Target="#'M02-S03'!A1"/><Relationship Id="rId4" Type="http://schemas.openxmlformats.org/officeDocument/2006/relationships/hyperlink" Target="#'M01-S01'!A1"/><Relationship Id="rId9" Type="http://schemas.openxmlformats.org/officeDocument/2006/relationships/hyperlink" Target="#'M02-S02'!A1"/><Relationship Id="rId14" Type="http://schemas.openxmlformats.org/officeDocument/2006/relationships/hyperlink" Target="#'M01-S04'!A1"/></Relationships>
</file>

<file path=xl/drawings/_rels/drawing13.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hyperlink" Target="#'M03-S01'!A1"/><Relationship Id="rId3" Type="http://schemas.openxmlformats.org/officeDocument/2006/relationships/hyperlink" Target="#'M03-S04'!A1"/><Relationship Id="rId7" Type="http://schemas.openxmlformats.org/officeDocument/2006/relationships/hyperlink" Target="#'M03-S08'!A1"/><Relationship Id="rId12" Type="http://schemas.openxmlformats.org/officeDocument/2006/relationships/image" Target="../media/image1.png"/><Relationship Id="rId2" Type="http://schemas.openxmlformats.org/officeDocument/2006/relationships/hyperlink" Target="#'M03-S02'!A1"/><Relationship Id="rId1" Type="http://schemas.openxmlformats.org/officeDocument/2006/relationships/hyperlink" Target="#'M03-S03'!A1"/><Relationship Id="rId6" Type="http://schemas.openxmlformats.org/officeDocument/2006/relationships/hyperlink" Target="#'M03-S07'!A1"/><Relationship Id="rId11" Type="http://schemas.openxmlformats.org/officeDocument/2006/relationships/hyperlink" Target="#'M05-S01'!A1"/><Relationship Id="rId5" Type="http://schemas.openxmlformats.org/officeDocument/2006/relationships/hyperlink" Target="#'M03-S06'!A1"/><Relationship Id="rId10" Type="http://schemas.openxmlformats.org/officeDocument/2006/relationships/hyperlink" Target="#'M04-S01'!A1"/><Relationship Id="rId4" Type="http://schemas.openxmlformats.org/officeDocument/2006/relationships/hyperlink" Target="#'M03-S05'!A1"/><Relationship Id="rId9" Type="http://schemas.openxmlformats.org/officeDocument/2006/relationships/hyperlink" Target="#'M02-S01'!A1"/></Relationships>
</file>

<file path=xl/drawings/_rels/drawing14.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image" Target="../media/image1.png"/><Relationship Id="rId3" Type="http://schemas.openxmlformats.org/officeDocument/2006/relationships/hyperlink" Target="#'M03-S04'!A1"/><Relationship Id="rId7" Type="http://schemas.openxmlformats.org/officeDocument/2006/relationships/hyperlink" Target="#'M03-S08'!A1"/><Relationship Id="rId12" Type="http://schemas.openxmlformats.org/officeDocument/2006/relationships/hyperlink" Target="#'M05-S01'!A1"/><Relationship Id="rId2" Type="http://schemas.openxmlformats.org/officeDocument/2006/relationships/hyperlink" Target="#'M03-S01'!A1"/><Relationship Id="rId1" Type="http://schemas.openxmlformats.org/officeDocument/2006/relationships/hyperlink" Target="#'M03-S03'!A1"/><Relationship Id="rId6" Type="http://schemas.openxmlformats.org/officeDocument/2006/relationships/hyperlink" Target="#'M03-S07'!A1"/><Relationship Id="rId11" Type="http://schemas.openxmlformats.org/officeDocument/2006/relationships/hyperlink" Target="#'M04-S01'!A1"/><Relationship Id="rId5" Type="http://schemas.openxmlformats.org/officeDocument/2006/relationships/hyperlink" Target="#'M03-S06'!A1"/><Relationship Id="rId10" Type="http://schemas.openxmlformats.org/officeDocument/2006/relationships/hyperlink" Target="#'M03-S02'!A1"/><Relationship Id="rId4" Type="http://schemas.openxmlformats.org/officeDocument/2006/relationships/hyperlink" Target="#'M03-S05'!A1"/><Relationship Id="rId9" Type="http://schemas.openxmlformats.org/officeDocument/2006/relationships/hyperlink" Target="#'M02-S01'!A1"/></Relationships>
</file>

<file path=xl/drawings/_rels/drawing15.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hyperlink" Target="#'M03-S01'!A1"/><Relationship Id="rId3" Type="http://schemas.openxmlformats.org/officeDocument/2006/relationships/hyperlink" Target="#'M03-S05'!A1"/><Relationship Id="rId7" Type="http://schemas.openxmlformats.org/officeDocument/2006/relationships/hyperlink" Target="#'M04-S01'!A1"/><Relationship Id="rId12" Type="http://schemas.openxmlformats.org/officeDocument/2006/relationships/image" Target="../media/image1.png"/><Relationship Id="rId2" Type="http://schemas.openxmlformats.org/officeDocument/2006/relationships/hyperlink" Target="#'M03-S08'!A1"/><Relationship Id="rId1" Type="http://schemas.openxmlformats.org/officeDocument/2006/relationships/hyperlink" Target="#'M03-S07'!A1"/><Relationship Id="rId6" Type="http://schemas.openxmlformats.org/officeDocument/2006/relationships/hyperlink" Target="#'M03-S02'!A1"/><Relationship Id="rId11" Type="http://schemas.openxmlformats.org/officeDocument/2006/relationships/hyperlink" Target="#'M03-S03'!A1"/><Relationship Id="rId5" Type="http://schemas.openxmlformats.org/officeDocument/2006/relationships/hyperlink" Target="#'M02-S01'!A1"/><Relationship Id="rId10" Type="http://schemas.openxmlformats.org/officeDocument/2006/relationships/hyperlink" Target="#'M03-S06'!A1"/><Relationship Id="rId4" Type="http://schemas.openxmlformats.org/officeDocument/2006/relationships/hyperlink" Target="#'M01-S01'!A1"/><Relationship Id="rId9" Type="http://schemas.openxmlformats.org/officeDocument/2006/relationships/hyperlink" Target="#'M03-S04'!A1"/></Relationships>
</file>

<file path=xl/drawings/_rels/drawing16.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hyperlink" Target="#'M03-S01'!A1"/><Relationship Id="rId3" Type="http://schemas.openxmlformats.org/officeDocument/2006/relationships/hyperlink" Target="#'M03-S06'!A1"/><Relationship Id="rId7" Type="http://schemas.openxmlformats.org/officeDocument/2006/relationships/hyperlink" Target="#'M04-S01'!A1"/><Relationship Id="rId12" Type="http://schemas.openxmlformats.org/officeDocument/2006/relationships/hyperlink" Target="#'M03-S03'!A1"/><Relationship Id="rId2" Type="http://schemas.openxmlformats.org/officeDocument/2006/relationships/hyperlink" Target="#'M03-S08'!A1"/><Relationship Id="rId1" Type="http://schemas.openxmlformats.org/officeDocument/2006/relationships/hyperlink" Target="#'M03-S07'!A1"/><Relationship Id="rId6" Type="http://schemas.openxmlformats.org/officeDocument/2006/relationships/hyperlink" Target="#'M03-S02'!A1"/><Relationship Id="rId11" Type="http://schemas.openxmlformats.org/officeDocument/2006/relationships/image" Target="../media/image1.png"/><Relationship Id="rId5" Type="http://schemas.openxmlformats.org/officeDocument/2006/relationships/hyperlink" Target="#'M02-S01'!A1"/><Relationship Id="rId10" Type="http://schemas.openxmlformats.org/officeDocument/2006/relationships/hyperlink" Target="#'M03-S05'!A1"/><Relationship Id="rId4" Type="http://schemas.openxmlformats.org/officeDocument/2006/relationships/hyperlink" Target="#'M01-S01'!A1"/><Relationship Id="rId9" Type="http://schemas.openxmlformats.org/officeDocument/2006/relationships/hyperlink" Target="#'M03-S04'!A1"/></Relationships>
</file>

<file path=xl/drawings/_rels/drawing17.xml.rels><?xml version="1.0" encoding="UTF-8" standalone="yes"?>
<Relationships xmlns="http://schemas.openxmlformats.org/package/2006/relationships"><Relationship Id="rId8" Type="http://schemas.openxmlformats.org/officeDocument/2006/relationships/hyperlink" Target="#'M03-S02'!A1"/><Relationship Id="rId13" Type="http://schemas.openxmlformats.org/officeDocument/2006/relationships/image" Target="../media/image27.png"/><Relationship Id="rId3" Type="http://schemas.openxmlformats.org/officeDocument/2006/relationships/hyperlink" Target="#'M04-S01'!A1"/><Relationship Id="rId7" Type="http://schemas.openxmlformats.org/officeDocument/2006/relationships/hyperlink" Target="#'M05-S01'!A1"/><Relationship Id="rId12" Type="http://schemas.openxmlformats.org/officeDocument/2006/relationships/hyperlink" Target="#'M03-S06'!A1"/><Relationship Id="rId2" Type="http://schemas.openxmlformats.org/officeDocument/2006/relationships/hyperlink" Target="#'M03-S08'!A1"/><Relationship Id="rId1" Type="http://schemas.openxmlformats.org/officeDocument/2006/relationships/hyperlink" Target="#'M03-S07'!A1"/><Relationship Id="rId6" Type="http://schemas.openxmlformats.org/officeDocument/2006/relationships/hyperlink" Target="#'M03-S01'!A1"/><Relationship Id="rId11" Type="http://schemas.openxmlformats.org/officeDocument/2006/relationships/hyperlink" Target="#'M03-S05'!A1"/><Relationship Id="rId5" Type="http://schemas.openxmlformats.org/officeDocument/2006/relationships/hyperlink" Target="#'M02-S01'!A1"/><Relationship Id="rId10" Type="http://schemas.openxmlformats.org/officeDocument/2006/relationships/hyperlink" Target="#'M03-S04'!A1"/><Relationship Id="rId4" Type="http://schemas.openxmlformats.org/officeDocument/2006/relationships/hyperlink" Target="#'M01-S01'!A1"/><Relationship Id="rId9" Type="http://schemas.openxmlformats.org/officeDocument/2006/relationships/hyperlink" Target="#'M03-S03'!A1"/></Relationships>
</file>

<file path=xl/drawings/_rels/drawing18.xml.rels><?xml version="1.0" encoding="UTF-8" standalone="yes"?>
<Relationships xmlns="http://schemas.openxmlformats.org/package/2006/relationships"><Relationship Id="rId8" Type="http://schemas.openxmlformats.org/officeDocument/2006/relationships/hyperlink" Target="#'M03-S03'!A1"/><Relationship Id="rId13" Type="http://schemas.openxmlformats.org/officeDocument/2006/relationships/image" Target="../media/image27.png"/><Relationship Id="rId3" Type="http://schemas.openxmlformats.org/officeDocument/2006/relationships/hyperlink" Target="#'M02-S01'!A1"/><Relationship Id="rId7" Type="http://schemas.openxmlformats.org/officeDocument/2006/relationships/hyperlink" Target="#'M03-S02'!A1"/><Relationship Id="rId12" Type="http://schemas.openxmlformats.org/officeDocument/2006/relationships/hyperlink" Target="#'M03-S07'!A1"/><Relationship Id="rId2" Type="http://schemas.openxmlformats.org/officeDocument/2006/relationships/hyperlink" Target="#'M01-S01'!A1"/><Relationship Id="rId1" Type="http://schemas.openxmlformats.org/officeDocument/2006/relationships/hyperlink" Target="#'M03-S08'!A1"/><Relationship Id="rId6" Type="http://schemas.openxmlformats.org/officeDocument/2006/relationships/hyperlink" Target="#'M05-S01'!A1"/><Relationship Id="rId11" Type="http://schemas.openxmlformats.org/officeDocument/2006/relationships/hyperlink" Target="#'M03-S06'!A1"/><Relationship Id="rId5" Type="http://schemas.openxmlformats.org/officeDocument/2006/relationships/hyperlink" Target="#'M04-S01'!A1"/><Relationship Id="rId10" Type="http://schemas.openxmlformats.org/officeDocument/2006/relationships/hyperlink" Target="#'M03-S05'!A1"/><Relationship Id="rId4" Type="http://schemas.openxmlformats.org/officeDocument/2006/relationships/hyperlink" Target="#'M03-S01'!A1"/><Relationship Id="rId9" Type="http://schemas.openxmlformats.org/officeDocument/2006/relationships/hyperlink" Target="#'M03-S04'!A1"/></Relationships>
</file>

<file path=xl/drawings/_rels/drawing19.xml.rels><?xml version="1.0" encoding="UTF-8" standalone="yes"?>
<Relationships xmlns="http://schemas.openxmlformats.org/package/2006/relationships"><Relationship Id="rId8" Type="http://schemas.openxmlformats.org/officeDocument/2006/relationships/hyperlink" Target="#'M03-S04'!A1"/><Relationship Id="rId13" Type="http://schemas.openxmlformats.org/officeDocument/2006/relationships/image" Target="../media/image27.png"/><Relationship Id="rId3" Type="http://schemas.openxmlformats.org/officeDocument/2006/relationships/hyperlink" Target="#'M02-S01'!A1"/><Relationship Id="rId7" Type="http://schemas.openxmlformats.org/officeDocument/2006/relationships/hyperlink" Target="#'M03-S03'!A1"/><Relationship Id="rId12" Type="http://schemas.openxmlformats.org/officeDocument/2006/relationships/hyperlink" Target="#'M03-S08'!A1"/><Relationship Id="rId2" Type="http://schemas.openxmlformats.org/officeDocument/2006/relationships/hyperlink" Target="#'M01-S01'!A1"/><Relationship Id="rId1" Type="http://schemas.openxmlformats.org/officeDocument/2006/relationships/hyperlink" Target="#'M04-S01'!A1"/><Relationship Id="rId6" Type="http://schemas.openxmlformats.org/officeDocument/2006/relationships/hyperlink" Target="#'M03-S02'!A1"/><Relationship Id="rId11" Type="http://schemas.openxmlformats.org/officeDocument/2006/relationships/hyperlink" Target="#'M03-S07'!A1"/><Relationship Id="rId5" Type="http://schemas.openxmlformats.org/officeDocument/2006/relationships/hyperlink" Target="#'M05-S01'!A1"/><Relationship Id="rId10" Type="http://schemas.openxmlformats.org/officeDocument/2006/relationships/hyperlink" Target="#'M03-S06'!A1"/><Relationship Id="rId4" Type="http://schemas.openxmlformats.org/officeDocument/2006/relationships/hyperlink" Target="#'M03-S01'!A1"/><Relationship Id="rId9" Type="http://schemas.openxmlformats.org/officeDocument/2006/relationships/hyperlink" Target="#'M03-S05'!A1"/></Relationships>
</file>

<file path=xl/drawings/_rels/drawing2.xml.rels><?xml version="1.0" encoding="UTF-8" standalone="yes"?>
<Relationships xmlns="http://schemas.openxmlformats.org/package/2006/relationships"><Relationship Id="rId8" Type="http://schemas.openxmlformats.org/officeDocument/2006/relationships/hyperlink" Target="#'M03-S02'!A1"/><Relationship Id="rId13" Type="http://schemas.openxmlformats.org/officeDocument/2006/relationships/image" Target="../media/image1.png"/><Relationship Id="rId3" Type="http://schemas.openxmlformats.org/officeDocument/2006/relationships/hyperlink" Target="#'M01-S07'!A1"/><Relationship Id="rId7" Type="http://schemas.openxmlformats.org/officeDocument/2006/relationships/hyperlink" Target="#'M02-S01'!A1"/><Relationship Id="rId12" Type="http://schemas.openxmlformats.org/officeDocument/2006/relationships/hyperlink" Target="#'M01-S04'!A1"/><Relationship Id="rId2" Type="http://schemas.openxmlformats.org/officeDocument/2006/relationships/hyperlink" Target="#'M01-S06'!A1"/><Relationship Id="rId1" Type="http://schemas.openxmlformats.org/officeDocument/2006/relationships/hyperlink" Target="#'M01-S03'!A1"/><Relationship Id="rId6" Type="http://schemas.openxmlformats.org/officeDocument/2006/relationships/hyperlink" Target="#'M01-S01'!A1"/><Relationship Id="rId11" Type="http://schemas.openxmlformats.org/officeDocument/2006/relationships/hyperlink" Target="#'M01-S02'!A1"/><Relationship Id="rId5" Type="http://schemas.openxmlformats.org/officeDocument/2006/relationships/hyperlink" Target="#'M01-S02-2'!A1"/><Relationship Id="rId15" Type="http://schemas.openxmlformats.org/officeDocument/2006/relationships/image" Target="../media/image14.png"/><Relationship Id="rId10" Type="http://schemas.openxmlformats.org/officeDocument/2006/relationships/hyperlink" Target="#'M05-S01'!A1"/><Relationship Id="rId4" Type="http://schemas.openxmlformats.org/officeDocument/2006/relationships/hyperlink" Target="#'M01-S08'!A1"/><Relationship Id="rId9" Type="http://schemas.openxmlformats.org/officeDocument/2006/relationships/hyperlink" Target="#'M04-S01'!A1"/><Relationship Id="rId14" Type="http://schemas.openxmlformats.org/officeDocument/2006/relationships/hyperlink" Target="https://q9u5x5a2.ssl.hwcdn.net/-/Media/Missouri-Site/Files/energy-efficiency/New-Construction-Handbook.pdf?la=en" TargetMode="External"/></Relationships>
</file>

<file path=xl/drawings/_rels/drawing20.xml.rels><?xml version="1.0" encoding="UTF-8" standalone="yes"?>
<Relationships xmlns="http://schemas.openxmlformats.org/package/2006/relationships"><Relationship Id="rId8" Type="http://schemas.openxmlformats.org/officeDocument/2006/relationships/hyperlink" Target="#'M04-S03'!A1"/><Relationship Id="rId13" Type="http://schemas.openxmlformats.org/officeDocument/2006/relationships/hyperlink" Target="#'M04-S08'!A1"/><Relationship Id="rId3" Type="http://schemas.openxmlformats.org/officeDocument/2006/relationships/hyperlink" Target="#'M02-S01'!A1"/><Relationship Id="rId7" Type="http://schemas.openxmlformats.org/officeDocument/2006/relationships/image" Target="../media/image1.png"/><Relationship Id="rId12" Type="http://schemas.openxmlformats.org/officeDocument/2006/relationships/hyperlink" Target="#'M04-S07'!A1"/><Relationship Id="rId2" Type="http://schemas.openxmlformats.org/officeDocument/2006/relationships/hyperlink" Target="#'M01-S01'!A1"/><Relationship Id="rId1" Type="http://schemas.openxmlformats.org/officeDocument/2006/relationships/hyperlink" Target="#'M04-S02'!A1"/><Relationship Id="rId6" Type="http://schemas.openxmlformats.org/officeDocument/2006/relationships/hyperlink" Target="#'M05-S01'!A1"/><Relationship Id="rId11" Type="http://schemas.openxmlformats.org/officeDocument/2006/relationships/hyperlink" Target="#'M04-S06'!A1"/><Relationship Id="rId5" Type="http://schemas.openxmlformats.org/officeDocument/2006/relationships/hyperlink" Target="#'M04-S01'!A1"/><Relationship Id="rId10" Type="http://schemas.openxmlformats.org/officeDocument/2006/relationships/hyperlink" Target="#'M04-S05'!A1"/><Relationship Id="rId4" Type="http://schemas.openxmlformats.org/officeDocument/2006/relationships/hyperlink" Target="#'M03-S02'!A1"/><Relationship Id="rId9" Type="http://schemas.openxmlformats.org/officeDocument/2006/relationships/hyperlink" Target="#'M04-S04'!A1"/></Relationships>
</file>

<file path=xl/drawings/_rels/drawing21.xml.rels><?xml version="1.0" encoding="UTF-8" standalone="yes"?>
<Relationships xmlns="http://schemas.openxmlformats.org/package/2006/relationships"><Relationship Id="rId8" Type="http://schemas.openxmlformats.org/officeDocument/2006/relationships/hyperlink" Target="#'M04-S07'!A1"/><Relationship Id="rId3" Type="http://schemas.openxmlformats.org/officeDocument/2006/relationships/hyperlink" Target="#'M03-S02'!A1"/><Relationship Id="rId7" Type="http://schemas.openxmlformats.org/officeDocument/2006/relationships/hyperlink" Target="#'M04-S08'!A1"/><Relationship Id="rId12" Type="http://schemas.openxmlformats.org/officeDocument/2006/relationships/hyperlink" Target="#'M04-S03'!A1"/><Relationship Id="rId2" Type="http://schemas.openxmlformats.org/officeDocument/2006/relationships/hyperlink" Target="#'M02-S01'!A1"/><Relationship Id="rId1" Type="http://schemas.openxmlformats.org/officeDocument/2006/relationships/hyperlink" Target="#'M01-S01'!A1"/><Relationship Id="rId6" Type="http://schemas.openxmlformats.org/officeDocument/2006/relationships/image" Target="../media/image1.png"/><Relationship Id="rId11" Type="http://schemas.openxmlformats.org/officeDocument/2006/relationships/hyperlink" Target="#'M04-S04'!A1"/><Relationship Id="rId5" Type="http://schemas.openxmlformats.org/officeDocument/2006/relationships/hyperlink" Target="#'M05-S01'!A1"/><Relationship Id="rId10" Type="http://schemas.openxmlformats.org/officeDocument/2006/relationships/hyperlink" Target="#'M04-S05'!A1"/><Relationship Id="rId4" Type="http://schemas.openxmlformats.org/officeDocument/2006/relationships/hyperlink" Target="#'M04-S01'!A1"/><Relationship Id="rId9" Type="http://schemas.openxmlformats.org/officeDocument/2006/relationships/hyperlink" Target="#'M04-S06'!A1"/></Relationships>
</file>

<file path=xl/drawings/_rels/drawing22.xml.rels><?xml version="1.0" encoding="UTF-8" standalone="yes"?>
<Relationships xmlns="http://schemas.openxmlformats.org/package/2006/relationships"><Relationship Id="rId8" Type="http://schemas.openxmlformats.org/officeDocument/2006/relationships/hyperlink" Target="#'M07-S01'!A1"/><Relationship Id="rId13" Type="http://schemas.openxmlformats.org/officeDocument/2006/relationships/hyperlink" Target="#'M04-S07'!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4-S06'!A1"/><Relationship Id="rId2" Type="http://schemas.openxmlformats.org/officeDocument/2006/relationships/hyperlink" Target="#'M01-S01'!A1"/><Relationship Id="rId1" Type="http://schemas.openxmlformats.org/officeDocument/2006/relationships/hyperlink" Target="#'M04-S04'!A1"/><Relationship Id="rId6" Type="http://schemas.openxmlformats.org/officeDocument/2006/relationships/hyperlink" Target="#'M05-S01'!A1"/><Relationship Id="rId11" Type="http://schemas.openxmlformats.org/officeDocument/2006/relationships/hyperlink" Target="#'M04-S05'!A1"/><Relationship Id="rId5" Type="http://schemas.openxmlformats.org/officeDocument/2006/relationships/hyperlink" Target="#'M04-S01'!A1"/><Relationship Id="rId15" Type="http://schemas.openxmlformats.org/officeDocument/2006/relationships/image" Target="../media/image1.png"/><Relationship Id="rId10" Type="http://schemas.openxmlformats.org/officeDocument/2006/relationships/hyperlink" Target="#'M04-S03'!A1"/><Relationship Id="rId4" Type="http://schemas.openxmlformats.org/officeDocument/2006/relationships/hyperlink" Target="#'M03-S02'!A1"/><Relationship Id="rId9" Type="http://schemas.openxmlformats.org/officeDocument/2006/relationships/hyperlink" Target="#'M04-S02'!A1"/><Relationship Id="rId14" Type="http://schemas.openxmlformats.org/officeDocument/2006/relationships/hyperlink" Target="#'M04-S08'!A1"/></Relationships>
</file>

<file path=xl/drawings/_rels/drawing23.xml.rels><?xml version="1.0" encoding="UTF-8" standalone="yes"?>
<Relationships xmlns="http://schemas.openxmlformats.org/package/2006/relationships"><Relationship Id="rId8" Type="http://schemas.openxmlformats.org/officeDocument/2006/relationships/hyperlink" Target="#'M04-S03'!A1"/><Relationship Id="rId13" Type="http://schemas.openxmlformats.org/officeDocument/2006/relationships/image" Target="../media/image1.png"/><Relationship Id="rId3" Type="http://schemas.openxmlformats.org/officeDocument/2006/relationships/hyperlink" Target="#'M02-S01'!A1"/><Relationship Id="rId7" Type="http://schemas.openxmlformats.org/officeDocument/2006/relationships/hyperlink" Target="#'M04-S02'!A1"/><Relationship Id="rId12" Type="http://schemas.openxmlformats.org/officeDocument/2006/relationships/hyperlink" Target="#'M04-S08'!A1"/><Relationship Id="rId2" Type="http://schemas.openxmlformats.org/officeDocument/2006/relationships/hyperlink" Target="#'M01-S01'!A1"/><Relationship Id="rId1" Type="http://schemas.openxmlformats.org/officeDocument/2006/relationships/hyperlink" Target="#'M04-S05'!A1"/><Relationship Id="rId6" Type="http://schemas.openxmlformats.org/officeDocument/2006/relationships/hyperlink" Target="#'M05-S01'!A1"/><Relationship Id="rId11" Type="http://schemas.openxmlformats.org/officeDocument/2006/relationships/hyperlink" Target="#'M04-S07'!A1"/><Relationship Id="rId5" Type="http://schemas.openxmlformats.org/officeDocument/2006/relationships/hyperlink" Target="#'M04-S01'!A1"/><Relationship Id="rId10" Type="http://schemas.openxmlformats.org/officeDocument/2006/relationships/hyperlink" Target="#'M04-S06'!A1"/><Relationship Id="rId4" Type="http://schemas.openxmlformats.org/officeDocument/2006/relationships/hyperlink" Target="#'M03-S02'!A1"/><Relationship Id="rId9" Type="http://schemas.openxmlformats.org/officeDocument/2006/relationships/hyperlink" Target="#'M04-S04'!A1"/></Relationships>
</file>

<file path=xl/drawings/_rels/drawing24.xml.rels><?xml version="1.0" encoding="UTF-8" standalone="yes"?>
<Relationships xmlns="http://schemas.openxmlformats.org/package/2006/relationships"><Relationship Id="rId8" Type="http://schemas.openxmlformats.org/officeDocument/2006/relationships/hyperlink" Target="#'M07-S01'!A1"/><Relationship Id="rId13" Type="http://schemas.openxmlformats.org/officeDocument/2006/relationships/hyperlink" Target="#'M04-S07'!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4-S05'!A1"/><Relationship Id="rId2" Type="http://schemas.openxmlformats.org/officeDocument/2006/relationships/hyperlink" Target="#'M01-S01'!A1"/><Relationship Id="rId1" Type="http://schemas.openxmlformats.org/officeDocument/2006/relationships/hyperlink" Target="#'M04-S06'!A1"/><Relationship Id="rId6" Type="http://schemas.openxmlformats.org/officeDocument/2006/relationships/hyperlink" Target="#'M05-S01'!A1"/><Relationship Id="rId11" Type="http://schemas.openxmlformats.org/officeDocument/2006/relationships/hyperlink" Target="#'M04-S04'!A1"/><Relationship Id="rId5" Type="http://schemas.openxmlformats.org/officeDocument/2006/relationships/hyperlink" Target="#'M04-S01'!A1"/><Relationship Id="rId15" Type="http://schemas.openxmlformats.org/officeDocument/2006/relationships/image" Target="../media/image1.png"/><Relationship Id="rId10" Type="http://schemas.openxmlformats.org/officeDocument/2006/relationships/hyperlink" Target="#'M04-S03'!A1"/><Relationship Id="rId4" Type="http://schemas.openxmlformats.org/officeDocument/2006/relationships/hyperlink" Target="#'M03-S02'!A1"/><Relationship Id="rId9" Type="http://schemas.openxmlformats.org/officeDocument/2006/relationships/hyperlink" Target="#'M04-S02'!A1"/><Relationship Id="rId14" Type="http://schemas.openxmlformats.org/officeDocument/2006/relationships/hyperlink" Target="#'M04-S08'!A1"/></Relationships>
</file>

<file path=xl/drawings/_rels/drawing25.xml.rels><?xml version="1.0" encoding="UTF-8" standalone="yes"?>
<Relationships xmlns="http://schemas.openxmlformats.org/package/2006/relationships"><Relationship Id="rId8" Type="http://schemas.openxmlformats.org/officeDocument/2006/relationships/hyperlink" Target="#'M07-S01'!A1"/><Relationship Id="rId13" Type="http://schemas.openxmlformats.org/officeDocument/2006/relationships/hyperlink" Target="#'M04-S06'!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4-S05'!A1"/><Relationship Id="rId2" Type="http://schemas.openxmlformats.org/officeDocument/2006/relationships/hyperlink" Target="#'M01-S01'!A1"/><Relationship Id="rId1" Type="http://schemas.openxmlformats.org/officeDocument/2006/relationships/hyperlink" Target="#'M04-S07'!A1"/><Relationship Id="rId6" Type="http://schemas.openxmlformats.org/officeDocument/2006/relationships/hyperlink" Target="#'M05-S01'!A1"/><Relationship Id="rId11" Type="http://schemas.openxmlformats.org/officeDocument/2006/relationships/hyperlink" Target="#'M04-S04'!A1"/><Relationship Id="rId5" Type="http://schemas.openxmlformats.org/officeDocument/2006/relationships/hyperlink" Target="#'M04-S01'!A1"/><Relationship Id="rId15" Type="http://schemas.openxmlformats.org/officeDocument/2006/relationships/image" Target="../media/image1.png"/><Relationship Id="rId10" Type="http://schemas.openxmlformats.org/officeDocument/2006/relationships/hyperlink" Target="#'M04-S03'!A1"/><Relationship Id="rId4" Type="http://schemas.openxmlformats.org/officeDocument/2006/relationships/hyperlink" Target="#'M03-S02'!A1"/><Relationship Id="rId9" Type="http://schemas.openxmlformats.org/officeDocument/2006/relationships/hyperlink" Target="#'M04-S02'!A1"/><Relationship Id="rId14" Type="http://schemas.openxmlformats.org/officeDocument/2006/relationships/hyperlink" Target="#'M04-S08'!A1"/></Relationships>
</file>

<file path=xl/drawings/_rels/drawing26.xml.rels><?xml version="1.0" encoding="UTF-8" standalone="yes"?>
<Relationships xmlns="http://schemas.openxmlformats.org/package/2006/relationships"><Relationship Id="rId8" Type="http://schemas.openxmlformats.org/officeDocument/2006/relationships/hyperlink" Target="#'M07-S01'!A1"/><Relationship Id="rId13" Type="http://schemas.openxmlformats.org/officeDocument/2006/relationships/hyperlink" Target="#'M04-S06'!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4-S05'!A1"/><Relationship Id="rId2" Type="http://schemas.openxmlformats.org/officeDocument/2006/relationships/hyperlink" Target="#'M01-S01'!A1"/><Relationship Id="rId1" Type="http://schemas.openxmlformats.org/officeDocument/2006/relationships/hyperlink" Target="#'M04-S08'!A1"/><Relationship Id="rId6" Type="http://schemas.openxmlformats.org/officeDocument/2006/relationships/hyperlink" Target="#'M05-S01'!A1"/><Relationship Id="rId11" Type="http://schemas.openxmlformats.org/officeDocument/2006/relationships/hyperlink" Target="#'M04-S04'!A1"/><Relationship Id="rId5" Type="http://schemas.openxmlformats.org/officeDocument/2006/relationships/hyperlink" Target="#'M04-S01'!A1"/><Relationship Id="rId15" Type="http://schemas.openxmlformats.org/officeDocument/2006/relationships/image" Target="../media/image1.png"/><Relationship Id="rId10" Type="http://schemas.openxmlformats.org/officeDocument/2006/relationships/hyperlink" Target="#'M04-S03'!A1"/><Relationship Id="rId4" Type="http://schemas.openxmlformats.org/officeDocument/2006/relationships/hyperlink" Target="#'M03-S02'!A1"/><Relationship Id="rId9" Type="http://schemas.openxmlformats.org/officeDocument/2006/relationships/hyperlink" Target="#'M04-S02'!A1"/><Relationship Id="rId14" Type="http://schemas.openxmlformats.org/officeDocument/2006/relationships/hyperlink" Target="#'M04-S07'!A1"/></Relationships>
</file>

<file path=xl/drawings/_rels/drawing27.xml.rels><?xml version="1.0" encoding="UTF-8" standalone="yes"?>
<Relationships xmlns="http://schemas.openxmlformats.org/package/2006/relationships"><Relationship Id="rId8" Type="http://schemas.openxmlformats.org/officeDocument/2006/relationships/hyperlink" Target="#'M04-S02'!A1"/><Relationship Id="rId13" Type="http://schemas.openxmlformats.org/officeDocument/2006/relationships/hyperlink" Target="#'M04-S07'!A1"/><Relationship Id="rId3" Type="http://schemas.openxmlformats.org/officeDocument/2006/relationships/hyperlink" Target="#'M02-S01'!A1"/><Relationship Id="rId7" Type="http://schemas.openxmlformats.org/officeDocument/2006/relationships/hyperlink" Target="#'M07-S01'!A1"/><Relationship Id="rId12" Type="http://schemas.openxmlformats.org/officeDocument/2006/relationships/hyperlink" Target="#'M04-S06'!A1"/><Relationship Id="rId2" Type="http://schemas.openxmlformats.org/officeDocument/2006/relationships/hyperlink" Target="#'M01-S01'!A1"/><Relationship Id="rId1" Type="http://schemas.openxmlformats.org/officeDocument/2006/relationships/hyperlink" Target="#'M05-S01'!A1"/><Relationship Id="rId6" Type="http://schemas.openxmlformats.org/officeDocument/2006/relationships/hyperlink" Target="#'M06-S01'!A1"/><Relationship Id="rId11" Type="http://schemas.openxmlformats.org/officeDocument/2006/relationships/hyperlink" Target="#'M04-S05'!A1"/><Relationship Id="rId5" Type="http://schemas.openxmlformats.org/officeDocument/2006/relationships/hyperlink" Target="#'M04-S01'!A1"/><Relationship Id="rId15" Type="http://schemas.openxmlformats.org/officeDocument/2006/relationships/image" Target="../media/image1.png"/><Relationship Id="rId10" Type="http://schemas.openxmlformats.org/officeDocument/2006/relationships/hyperlink" Target="#'M04-S04'!A1"/><Relationship Id="rId4" Type="http://schemas.openxmlformats.org/officeDocument/2006/relationships/hyperlink" Target="#'M03-S02'!A1"/><Relationship Id="rId9" Type="http://schemas.openxmlformats.org/officeDocument/2006/relationships/hyperlink" Target="#'M04-S03'!A1"/><Relationship Id="rId14" Type="http://schemas.openxmlformats.org/officeDocument/2006/relationships/hyperlink" Target="#'M04-S08'!A1"/></Relationships>
</file>

<file path=xl/drawings/_rels/drawing28.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hyperlink" Target="#'M04-S08'!A1"/><Relationship Id="rId3" Type="http://schemas.openxmlformats.org/officeDocument/2006/relationships/hyperlink" Target="#'M05-S03'!A1"/><Relationship Id="rId7" Type="http://schemas.openxmlformats.org/officeDocument/2006/relationships/hyperlink" Target="#'M05-S08'!A1"/><Relationship Id="rId12" Type="http://schemas.openxmlformats.org/officeDocument/2006/relationships/hyperlink" Target="#'M05-S01'!A1"/><Relationship Id="rId2" Type="http://schemas.openxmlformats.org/officeDocument/2006/relationships/hyperlink" Target="#'M05-S05'!A1"/><Relationship Id="rId1" Type="http://schemas.openxmlformats.org/officeDocument/2006/relationships/hyperlink" Target="#'M05-S04'!A1"/><Relationship Id="rId6" Type="http://schemas.openxmlformats.org/officeDocument/2006/relationships/hyperlink" Target="#'M05-S07'!A1"/><Relationship Id="rId11" Type="http://schemas.openxmlformats.org/officeDocument/2006/relationships/hyperlink" Target="#'M04-S01'!A1"/><Relationship Id="rId5" Type="http://schemas.openxmlformats.org/officeDocument/2006/relationships/hyperlink" Target="#'M05-S06'!A1"/><Relationship Id="rId10" Type="http://schemas.openxmlformats.org/officeDocument/2006/relationships/hyperlink" Target="#'M03-S02'!A1"/><Relationship Id="rId4" Type="http://schemas.openxmlformats.org/officeDocument/2006/relationships/hyperlink" Target="#'M05-S02'!A1"/><Relationship Id="rId9" Type="http://schemas.openxmlformats.org/officeDocument/2006/relationships/hyperlink" Target="#'M02-S01'!A1"/><Relationship Id="rId14" Type="http://schemas.openxmlformats.org/officeDocument/2006/relationships/image" Target="../media/image1.png"/></Relationships>
</file>

<file path=xl/drawings/_rels/drawing29.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image" Target="../media/image1.png"/><Relationship Id="rId18" Type="http://schemas.openxmlformats.org/officeDocument/2006/relationships/hyperlink" Target="#'M05-S05'!J75"/><Relationship Id="rId3" Type="http://schemas.openxmlformats.org/officeDocument/2006/relationships/hyperlink" Target="#'M05-S03'!A1"/><Relationship Id="rId21" Type="http://schemas.openxmlformats.org/officeDocument/2006/relationships/hyperlink" Target="#'M03-S02'!D24"/><Relationship Id="rId7" Type="http://schemas.openxmlformats.org/officeDocument/2006/relationships/hyperlink" Target="#'M05-S08'!A1"/><Relationship Id="rId12" Type="http://schemas.openxmlformats.org/officeDocument/2006/relationships/hyperlink" Target="#'M05-S01'!A1"/><Relationship Id="rId17" Type="http://schemas.openxmlformats.org/officeDocument/2006/relationships/hyperlink" Target="#'M05-S03'!C44"/><Relationship Id="rId2" Type="http://schemas.openxmlformats.org/officeDocument/2006/relationships/hyperlink" Target="#'M05-S05'!A1"/><Relationship Id="rId16" Type="http://schemas.openxmlformats.org/officeDocument/2006/relationships/hyperlink" Target="#'M05-S03'!J13"/><Relationship Id="rId20" Type="http://schemas.openxmlformats.org/officeDocument/2006/relationships/hyperlink" Target="#'M03-S02'!D18"/><Relationship Id="rId1" Type="http://schemas.openxmlformats.org/officeDocument/2006/relationships/hyperlink" Target="#'M05-S04'!A1"/><Relationship Id="rId6" Type="http://schemas.openxmlformats.org/officeDocument/2006/relationships/hyperlink" Target="#'M05-S07'!A1"/><Relationship Id="rId11" Type="http://schemas.openxmlformats.org/officeDocument/2006/relationships/hyperlink" Target="#'M04-S01'!A1"/><Relationship Id="rId5" Type="http://schemas.openxmlformats.org/officeDocument/2006/relationships/hyperlink" Target="#'M05-S06'!A1"/><Relationship Id="rId15" Type="http://schemas.openxmlformats.org/officeDocument/2006/relationships/hyperlink" Target="#'M05-S03'!AE19"/><Relationship Id="rId10" Type="http://schemas.openxmlformats.org/officeDocument/2006/relationships/hyperlink" Target="#'M03-S02'!A1"/><Relationship Id="rId19" Type="http://schemas.openxmlformats.org/officeDocument/2006/relationships/hyperlink" Target="#'M03-S01'!A1"/><Relationship Id="rId4" Type="http://schemas.openxmlformats.org/officeDocument/2006/relationships/hyperlink" Target="#'M05-S02'!A1"/><Relationship Id="rId9" Type="http://schemas.openxmlformats.org/officeDocument/2006/relationships/hyperlink" Target="#'M02-S01'!A1"/><Relationship Id="rId14" Type="http://schemas.openxmlformats.org/officeDocument/2006/relationships/hyperlink" Target="#'M02-S02'!C48"/><Relationship Id="rId22" Type="http://schemas.openxmlformats.org/officeDocument/2006/relationships/image" Target="../media/image28.png"/></Relationships>
</file>

<file path=xl/drawings/_rels/drawing3.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https://q9u5x5a2.ssl.hwcdn.net/-/Media/Missouri-Site/Files/energy-efficiency/New-Construction-Handbook.pdf?la=en" TargetMode="External"/><Relationship Id="rId3" Type="http://schemas.openxmlformats.org/officeDocument/2006/relationships/hyperlink" Target="#'M01-S07'!A1"/><Relationship Id="rId7" Type="http://schemas.openxmlformats.org/officeDocument/2006/relationships/hyperlink" Target="#'M03-S01'!A1"/><Relationship Id="rId12" Type="http://schemas.openxmlformats.org/officeDocument/2006/relationships/image" Target="../media/image1.png"/><Relationship Id="rId2" Type="http://schemas.openxmlformats.org/officeDocument/2006/relationships/hyperlink" Target="#'M01-S06'!A1"/><Relationship Id="rId1" Type="http://schemas.openxmlformats.org/officeDocument/2006/relationships/hyperlink" Target="#'M01-S03'!A1"/><Relationship Id="rId6" Type="http://schemas.openxmlformats.org/officeDocument/2006/relationships/hyperlink" Target="#'M02-S01'!A1"/><Relationship Id="rId11" Type="http://schemas.openxmlformats.org/officeDocument/2006/relationships/hyperlink" Target="#'M01-S04'!A1"/><Relationship Id="rId5" Type="http://schemas.openxmlformats.org/officeDocument/2006/relationships/hyperlink" Target="#'M01-S01'!A1"/><Relationship Id="rId15" Type="http://schemas.openxmlformats.org/officeDocument/2006/relationships/hyperlink" Target="mailto:bizsavers@ameren.com" TargetMode="External"/><Relationship Id="rId10" Type="http://schemas.openxmlformats.org/officeDocument/2006/relationships/hyperlink" Target="#'M01-S02'!A1"/><Relationship Id="rId4" Type="http://schemas.openxmlformats.org/officeDocument/2006/relationships/hyperlink" Target="#'M01-S08'!A1"/><Relationship Id="rId9" Type="http://schemas.openxmlformats.org/officeDocument/2006/relationships/hyperlink" Target="#'M05-S01'!A1"/><Relationship Id="rId14" Type="http://schemas.openxmlformats.org/officeDocument/2006/relationships/hyperlink" Target="https://www.amerenmissouri.com/bizsavers" TargetMode="External"/></Relationships>
</file>

<file path=xl/drawings/_rels/drawing30.xml.rels><?xml version="1.0" encoding="UTF-8" standalone="yes"?>
<Relationships xmlns="http://schemas.openxmlformats.org/package/2006/relationships"><Relationship Id="rId8" Type="http://schemas.openxmlformats.org/officeDocument/2006/relationships/hyperlink" Target="#'M02-S01'!A1"/><Relationship Id="rId13" Type="http://schemas.openxmlformats.org/officeDocument/2006/relationships/hyperlink" Target="mailto:bizefficiency@ameren.com" TargetMode="External"/><Relationship Id="rId3" Type="http://schemas.openxmlformats.org/officeDocument/2006/relationships/hyperlink" Target="#'M05-S02'!A1"/><Relationship Id="rId7" Type="http://schemas.openxmlformats.org/officeDocument/2006/relationships/hyperlink" Target="#'M01-S01'!A1"/><Relationship Id="rId12" Type="http://schemas.openxmlformats.org/officeDocument/2006/relationships/image" Target="../media/image1.png"/><Relationship Id="rId2" Type="http://schemas.openxmlformats.org/officeDocument/2006/relationships/hyperlink" Target="#'M05-S03'!A1"/><Relationship Id="rId16" Type="http://schemas.openxmlformats.org/officeDocument/2006/relationships/hyperlink" Target="#'M05-S05'!A1"/><Relationship Id="rId1" Type="http://schemas.openxmlformats.org/officeDocument/2006/relationships/hyperlink" Target="#'M05-S04'!A1"/><Relationship Id="rId6" Type="http://schemas.openxmlformats.org/officeDocument/2006/relationships/hyperlink" Target="#'M05-S08'!A1"/><Relationship Id="rId11" Type="http://schemas.openxmlformats.org/officeDocument/2006/relationships/hyperlink" Target="#'M05-S01'!A1"/><Relationship Id="rId5" Type="http://schemas.openxmlformats.org/officeDocument/2006/relationships/hyperlink" Target="#'M05-S07'!A1"/><Relationship Id="rId15" Type="http://schemas.openxmlformats.org/officeDocument/2006/relationships/image" Target="../media/image26.png"/><Relationship Id="rId10" Type="http://schemas.openxmlformats.org/officeDocument/2006/relationships/hyperlink" Target="#'M04-S01'!A1"/><Relationship Id="rId4" Type="http://schemas.openxmlformats.org/officeDocument/2006/relationships/hyperlink" Target="#'M05-S06'!A1"/><Relationship Id="rId9" Type="http://schemas.openxmlformats.org/officeDocument/2006/relationships/hyperlink" Target="#'M03-S02'!A1"/><Relationship Id="rId14" Type="http://schemas.openxmlformats.org/officeDocument/2006/relationships/hyperlink" Target="mailto:BizSavers@ameren.com" TargetMode="External"/></Relationships>
</file>

<file path=xl/drawings/_rels/drawing31.xml.rels><?xml version="1.0" encoding="UTF-8" standalone="yes"?>
<Relationships xmlns="http://schemas.openxmlformats.org/package/2006/relationships"><Relationship Id="rId8" Type="http://schemas.openxmlformats.org/officeDocument/2006/relationships/hyperlink" Target="#'M02-S01'!A1"/><Relationship Id="rId13" Type="http://schemas.openxmlformats.org/officeDocument/2006/relationships/image" Target="../media/image28.png"/><Relationship Id="rId3" Type="http://schemas.openxmlformats.org/officeDocument/2006/relationships/hyperlink" Target="#'M05-S02'!A1"/><Relationship Id="rId7" Type="http://schemas.openxmlformats.org/officeDocument/2006/relationships/hyperlink" Target="#'M01-S01'!A1"/><Relationship Id="rId12" Type="http://schemas.openxmlformats.org/officeDocument/2006/relationships/image" Target="../media/image1.png"/><Relationship Id="rId17" Type="http://schemas.openxmlformats.org/officeDocument/2006/relationships/hyperlink" Target="#'M05-S04'!A1"/><Relationship Id="rId2" Type="http://schemas.openxmlformats.org/officeDocument/2006/relationships/hyperlink" Target="#'M05-S03'!A1"/><Relationship Id="rId16" Type="http://schemas.openxmlformats.org/officeDocument/2006/relationships/hyperlink" Target="#'M03-S01'!A1"/><Relationship Id="rId1" Type="http://schemas.openxmlformats.org/officeDocument/2006/relationships/hyperlink" Target="#'M05-S05'!A1"/><Relationship Id="rId6" Type="http://schemas.openxmlformats.org/officeDocument/2006/relationships/hyperlink" Target="#'M05-S08'!A1"/><Relationship Id="rId11" Type="http://schemas.openxmlformats.org/officeDocument/2006/relationships/hyperlink" Target="#'M05-S01'!A1"/><Relationship Id="rId5" Type="http://schemas.openxmlformats.org/officeDocument/2006/relationships/hyperlink" Target="#'M05-S07'!A1"/><Relationship Id="rId15" Type="http://schemas.openxmlformats.org/officeDocument/2006/relationships/hyperlink" Target="#'M03-S03'!A1"/><Relationship Id="rId10" Type="http://schemas.openxmlformats.org/officeDocument/2006/relationships/hyperlink" Target="#'M04-S01'!A1"/><Relationship Id="rId4" Type="http://schemas.openxmlformats.org/officeDocument/2006/relationships/hyperlink" Target="#'M05-S06'!A1"/><Relationship Id="rId9" Type="http://schemas.openxmlformats.org/officeDocument/2006/relationships/hyperlink" Target="#'M03-S02'!A1"/><Relationship Id="rId14" Type="http://schemas.openxmlformats.org/officeDocument/2006/relationships/hyperlink" Target="mailto:BizSavers@ameren.com" TargetMode="External"/></Relationships>
</file>

<file path=xl/drawings/_rels/drawing32.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image" Target="../media/image29.png"/><Relationship Id="rId18" Type="http://schemas.openxmlformats.org/officeDocument/2006/relationships/hyperlink" Target="#'M02-S04'!A1"/><Relationship Id="rId3" Type="http://schemas.openxmlformats.org/officeDocument/2006/relationships/hyperlink" Target="#'M05-S05'!A1"/><Relationship Id="rId7" Type="http://schemas.openxmlformats.org/officeDocument/2006/relationships/hyperlink" Target="#'M05-S08'!A1"/><Relationship Id="rId12" Type="http://schemas.openxmlformats.org/officeDocument/2006/relationships/hyperlink" Target="#'M05-S01'!A1"/><Relationship Id="rId17" Type="http://schemas.openxmlformats.org/officeDocument/2006/relationships/hyperlink" Target="mailto:BizSavers@ameren.com" TargetMode="External"/><Relationship Id="rId2" Type="http://schemas.openxmlformats.org/officeDocument/2006/relationships/hyperlink" Target="#'M05-S03'!A1"/><Relationship Id="rId16" Type="http://schemas.openxmlformats.org/officeDocument/2006/relationships/image" Target="../media/image28.png"/><Relationship Id="rId1" Type="http://schemas.openxmlformats.org/officeDocument/2006/relationships/hyperlink" Target="#'M05-S04'!A1"/><Relationship Id="rId6" Type="http://schemas.openxmlformats.org/officeDocument/2006/relationships/hyperlink" Target="#'M05-S07'!A1"/><Relationship Id="rId11" Type="http://schemas.openxmlformats.org/officeDocument/2006/relationships/hyperlink" Target="#'M04-S01'!A1"/><Relationship Id="rId5" Type="http://schemas.openxmlformats.org/officeDocument/2006/relationships/hyperlink" Target="#'M05-S06'!A1"/><Relationship Id="rId15" Type="http://schemas.openxmlformats.org/officeDocument/2006/relationships/image" Target="../media/image1.png"/><Relationship Id="rId10" Type="http://schemas.openxmlformats.org/officeDocument/2006/relationships/hyperlink" Target="#'M03-S02'!A1"/><Relationship Id="rId19" Type="http://schemas.openxmlformats.org/officeDocument/2006/relationships/hyperlink" Target="#'M03-S03'!A1"/><Relationship Id="rId4" Type="http://schemas.openxmlformats.org/officeDocument/2006/relationships/hyperlink" Target="#'M05-S02'!A1"/><Relationship Id="rId9" Type="http://schemas.openxmlformats.org/officeDocument/2006/relationships/hyperlink" Target="#'M02-S01'!A1"/><Relationship Id="rId14" Type="http://schemas.openxmlformats.org/officeDocument/2006/relationships/hyperlink" Target="#'M03-S01'!A1"/></Relationships>
</file>

<file path=xl/drawings/_rels/drawing33.xml.rels><?xml version="1.0" encoding="UTF-8" standalone="yes"?>
<Relationships xmlns="http://schemas.openxmlformats.org/package/2006/relationships"><Relationship Id="rId8" Type="http://schemas.openxmlformats.org/officeDocument/2006/relationships/hyperlink" Target="#'M02-S01'!A1"/><Relationship Id="rId13" Type="http://schemas.openxmlformats.org/officeDocument/2006/relationships/image" Target="../media/image1.png"/><Relationship Id="rId3" Type="http://schemas.openxmlformats.org/officeDocument/2006/relationships/hyperlink" Target="#'M05-S03'!A1"/><Relationship Id="rId7" Type="http://schemas.openxmlformats.org/officeDocument/2006/relationships/hyperlink" Target="#'M01-S01'!A1"/><Relationship Id="rId12" Type="http://schemas.openxmlformats.org/officeDocument/2006/relationships/hyperlink" Target="#'M05-S06'!A1"/><Relationship Id="rId2" Type="http://schemas.openxmlformats.org/officeDocument/2006/relationships/hyperlink" Target="#'M05-S05'!A1"/><Relationship Id="rId1" Type="http://schemas.openxmlformats.org/officeDocument/2006/relationships/hyperlink" Target="#'M05-S04'!A1"/><Relationship Id="rId6" Type="http://schemas.openxmlformats.org/officeDocument/2006/relationships/hyperlink" Target="#'M05-S07'!A1"/><Relationship Id="rId11" Type="http://schemas.openxmlformats.org/officeDocument/2006/relationships/hyperlink" Target="#'M05-S01'!A1"/><Relationship Id="rId5" Type="http://schemas.openxmlformats.org/officeDocument/2006/relationships/hyperlink" Target="#'M05-S08'!A1"/><Relationship Id="rId10" Type="http://schemas.openxmlformats.org/officeDocument/2006/relationships/hyperlink" Target="#'M04-S01'!A1"/><Relationship Id="rId4" Type="http://schemas.openxmlformats.org/officeDocument/2006/relationships/hyperlink" Target="#'M05-S02'!A1"/><Relationship Id="rId9" Type="http://schemas.openxmlformats.org/officeDocument/2006/relationships/hyperlink" Target="#'M03-S01'!A1"/></Relationships>
</file>

<file path=xl/drawings/_rels/drawing34.xml.rels><?xml version="1.0" encoding="UTF-8" standalone="yes"?>
<Relationships xmlns="http://schemas.openxmlformats.org/package/2006/relationships"><Relationship Id="rId8" Type="http://schemas.openxmlformats.org/officeDocument/2006/relationships/hyperlink" Target="#'M02-S01'!A1"/><Relationship Id="rId13" Type="http://schemas.openxmlformats.org/officeDocument/2006/relationships/image" Target="../media/image1.png"/><Relationship Id="rId3" Type="http://schemas.openxmlformats.org/officeDocument/2006/relationships/hyperlink" Target="#'M05-S03'!A1"/><Relationship Id="rId7" Type="http://schemas.openxmlformats.org/officeDocument/2006/relationships/hyperlink" Target="#'M01-S01'!A1"/><Relationship Id="rId12" Type="http://schemas.openxmlformats.org/officeDocument/2006/relationships/hyperlink" Target="#'M05-S07'!A1"/><Relationship Id="rId2" Type="http://schemas.openxmlformats.org/officeDocument/2006/relationships/hyperlink" Target="#'M05-S05'!A1"/><Relationship Id="rId1" Type="http://schemas.openxmlformats.org/officeDocument/2006/relationships/hyperlink" Target="#'M05-S04'!A1"/><Relationship Id="rId6" Type="http://schemas.openxmlformats.org/officeDocument/2006/relationships/hyperlink" Target="#'M05-S08'!A1"/><Relationship Id="rId11" Type="http://schemas.openxmlformats.org/officeDocument/2006/relationships/hyperlink" Target="#'M05-S01'!A1"/><Relationship Id="rId5" Type="http://schemas.openxmlformats.org/officeDocument/2006/relationships/hyperlink" Target="#'M05-S06'!A1"/><Relationship Id="rId10" Type="http://schemas.openxmlformats.org/officeDocument/2006/relationships/hyperlink" Target="#'M04-S01'!A1"/><Relationship Id="rId4" Type="http://schemas.openxmlformats.org/officeDocument/2006/relationships/hyperlink" Target="#'M05-S02'!A1"/><Relationship Id="rId9" Type="http://schemas.openxmlformats.org/officeDocument/2006/relationships/hyperlink" Target="#'M03-S02'!A1"/></Relationships>
</file>

<file path=xl/drawings/_rels/drawing35.xml.rels><?xml version="1.0" encoding="UTF-8" standalone="yes"?>
<Relationships xmlns="http://schemas.openxmlformats.org/package/2006/relationships"><Relationship Id="rId8" Type="http://schemas.openxmlformats.org/officeDocument/2006/relationships/hyperlink" Target="#'M05-S02'!A1"/><Relationship Id="rId13" Type="http://schemas.openxmlformats.org/officeDocument/2006/relationships/hyperlink" Target="#'M05-S07'!A1"/><Relationship Id="rId3" Type="http://schemas.openxmlformats.org/officeDocument/2006/relationships/hyperlink" Target="#'M02-S01'!A1"/><Relationship Id="rId7" Type="http://schemas.openxmlformats.org/officeDocument/2006/relationships/hyperlink" Target="#'M07-S01'!A1"/><Relationship Id="rId12" Type="http://schemas.openxmlformats.org/officeDocument/2006/relationships/hyperlink" Target="#'M05-S06'!A1"/><Relationship Id="rId2" Type="http://schemas.openxmlformats.org/officeDocument/2006/relationships/hyperlink" Target="#'M01-S01'!A1"/><Relationship Id="rId1" Type="http://schemas.openxmlformats.org/officeDocument/2006/relationships/hyperlink" Target="#'M06-S01'!A1"/><Relationship Id="rId6" Type="http://schemas.openxmlformats.org/officeDocument/2006/relationships/hyperlink" Target="#'M05-S01'!A1"/><Relationship Id="rId11" Type="http://schemas.openxmlformats.org/officeDocument/2006/relationships/hyperlink" Target="#'M05-S05'!A1"/><Relationship Id="rId5" Type="http://schemas.openxmlformats.org/officeDocument/2006/relationships/hyperlink" Target="#'M04-S01'!A1"/><Relationship Id="rId10" Type="http://schemas.openxmlformats.org/officeDocument/2006/relationships/hyperlink" Target="#'M05-S04'!A1"/><Relationship Id="rId4" Type="http://schemas.openxmlformats.org/officeDocument/2006/relationships/hyperlink" Target="#'M03-S01'!A1"/><Relationship Id="rId9" Type="http://schemas.openxmlformats.org/officeDocument/2006/relationships/hyperlink" Target="#'M05-S03'!A1"/><Relationship Id="rId14" Type="http://schemas.openxmlformats.org/officeDocument/2006/relationships/hyperlink" Target="#'M05-S08'!A1"/></Relationships>
</file>

<file path=xl/drawings/_rels/drawing4.xml.rels><?xml version="1.0" encoding="UTF-8" standalone="yes"?>
<Relationships xmlns="http://schemas.openxmlformats.org/package/2006/relationships"><Relationship Id="rId8" Type="http://schemas.openxmlformats.org/officeDocument/2006/relationships/hyperlink" Target="#'M03-S02'!A1"/><Relationship Id="rId13" Type="http://schemas.openxmlformats.org/officeDocument/2006/relationships/hyperlink" Target="https://q9u5x5a2.ssl.hwcdn.net/-/Media/Missouri-Site/Files/energy-efficiency/Standard%20incentives.pdf?la=en" TargetMode="External"/><Relationship Id="rId18" Type="http://schemas.openxmlformats.org/officeDocument/2006/relationships/hyperlink" Target="https://www.ameren.com/missouri/business/energy-efficiency/custom-incentive" TargetMode="External"/><Relationship Id="rId26" Type="http://schemas.openxmlformats.org/officeDocument/2006/relationships/hyperlink" Target="https://www.energystar.gov/buildings/facility-owners-and-managers/small-biz" TargetMode="External"/><Relationship Id="rId3" Type="http://schemas.openxmlformats.org/officeDocument/2006/relationships/hyperlink" Target="#'M01-S07'!A1"/><Relationship Id="rId21" Type="http://schemas.openxmlformats.org/officeDocument/2006/relationships/image" Target="../media/image18.png"/><Relationship Id="rId34" Type="http://schemas.openxmlformats.org/officeDocument/2006/relationships/hyperlink" Target="https://www.ameren.com/missouri/business/energy-efficiency/trade-ally-network" TargetMode="External"/><Relationship Id="rId7" Type="http://schemas.openxmlformats.org/officeDocument/2006/relationships/hyperlink" Target="#'M02-S01'!A1"/><Relationship Id="rId12" Type="http://schemas.openxmlformats.org/officeDocument/2006/relationships/image" Target="../media/image1.png"/><Relationship Id="rId17" Type="http://schemas.openxmlformats.org/officeDocument/2006/relationships/image" Target="../media/image16.png"/><Relationship Id="rId25" Type="http://schemas.openxmlformats.org/officeDocument/2006/relationships/image" Target="../media/image20.png"/><Relationship Id="rId33" Type="http://schemas.openxmlformats.org/officeDocument/2006/relationships/image" Target="../media/image24.png"/><Relationship Id="rId2" Type="http://schemas.openxmlformats.org/officeDocument/2006/relationships/hyperlink" Target="#'M01-S06'!A1"/><Relationship Id="rId16" Type="http://schemas.openxmlformats.org/officeDocument/2006/relationships/hyperlink" Target="mailto:BizSavers@ameren.com" TargetMode="External"/><Relationship Id="rId20" Type="http://schemas.openxmlformats.org/officeDocument/2006/relationships/hyperlink" Target="https://www.ameren.com/missouri/business/energy-efficiency/standard-incentive" TargetMode="External"/><Relationship Id="rId29" Type="http://schemas.openxmlformats.org/officeDocument/2006/relationships/image" Target="../media/image22.png"/><Relationship Id="rId1" Type="http://schemas.openxmlformats.org/officeDocument/2006/relationships/hyperlink" Target="#'M01-S03'!A1"/><Relationship Id="rId6" Type="http://schemas.openxmlformats.org/officeDocument/2006/relationships/hyperlink" Target="#'M01-S01'!A1"/><Relationship Id="rId11" Type="http://schemas.openxmlformats.org/officeDocument/2006/relationships/hyperlink" Target="#'M01-S02'!A1"/><Relationship Id="rId24" Type="http://schemas.openxmlformats.org/officeDocument/2006/relationships/hyperlink" Target="https://www2.ameren.com/common/login/login?target=https://www2.ameren.com/prot/common/ViewBill.aspx" TargetMode="External"/><Relationship Id="rId32" Type="http://schemas.openxmlformats.org/officeDocument/2006/relationships/hyperlink" Target="http://www.usgbc.org/articles/getting-know-leed-building-design-and-construction-bdc" TargetMode="External"/><Relationship Id="rId5" Type="http://schemas.openxmlformats.org/officeDocument/2006/relationships/hyperlink" Target="#'M01-S04'!A1"/><Relationship Id="rId15" Type="http://schemas.openxmlformats.org/officeDocument/2006/relationships/image" Target="../media/image15.png"/><Relationship Id="rId23" Type="http://schemas.openxmlformats.org/officeDocument/2006/relationships/image" Target="../media/image19.png"/><Relationship Id="rId28" Type="http://schemas.openxmlformats.org/officeDocument/2006/relationships/hyperlink" Target="https://www.sba.gov/managing-business/running-business/energy-efficiency" TargetMode="External"/><Relationship Id="rId10" Type="http://schemas.openxmlformats.org/officeDocument/2006/relationships/hyperlink" Target="#'M05-S01'!A1"/><Relationship Id="rId19" Type="http://schemas.openxmlformats.org/officeDocument/2006/relationships/image" Target="../media/image17.png"/><Relationship Id="rId31" Type="http://schemas.openxmlformats.org/officeDocument/2006/relationships/image" Target="../media/image23.png"/><Relationship Id="rId4" Type="http://schemas.openxmlformats.org/officeDocument/2006/relationships/hyperlink" Target="#'M01-S08'!A1"/><Relationship Id="rId9" Type="http://schemas.openxmlformats.org/officeDocument/2006/relationships/hyperlink" Target="#'M04-S01'!A1"/><Relationship Id="rId14" Type="http://schemas.openxmlformats.org/officeDocument/2006/relationships/hyperlink" Target="https://www.ameren.com/missouri/business/energy-efficiency/retro-commissioning" TargetMode="External"/><Relationship Id="rId22" Type="http://schemas.openxmlformats.org/officeDocument/2006/relationships/hyperlink" Target="https://www.ameren.com/missouri/business/energy-efficiency/new-construction" TargetMode="External"/><Relationship Id="rId27" Type="http://schemas.openxmlformats.org/officeDocument/2006/relationships/image" Target="../media/image21.png"/><Relationship Id="rId30" Type="http://schemas.openxmlformats.org/officeDocument/2006/relationships/hyperlink" Target="https://www.ashrae.org/" TargetMode="External"/><Relationship Id="rId35" Type="http://schemas.openxmlformats.org/officeDocument/2006/relationships/image" Target="../media/image25.png"/></Relationships>
</file>

<file path=xl/drawings/_rels/drawing5.xml.rels><?xml version="1.0" encoding="UTF-8" standalone="yes"?>
<Relationships xmlns="http://schemas.openxmlformats.org/package/2006/relationships"><Relationship Id="rId8" Type="http://schemas.openxmlformats.org/officeDocument/2006/relationships/hyperlink" Target="#'M04-S01'!A1"/><Relationship Id="rId3" Type="http://schemas.openxmlformats.org/officeDocument/2006/relationships/hyperlink" Target="#'M01-S07'!A1"/><Relationship Id="rId7" Type="http://schemas.openxmlformats.org/officeDocument/2006/relationships/hyperlink" Target="#'M03-S02'!A1"/><Relationship Id="rId12" Type="http://schemas.openxmlformats.org/officeDocument/2006/relationships/image" Target="../media/image1.png"/><Relationship Id="rId2" Type="http://schemas.openxmlformats.org/officeDocument/2006/relationships/hyperlink" Target="#'M01-S06'!A1"/><Relationship Id="rId1" Type="http://schemas.openxmlformats.org/officeDocument/2006/relationships/hyperlink" Target="#'M01-S03'!A1"/><Relationship Id="rId6" Type="http://schemas.openxmlformats.org/officeDocument/2006/relationships/hyperlink" Target="#'M01-S01'!A1"/><Relationship Id="rId11" Type="http://schemas.openxmlformats.org/officeDocument/2006/relationships/hyperlink" Target="#'M01-S05'!A1"/><Relationship Id="rId5" Type="http://schemas.openxmlformats.org/officeDocument/2006/relationships/hyperlink" Target="#'M02-S01'!A1"/><Relationship Id="rId10" Type="http://schemas.openxmlformats.org/officeDocument/2006/relationships/hyperlink" Target="#'M01-S02'!A1"/><Relationship Id="rId4" Type="http://schemas.openxmlformats.org/officeDocument/2006/relationships/hyperlink" Target="#'M01-S08'!A1"/><Relationship Id="rId9" Type="http://schemas.openxmlformats.org/officeDocument/2006/relationships/hyperlink" Target="#'M05-S01'!A1"/></Relationships>
</file>

<file path=xl/drawings/_rels/drawing6.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1-S02-2'!A1"/><Relationship Id="rId3" Type="http://schemas.openxmlformats.org/officeDocument/2006/relationships/hyperlink" Target="#'M01-S08'!A1"/><Relationship Id="rId7" Type="http://schemas.openxmlformats.org/officeDocument/2006/relationships/hyperlink" Target="#'M03-S02'!A1"/><Relationship Id="rId12" Type="http://schemas.openxmlformats.org/officeDocument/2006/relationships/hyperlink" Target="#'M01-S05'!A1"/><Relationship Id="rId2" Type="http://schemas.openxmlformats.org/officeDocument/2006/relationships/hyperlink" Target="#'M01-S07'!A1"/><Relationship Id="rId1" Type="http://schemas.openxmlformats.org/officeDocument/2006/relationships/hyperlink" Target="#'M01-S06'!A1"/><Relationship Id="rId6" Type="http://schemas.openxmlformats.org/officeDocument/2006/relationships/hyperlink" Target="#'M02-S01'!A1"/><Relationship Id="rId11" Type="http://schemas.openxmlformats.org/officeDocument/2006/relationships/hyperlink" Target="#'M01-S03'!A1"/><Relationship Id="rId5" Type="http://schemas.openxmlformats.org/officeDocument/2006/relationships/hyperlink" Target="#'M01-S01'!A1"/><Relationship Id="rId10" Type="http://schemas.openxmlformats.org/officeDocument/2006/relationships/hyperlink" Target="#'M01-S02'!A1"/><Relationship Id="rId4" Type="http://schemas.openxmlformats.org/officeDocument/2006/relationships/hyperlink" Target="#'M01-S04'!A1"/><Relationship Id="rId9" Type="http://schemas.openxmlformats.org/officeDocument/2006/relationships/hyperlink" Target="#'M05-S01'!A1"/><Relationship Id="rId14"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hyperlink" Target="#'M01-S03'!A1"/><Relationship Id="rId3" Type="http://schemas.openxmlformats.org/officeDocument/2006/relationships/hyperlink" Target="#'M02-S01'!A1"/><Relationship Id="rId7" Type="http://schemas.openxmlformats.org/officeDocument/2006/relationships/hyperlink" Target="#'M01-S02'!A1"/><Relationship Id="rId12" Type="http://schemas.openxmlformats.org/officeDocument/2006/relationships/hyperlink" Target="#'M01-S08'!A1"/><Relationship Id="rId2" Type="http://schemas.openxmlformats.org/officeDocument/2006/relationships/hyperlink" Target="#'M01-S01'!A1"/><Relationship Id="rId1" Type="http://schemas.openxmlformats.org/officeDocument/2006/relationships/hyperlink" Target="#'M01-S07'!A1"/><Relationship Id="rId6" Type="http://schemas.openxmlformats.org/officeDocument/2006/relationships/hyperlink" Target="#'M05-S01'!A1"/><Relationship Id="rId11" Type="http://schemas.openxmlformats.org/officeDocument/2006/relationships/hyperlink" Target="#'M01-S06'!A1"/><Relationship Id="rId5" Type="http://schemas.openxmlformats.org/officeDocument/2006/relationships/hyperlink" Target="#'M04-S01'!A1"/><Relationship Id="rId10" Type="http://schemas.openxmlformats.org/officeDocument/2006/relationships/hyperlink" Target="#'M01-S05'!A1"/><Relationship Id="rId4" Type="http://schemas.openxmlformats.org/officeDocument/2006/relationships/hyperlink" Target="#'M03-S02'!A1"/><Relationship Id="rId9" Type="http://schemas.openxmlformats.org/officeDocument/2006/relationships/hyperlink" Target="#'M01-S04'!A1"/></Relationships>
</file>

<file path=xl/drawings/_rels/drawing8.xml.rels><?xml version="1.0" encoding="UTF-8" standalone="yes"?>
<Relationships xmlns="http://schemas.openxmlformats.org/package/2006/relationships"><Relationship Id="rId8" Type="http://schemas.openxmlformats.org/officeDocument/2006/relationships/hyperlink" Target="#'M03-S02'!A1"/><Relationship Id="rId13" Type="http://schemas.openxmlformats.org/officeDocument/2006/relationships/hyperlink" Target="#'M01-S05'!A1"/><Relationship Id="rId3" Type="http://schemas.openxmlformats.org/officeDocument/2006/relationships/hyperlink" Target="#'M02-S07'!A1"/><Relationship Id="rId7" Type="http://schemas.openxmlformats.org/officeDocument/2006/relationships/hyperlink" Target="#'M02-S01'!A1"/><Relationship Id="rId12" Type="http://schemas.openxmlformats.org/officeDocument/2006/relationships/hyperlink" Target="#'M02-S04'!A1"/><Relationship Id="rId2" Type="http://schemas.openxmlformats.org/officeDocument/2006/relationships/hyperlink" Target="#'M02-S06'!A1"/><Relationship Id="rId1" Type="http://schemas.openxmlformats.org/officeDocument/2006/relationships/hyperlink" Target="#'M02-S05'!A1"/><Relationship Id="rId6" Type="http://schemas.openxmlformats.org/officeDocument/2006/relationships/hyperlink" Target="#'M01-S01'!A1"/><Relationship Id="rId11" Type="http://schemas.openxmlformats.org/officeDocument/2006/relationships/hyperlink" Target="#'M02-S03'!A1"/><Relationship Id="rId5" Type="http://schemas.openxmlformats.org/officeDocument/2006/relationships/hyperlink" Target="#'M02-S02'!A1"/><Relationship Id="rId15" Type="http://schemas.openxmlformats.org/officeDocument/2006/relationships/hyperlink" Target="http://www.tradeallynetwork.com/wp-content/uploads/Ameren-Missouri-BizSavers-Incentive-Application-Program-Terms-Conditions-7.1.20.pdf" TargetMode="External"/><Relationship Id="rId10" Type="http://schemas.openxmlformats.org/officeDocument/2006/relationships/hyperlink" Target="#'M05-S01'!A1"/><Relationship Id="rId4" Type="http://schemas.openxmlformats.org/officeDocument/2006/relationships/hyperlink" Target="#'M02-S08'!A1"/><Relationship Id="rId9" Type="http://schemas.openxmlformats.org/officeDocument/2006/relationships/hyperlink" Target="#'M04-S01'!A1"/><Relationship Id="rId14"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image" Target="../media/image1.png"/><Relationship Id="rId3" Type="http://schemas.openxmlformats.org/officeDocument/2006/relationships/hyperlink" Target="#'M02-S07'!A1"/><Relationship Id="rId7" Type="http://schemas.openxmlformats.org/officeDocument/2006/relationships/hyperlink" Target="#'M02-S01'!A1"/><Relationship Id="rId12" Type="http://schemas.openxmlformats.org/officeDocument/2006/relationships/hyperlink" Target="#'M02-S04'!A1"/><Relationship Id="rId2" Type="http://schemas.openxmlformats.org/officeDocument/2006/relationships/hyperlink" Target="#'M02-S06'!A1"/><Relationship Id="rId1" Type="http://schemas.openxmlformats.org/officeDocument/2006/relationships/hyperlink" Target="#'M02-S05'!A1"/><Relationship Id="rId6" Type="http://schemas.openxmlformats.org/officeDocument/2006/relationships/hyperlink" Target="#'M01-S01'!A1"/><Relationship Id="rId11" Type="http://schemas.openxmlformats.org/officeDocument/2006/relationships/hyperlink" Target="#'M02-S02'!A1"/><Relationship Id="rId5" Type="http://schemas.openxmlformats.org/officeDocument/2006/relationships/hyperlink" Target="#'M02-S03'!A1"/><Relationship Id="rId10" Type="http://schemas.openxmlformats.org/officeDocument/2006/relationships/hyperlink" Target="#'M05-S01'!A1"/><Relationship Id="rId4" Type="http://schemas.openxmlformats.org/officeDocument/2006/relationships/hyperlink" Target="#'M02-S08'!A1"/><Relationship Id="rId9" Type="http://schemas.openxmlformats.org/officeDocument/2006/relationships/hyperlink" Target="#'M04-S01'!A1"/></Relationships>
</file>

<file path=xl/drawings/drawing1.xml><?xml version="1.0" encoding="utf-8"?>
<xdr:wsDr xmlns:xdr="http://schemas.openxmlformats.org/drawingml/2006/spreadsheetDrawing" xmlns:a="http://schemas.openxmlformats.org/drawingml/2006/main">
  <xdr:twoCellAnchor>
    <xdr:from>
      <xdr:col>22</xdr:col>
      <xdr:colOff>13764</xdr:colOff>
      <xdr:row>4</xdr:row>
      <xdr:rowOff>200705</xdr:rowOff>
    </xdr:from>
    <xdr:to>
      <xdr:col>27</xdr:col>
      <xdr:colOff>13764</xdr:colOff>
      <xdr:row>7</xdr:row>
      <xdr:rowOff>0</xdr:rowOff>
    </xdr:to>
    <xdr:sp macro="" textlink="M1S3">
      <xdr:nvSpPr>
        <xdr:cNvPr id="13" name="SUBMENU3">
          <a:hlinkClick xmlns:r="http://schemas.openxmlformats.org/officeDocument/2006/relationships" r:id="rId1"/>
          <a:extLst>
            <a:ext uri="{FF2B5EF4-FFF2-40B4-BE49-F238E27FC236}">
              <a16:creationId xmlns:a16="http://schemas.microsoft.com/office/drawing/2014/main" id="{00000000-0008-0000-0800-00000D000000}"/>
            </a:ext>
          </a:extLst>
        </xdr:cNvPr>
        <xdr:cNvSpPr/>
      </xdr:nvSpPr>
      <xdr:spPr>
        <a:xfrm>
          <a:off x="6916588" y="1007529"/>
          <a:ext cx="1568823" cy="40441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Information Links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2"/>
          <a:extLst>
            <a:ext uri="{FF2B5EF4-FFF2-40B4-BE49-F238E27FC236}">
              <a16:creationId xmlns:a16="http://schemas.microsoft.com/office/drawing/2014/main" id="{00000000-0008-0000-0800-000010000000}"/>
            </a:ext>
          </a:extLst>
        </xdr:cNvPr>
        <xdr:cNvSpPr/>
      </xdr:nvSpPr>
      <xdr:spPr>
        <a:xfrm>
          <a:off x="8471647" y="1007529"/>
          <a:ext cx="1571689"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3"/>
          <a:extLst>
            <a:ext uri="{FF2B5EF4-FFF2-40B4-BE49-F238E27FC236}">
              <a16:creationId xmlns:a16="http://schemas.microsoft.com/office/drawing/2014/main" id="{00000000-0008-0000-0800-000011000000}"/>
            </a:ext>
          </a:extLst>
        </xdr:cNvPr>
        <xdr:cNvSpPr/>
      </xdr:nvSpPr>
      <xdr:spPr>
        <a:xfrm>
          <a:off x="10043336" y="1007529"/>
          <a:ext cx="1568678" cy="404412"/>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4"/>
          <a:extLst>
            <a:ext uri="{FF2B5EF4-FFF2-40B4-BE49-F238E27FC236}">
              <a16:creationId xmlns:a16="http://schemas.microsoft.com/office/drawing/2014/main" id="{00000000-0008-0000-0800-000012000000}"/>
            </a:ext>
          </a:extLst>
        </xdr:cNvPr>
        <xdr:cNvSpPr/>
      </xdr:nvSpPr>
      <xdr:spPr>
        <a:xfrm>
          <a:off x="11612014" y="1007529"/>
          <a:ext cx="1566104" cy="404412"/>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a:extLst>
            <a:ext uri="{FF2B5EF4-FFF2-40B4-BE49-F238E27FC236}">
              <a16:creationId xmlns:a16="http://schemas.microsoft.com/office/drawing/2014/main" id="{00000000-0008-0000-0800-000002000000}"/>
            </a:ext>
          </a:extLst>
        </xdr:cNvPr>
        <xdr:cNvSpPr>
          <a:spLocks noChangeAspect="1"/>
        </xdr:cNvSpPr>
      </xdr:nvSpPr>
      <xdr:spPr>
        <a:xfrm>
          <a:off x="12864353" y="1816400"/>
          <a:ext cx="626960" cy="403411"/>
        </a:xfrm>
        <a:prstGeom prst="rightArrow">
          <a:avLst/>
        </a:prstGeom>
        <a:solidFill>
          <a:srgbClr val="1B6CB5"/>
        </a:solidFill>
        <a:effectLst/>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6"/>
          <a:extLst>
            <a:ext uri="{FF2B5EF4-FFF2-40B4-BE49-F238E27FC236}">
              <a16:creationId xmlns:a16="http://schemas.microsoft.com/office/drawing/2014/main" id="{00000000-0008-0000-0800-000003000000}"/>
            </a:ext>
          </a:extLst>
        </xdr:cNvPr>
        <xdr:cNvSpPr/>
      </xdr:nvSpPr>
      <xdr:spPr>
        <a:xfrm>
          <a:off x="2199361" y="335057"/>
          <a:ext cx="1568366" cy="605118"/>
        </a:xfrm>
        <a:prstGeom prst="round2SameRect">
          <a:avLst/>
        </a:prstGeom>
        <a:solidFill>
          <a:srgbClr val="F3901D"/>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START</a:t>
          </a:fld>
          <a:endParaRPr lang="en-US" sz="1100" b="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1</xdr:row>
      <xdr:rowOff>0</xdr:rowOff>
    </xdr:from>
    <xdr:to>
      <xdr:col>17</xdr:col>
      <xdr:colOff>2551</xdr:colOff>
      <xdr:row>4</xdr:row>
      <xdr:rowOff>0</xdr:rowOff>
    </xdr:to>
    <xdr:sp macro="" textlink="MAIN2">
      <xdr:nvSpPr>
        <xdr:cNvPr id="4" name="MENU2">
          <a:hlinkClick xmlns:r="http://schemas.openxmlformats.org/officeDocument/2006/relationships" r:id="rId7"/>
          <a:extLst>
            <a:ext uri="{FF2B5EF4-FFF2-40B4-BE49-F238E27FC236}">
              <a16:creationId xmlns:a16="http://schemas.microsoft.com/office/drawing/2014/main" id="{00000000-0008-0000-0800-000004000000}"/>
            </a:ext>
          </a:extLst>
        </xdr:cNvPr>
        <xdr:cNvSpPr/>
      </xdr:nvSpPr>
      <xdr:spPr>
        <a:xfrm>
          <a:off x="3767727" y="201706"/>
          <a:ext cx="1568824" cy="605118"/>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hidden="1">
          <a:hlinkClick xmlns:r="http://schemas.openxmlformats.org/officeDocument/2006/relationships" r:id="rId8"/>
          <a:extLst>
            <a:ext uri="{FF2B5EF4-FFF2-40B4-BE49-F238E27FC236}">
              <a16:creationId xmlns:a16="http://schemas.microsoft.com/office/drawing/2014/main" id="{00000000-0008-0000-0800-000005000000}"/>
            </a:ext>
          </a:extLst>
        </xdr:cNvPr>
        <xdr:cNvSpPr/>
      </xdr:nvSpPr>
      <xdr:spPr>
        <a:xfrm>
          <a:off x="5334000" y="201706"/>
          <a:ext cx="1568824" cy="605118"/>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CODE-BASELINE MEASURES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9"/>
          <a:extLst>
            <a:ext uri="{FF2B5EF4-FFF2-40B4-BE49-F238E27FC236}">
              <a16:creationId xmlns:a16="http://schemas.microsoft.com/office/drawing/2014/main" id="{00000000-0008-0000-0800-000006000000}"/>
            </a:ext>
          </a:extLst>
        </xdr:cNvPr>
        <xdr:cNvSpPr/>
      </xdr:nvSpPr>
      <xdr:spPr>
        <a:xfrm>
          <a:off x="6902824" y="201706"/>
          <a:ext cx="1568823" cy="605118"/>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PRE-APPROVAL MEASURES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hidden="1">
          <a:hlinkClick xmlns:r="http://schemas.openxmlformats.org/officeDocument/2006/relationships" r:id="rId10"/>
          <a:extLst>
            <a:ext uri="{FF2B5EF4-FFF2-40B4-BE49-F238E27FC236}">
              <a16:creationId xmlns:a16="http://schemas.microsoft.com/office/drawing/2014/main" id="{00000000-0008-0000-0800-000007000000}"/>
            </a:ext>
          </a:extLst>
        </xdr:cNvPr>
        <xdr:cNvSpPr/>
      </xdr:nvSpPr>
      <xdr:spPr>
        <a:xfrm>
          <a:off x="8471647" y="201706"/>
          <a:ext cx="1568824" cy="605118"/>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32</xdr:col>
      <xdr:colOff>2865</xdr:colOff>
      <xdr:row>1</xdr:row>
      <xdr:rowOff>4091</xdr:rowOff>
    </xdr:from>
    <xdr:to>
      <xdr:col>37</xdr:col>
      <xdr:colOff>2866</xdr:colOff>
      <xdr:row>4</xdr:row>
      <xdr:rowOff>4091</xdr:rowOff>
    </xdr:to>
    <xdr:sp macro="" textlink="MAIN6">
      <xdr:nvSpPr>
        <xdr:cNvPr id="8" name="MENU6">
          <a:extLst>
            <a:ext uri="{FF2B5EF4-FFF2-40B4-BE49-F238E27FC236}">
              <a16:creationId xmlns:a16="http://schemas.microsoft.com/office/drawing/2014/main" id="{00000000-0008-0000-0800-000008000000}"/>
            </a:ext>
          </a:extLst>
        </xdr:cNvPr>
        <xdr:cNvSpPr/>
      </xdr:nvSpPr>
      <xdr:spPr>
        <a:xfrm>
          <a:off x="10043336" y="205797"/>
          <a:ext cx="1568824" cy="605118"/>
        </a:xfrm>
        <a:prstGeom prst="round2SameRect">
          <a:avLst/>
        </a:prstGeom>
        <a:noFill/>
        <a:ln w="25400">
          <a:noFill/>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NEXT STEPS</a:t>
          </a:fld>
          <a:endParaRPr lang="en-US" sz="1100">
            <a:noFill/>
            <a:latin typeface="Arial" panose="020B0604020202020204" pitchFamily="34" charset="0"/>
            <a:cs typeface="Arial" panose="020B0604020202020204" pitchFamily="34" charset="0"/>
          </a:endParaRPr>
        </a:p>
      </xdr:txBody>
    </xdr:sp>
    <xdr:clientData/>
  </xdr:twoCellAnchor>
  <xdr:twoCellAnchor editAs="absolute">
    <xdr:from>
      <xdr:col>37</xdr:col>
      <xdr:colOff>2866</xdr:colOff>
      <xdr:row>1</xdr:row>
      <xdr:rowOff>4090</xdr:rowOff>
    </xdr:from>
    <xdr:to>
      <xdr:col>42</xdr:col>
      <xdr:colOff>2866</xdr:colOff>
      <xdr:row>4</xdr:row>
      <xdr:rowOff>4090</xdr:rowOff>
    </xdr:to>
    <xdr:sp macro="" textlink="MAIN7">
      <xdr:nvSpPr>
        <xdr:cNvPr id="9" name="MENU7">
          <a:extLst>
            <a:ext uri="{FF2B5EF4-FFF2-40B4-BE49-F238E27FC236}">
              <a16:creationId xmlns:a16="http://schemas.microsoft.com/office/drawing/2014/main" id="{00000000-0008-0000-0800-000009000000}"/>
            </a:ext>
          </a:extLst>
        </xdr:cNvPr>
        <xdr:cNvSpPr/>
      </xdr:nvSpPr>
      <xdr:spPr>
        <a:xfrm>
          <a:off x="11612160" y="205796"/>
          <a:ext cx="1568824" cy="605118"/>
        </a:xfrm>
        <a:prstGeom prst="round2SameRect">
          <a:avLst/>
        </a:prstGeom>
        <a:noFill/>
        <a:ln w="25400" cap="flat" cmpd="sng" algn="ctr">
          <a:noFill/>
          <a:prstDash val="solid"/>
          <a:miter lim="800000"/>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0800-00000A000000}"/>
            </a:ext>
          </a:extLst>
        </xdr:cNvPr>
        <xdr:cNvSpPr/>
      </xdr:nvSpPr>
      <xdr:spPr>
        <a:xfrm>
          <a:off x="313765" y="806825"/>
          <a:ext cx="13503088" cy="605116"/>
        </a:xfrm>
        <a:prstGeom prst="round2SameRect">
          <a:avLst/>
        </a:prstGeom>
        <a:solidFill>
          <a:srgbClr val="F3901D"/>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1S1">
      <xdr:nvSpPr>
        <xdr:cNvPr id="11" name="SUBMENU1">
          <a:hlinkClick xmlns:r="http://schemas.openxmlformats.org/officeDocument/2006/relationships" r:id="rId6"/>
          <a:extLst>
            <a:ext uri="{FF2B5EF4-FFF2-40B4-BE49-F238E27FC236}">
              <a16:creationId xmlns:a16="http://schemas.microsoft.com/office/drawing/2014/main" id="{00000000-0008-0000-0800-00000B000000}"/>
            </a:ext>
          </a:extLst>
        </xdr:cNvPr>
        <xdr:cNvSpPr/>
      </xdr:nvSpPr>
      <xdr:spPr>
        <a:xfrm>
          <a:off x="630249" y="1059329"/>
          <a:ext cx="1566561" cy="401214"/>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75590B8-5031-4E33-8C48-A03FAAA6E8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Welcome</a:t>
          </a:fld>
          <a:endParaRPr lang="en-US" sz="1100" b="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1S2">
      <xdr:nvSpPr>
        <xdr:cNvPr id="12" name="SUBMENU2" hidden="1">
          <a:hlinkClick xmlns:r="http://schemas.openxmlformats.org/officeDocument/2006/relationships" r:id="rId5"/>
          <a:extLst>
            <a:ext uri="{FF2B5EF4-FFF2-40B4-BE49-F238E27FC236}">
              <a16:creationId xmlns:a16="http://schemas.microsoft.com/office/drawing/2014/main" id="{00000000-0008-0000-0800-00000C000000}"/>
            </a:ext>
          </a:extLst>
        </xdr:cNvPr>
        <xdr:cNvSpPr/>
      </xdr:nvSpPr>
      <xdr:spPr>
        <a:xfrm>
          <a:off x="2198904" y="1007529"/>
          <a:ext cx="1568822" cy="40441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Construction Handbook</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0</xdr:colOff>
      <xdr:row>5</xdr:row>
      <xdr:rowOff>680</xdr:rowOff>
    </xdr:from>
    <xdr:to>
      <xdr:col>11</xdr:col>
      <xdr:colOff>314324</xdr:colOff>
      <xdr:row>7</xdr:row>
      <xdr:rowOff>0</xdr:rowOff>
    </xdr:to>
    <xdr:sp macro="" textlink="M1S3">
      <xdr:nvSpPr>
        <xdr:cNvPr id="14" name="SUBMENU4">
          <a:hlinkClick xmlns:r="http://schemas.openxmlformats.org/officeDocument/2006/relationships" r:id="rId1"/>
          <a:extLst>
            <a:ext uri="{FF2B5EF4-FFF2-40B4-BE49-F238E27FC236}">
              <a16:creationId xmlns:a16="http://schemas.microsoft.com/office/drawing/2014/main" id="{00000000-0008-0000-0800-00000E000000}"/>
            </a:ext>
          </a:extLst>
        </xdr:cNvPr>
        <xdr:cNvSpPr/>
      </xdr:nvSpPr>
      <xdr:spPr>
        <a:xfrm>
          <a:off x="2200275"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A667672-049C-4ECF-8D15-1136C8660D0D}" type="TxLink">
            <a:rPr lang="en-US" sz="1100" b="0" i="0" u="none" strike="noStrike">
              <a:solidFill>
                <a:schemeClr val="bg1"/>
              </a:solidFill>
              <a:latin typeface="Arial" panose="020B0604020202020204" pitchFamily="34" charset="0"/>
              <a:cs typeface="Arial" panose="020B0604020202020204" pitchFamily="34" charset="0"/>
            </a:rPr>
            <a:pPr algn="ctr"/>
            <a:t>Information Links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314324</xdr:colOff>
      <xdr:row>5</xdr:row>
      <xdr:rowOff>0</xdr:rowOff>
    </xdr:from>
    <xdr:to>
      <xdr:col>16</xdr:col>
      <xdr:colOff>314321</xdr:colOff>
      <xdr:row>6</xdr:row>
      <xdr:rowOff>199345</xdr:rowOff>
    </xdr:to>
    <xdr:sp macro="" textlink="M1S4">
      <xdr:nvSpPr>
        <xdr:cNvPr id="15" name="SUBMENU5">
          <a:hlinkClick xmlns:r="http://schemas.openxmlformats.org/officeDocument/2006/relationships" r:id="rId11"/>
          <a:extLst>
            <a:ext uri="{FF2B5EF4-FFF2-40B4-BE49-F238E27FC236}">
              <a16:creationId xmlns:a16="http://schemas.microsoft.com/office/drawing/2014/main" id="{00000000-0008-0000-0800-00000F000000}"/>
            </a:ext>
          </a:extLst>
        </xdr:cNvPr>
        <xdr:cNvSpPr/>
      </xdr:nvSpPr>
      <xdr:spPr>
        <a:xfrm>
          <a:off x="3771899" y="1000125"/>
          <a:ext cx="1571622"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474BD34-0C13-4A3E-8B9A-76DA485706EC}" type="TxLink">
            <a:rPr lang="en-US" sz="1100" b="0" i="0" u="none" strike="noStrike">
              <a:solidFill>
                <a:schemeClr val="bg1"/>
              </a:solidFill>
              <a:latin typeface="Arial" panose="020B0604020202020204" pitchFamily="34" charset="0"/>
              <a:cs typeface="Arial" panose="020B0604020202020204" pitchFamily="34" charset="0"/>
            </a:rPr>
            <a:pPr algn="ctr"/>
            <a:t>Operating Hours Calculator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8</xdr:row>
      <xdr:rowOff>0</xdr:rowOff>
    </xdr:from>
    <xdr:to>
      <xdr:col>44</xdr:col>
      <xdr:colOff>0</xdr:colOff>
      <xdr:row>62</xdr:row>
      <xdr:rowOff>0</xdr:rowOff>
    </xdr:to>
    <xdr:sp macro="" textlink="">
      <xdr:nvSpPr>
        <xdr:cNvPr id="19" name="BORDER">
          <a:extLst>
            <a:ext uri="{FF2B5EF4-FFF2-40B4-BE49-F238E27FC236}">
              <a16:creationId xmlns:a16="http://schemas.microsoft.com/office/drawing/2014/main" id="{00000000-0008-0000-0800-000013000000}"/>
            </a:ext>
          </a:extLst>
        </xdr:cNvPr>
        <xdr:cNvSpPr/>
      </xdr:nvSpPr>
      <xdr:spPr>
        <a:xfrm>
          <a:off x="314323" y="1613647"/>
          <a:ext cx="13502530" cy="5446059"/>
        </a:xfrm>
        <a:prstGeom prst="frame">
          <a:avLst>
            <a:gd name="adj1" fmla="val 97"/>
          </a:avLst>
        </a:prstGeom>
        <a:noFill/>
        <a:ln w="12700" cap="flat" cmpd="sng" algn="ctr">
          <a:solidFill>
            <a:srgbClr val="1B6CB5"/>
          </a:solid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800-000015000000}"/>
            </a:ext>
          </a:extLst>
        </xdr:cNvPr>
        <xdr:cNvSpPr/>
      </xdr:nvSpPr>
      <xdr:spPr>
        <a:xfrm>
          <a:off x="314325" y="1400175"/>
          <a:ext cx="13525500" cy="200025"/>
        </a:xfrm>
        <a:prstGeom prst="rect">
          <a:avLst/>
        </a:prstGeom>
        <a:solidFill>
          <a:srgbClr val="1B6CB5"/>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39</xdr:col>
      <xdr:colOff>6436</xdr:colOff>
      <xdr:row>8</xdr:row>
      <xdr:rowOff>192815</xdr:rowOff>
    </xdr:from>
    <xdr:to>
      <xdr:col>41</xdr:col>
      <xdr:colOff>6282</xdr:colOff>
      <xdr:row>10</xdr:row>
      <xdr:rowOff>192785</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12243260" y="1806462"/>
          <a:ext cx="627375" cy="403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lstStyle/>
        <a:p>
          <a:pPr algn="ctr"/>
          <a:r>
            <a:rPr lang="en-US" sz="1200" b="1">
              <a:solidFill>
                <a:srgbClr val="00334E"/>
              </a:solidFill>
            </a:rPr>
            <a:t>START</a:t>
          </a:r>
        </a:p>
        <a:p>
          <a:pPr algn="ctr"/>
          <a:r>
            <a:rPr lang="en-US" sz="1200" b="1">
              <a:solidFill>
                <a:srgbClr val="00334E"/>
              </a:solidFill>
            </a:rPr>
            <a:t>HERE</a:t>
          </a: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66" name="LOGO">
          <a:extLst>
            <a:ext uri="{FF2B5EF4-FFF2-40B4-BE49-F238E27FC236}">
              <a16:creationId xmlns:a16="http://schemas.microsoft.com/office/drawing/2014/main" id="{00000000-0008-0000-0800-000042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xdr:twoCellAnchor>
    <xdr:from>
      <xdr:col>38</xdr:col>
      <xdr:colOff>0</xdr:colOff>
      <xdr:row>1</xdr:row>
      <xdr:rowOff>0</xdr:rowOff>
    </xdr:from>
    <xdr:to>
      <xdr:col>43</xdr:col>
      <xdr:colOff>0</xdr:colOff>
      <xdr:row>4</xdr:row>
      <xdr:rowOff>0</xdr:rowOff>
    </xdr:to>
    <xdr:sp macro="" textlink="MAIN7">
      <xdr:nvSpPr>
        <xdr:cNvPr id="89" name="MENU7">
          <a:extLst>
            <a:ext uri="{FF2B5EF4-FFF2-40B4-BE49-F238E27FC236}">
              <a16:creationId xmlns:a16="http://schemas.microsoft.com/office/drawing/2014/main" id="{00000000-0008-0000-0800-000059000000}"/>
            </a:ext>
          </a:extLst>
        </xdr:cNvPr>
        <xdr:cNvSpPr/>
      </xdr:nvSpPr>
      <xdr:spPr>
        <a:xfrm>
          <a:off x="11923059" y="201706"/>
          <a:ext cx="1568823" cy="605118"/>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FORM4</a:t>
          </a:fld>
          <a:endParaRPr lang="en-US" sz="1100">
            <a:noFill/>
          </a:endParaRPr>
        </a:p>
      </xdr:txBody>
    </xdr:sp>
    <xdr:clientData/>
  </xdr:twoCellAnchor>
  <xdr:twoCellAnchor>
    <xdr:from>
      <xdr:col>37</xdr:col>
      <xdr:colOff>129161</xdr:colOff>
      <xdr:row>22</xdr:row>
      <xdr:rowOff>152636</xdr:rowOff>
    </xdr:from>
    <xdr:to>
      <xdr:col>42</xdr:col>
      <xdr:colOff>175460</xdr:colOff>
      <xdr:row>23</xdr:row>
      <xdr:rowOff>120316</xdr:rowOff>
    </xdr:to>
    <xdr:sp macro="" textlink="">
      <xdr:nvSpPr>
        <xdr:cNvPr id="25" name="Rectangle 24">
          <a:hlinkClick xmlns:r="http://schemas.openxmlformats.org/officeDocument/2006/relationships" r:id="rId13"/>
          <a:extLst>
            <a:ext uri="{FF2B5EF4-FFF2-40B4-BE49-F238E27FC236}">
              <a16:creationId xmlns:a16="http://schemas.microsoft.com/office/drawing/2014/main" id="{00000000-0008-0000-0800-000019000000}"/>
            </a:ext>
          </a:extLst>
        </xdr:cNvPr>
        <xdr:cNvSpPr/>
      </xdr:nvSpPr>
      <xdr:spPr>
        <a:xfrm>
          <a:off x="11738455" y="4590165"/>
          <a:ext cx="1615123" cy="1693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40" name="NEXT">
          <a:hlinkClick xmlns:r="http://schemas.openxmlformats.org/officeDocument/2006/relationships" r:id="rId1"/>
          <a:extLst>
            <a:ext uri="{FF2B5EF4-FFF2-40B4-BE49-F238E27FC236}">
              <a16:creationId xmlns:a16="http://schemas.microsoft.com/office/drawing/2014/main" id="{00000000-0008-0000-0800-000028000000}"/>
            </a:ext>
          </a:extLst>
        </xdr:cNvPr>
        <xdr:cNvSpPr>
          <a:spLocks noChangeAspect="1"/>
        </xdr:cNvSpPr>
      </xdr:nvSpPr>
      <xdr:spPr>
        <a:xfrm>
          <a:off x="12864353" y="1816400"/>
          <a:ext cx="626960" cy="403411"/>
        </a:xfrm>
        <a:prstGeom prst="rightArrow">
          <a:avLst/>
        </a:prstGeom>
        <a:solidFill>
          <a:srgbClr val="1B6CB5"/>
        </a:solidFill>
        <a:effectLst/>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39</xdr:col>
      <xdr:colOff>6436</xdr:colOff>
      <xdr:row>8</xdr:row>
      <xdr:rowOff>192815</xdr:rowOff>
    </xdr:from>
    <xdr:to>
      <xdr:col>41</xdr:col>
      <xdr:colOff>6282</xdr:colOff>
      <xdr:row>10</xdr:row>
      <xdr:rowOff>192785</xdr:rowOff>
    </xdr:to>
    <xdr:sp macro="" textlink="">
      <xdr:nvSpPr>
        <xdr:cNvPr id="41" name="TextBox 40">
          <a:extLst>
            <a:ext uri="{FF2B5EF4-FFF2-40B4-BE49-F238E27FC236}">
              <a16:creationId xmlns:a16="http://schemas.microsoft.com/office/drawing/2014/main" id="{00000000-0008-0000-0800-000029000000}"/>
            </a:ext>
          </a:extLst>
        </xdr:cNvPr>
        <xdr:cNvSpPr txBox="1"/>
      </xdr:nvSpPr>
      <xdr:spPr>
        <a:xfrm>
          <a:off x="12243260" y="1806462"/>
          <a:ext cx="627375" cy="403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lstStyle/>
        <a:p>
          <a:pPr algn="ctr"/>
          <a:r>
            <a:rPr lang="en-US" sz="1200" b="1">
              <a:solidFill>
                <a:srgbClr val="00334E"/>
              </a:solidFill>
            </a:rPr>
            <a:t>START</a:t>
          </a:r>
        </a:p>
        <a:p>
          <a:pPr algn="ctr"/>
          <a:r>
            <a:rPr lang="en-US" sz="1200" b="1">
              <a:solidFill>
                <a:srgbClr val="00334E"/>
              </a:solidFill>
            </a:rPr>
            <a:t>HERE</a:t>
          </a:r>
        </a:p>
      </xdr:txBody>
    </xdr:sp>
    <xdr:clientData/>
  </xdr:twoCellAnchor>
  <xdr:twoCellAnchor>
    <xdr:from>
      <xdr:col>2</xdr:col>
      <xdr:colOff>19050</xdr:colOff>
      <xdr:row>12</xdr:row>
      <xdr:rowOff>0</xdr:rowOff>
    </xdr:from>
    <xdr:to>
      <xdr:col>15</xdr:col>
      <xdr:colOff>11767</xdr:colOff>
      <xdr:row>19</xdr:row>
      <xdr:rowOff>11766</xdr:rowOff>
    </xdr:to>
    <xdr:grpSp>
      <xdr:nvGrpSpPr>
        <xdr:cNvPr id="45" name="READY">
          <a:extLst>
            <a:ext uri="{FF2B5EF4-FFF2-40B4-BE49-F238E27FC236}">
              <a16:creationId xmlns:a16="http://schemas.microsoft.com/office/drawing/2014/main" id="{00000000-0008-0000-0800-00002D000000}"/>
            </a:ext>
          </a:extLst>
        </xdr:cNvPr>
        <xdr:cNvGrpSpPr/>
      </xdr:nvGrpSpPr>
      <xdr:grpSpPr>
        <a:xfrm>
          <a:off x="646579" y="2420471"/>
          <a:ext cx="4071659" cy="1423707"/>
          <a:chOff x="627529" y="5244353"/>
          <a:chExt cx="4078942" cy="1411941"/>
        </a:xfrm>
      </xdr:grpSpPr>
      <xdr:sp macro="" textlink="">
        <xdr:nvSpPr>
          <xdr:cNvPr id="46" name="Rectangle: Rounded Corners 45">
            <a:extLst>
              <a:ext uri="{FF2B5EF4-FFF2-40B4-BE49-F238E27FC236}">
                <a16:creationId xmlns:a16="http://schemas.microsoft.com/office/drawing/2014/main" id="{00000000-0008-0000-0800-00002E000000}"/>
              </a:ext>
            </a:extLst>
          </xdr:cNvPr>
          <xdr:cNvSpPr/>
        </xdr:nvSpPr>
        <xdr:spPr>
          <a:xfrm>
            <a:off x="627529" y="5244353"/>
            <a:ext cx="4078942" cy="1411941"/>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7" name="Graphic 46" descr="Money">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829546" y="5567082"/>
            <a:ext cx="685800" cy="685800"/>
          </a:xfrm>
          <a:prstGeom prst="rect">
            <a:avLst/>
          </a:prstGeom>
        </xdr:spPr>
      </xdr:pic>
      <xdr:sp macro="" textlink="">
        <xdr:nvSpPr>
          <xdr:cNvPr id="48" name="TextBox 47">
            <a:extLst>
              <a:ext uri="{FF2B5EF4-FFF2-40B4-BE49-F238E27FC236}">
                <a16:creationId xmlns:a16="http://schemas.microsoft.com/office/drawing/2014/main" id="{00000000-0008-0000-0800-000030000000}"/>
              </a:ext>
            </a:extLst>
          </xdr:cNvPr>
          <xdr:cNvSpPr txBox="1"/>
        </xdr:nvSpPr>
        <xdr:spPr>
          <a:xfrm>
            <a:off x="1568824" y="5647765"/>
            <a:ext cx="3137646" cy="1008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1">
                    <a:lumMod val="75000"/>
                    <a:lumOff val="25000"/>
                  </a:schemeClr>
                </a:solidFill>
                <a:effectLst/>
                <a:latin typeface="Arial" panose="020B0604020202020204" pitchFamily="34" charset="0"/>
                <a:ea typeface="+mn-ea"/>
                <a:cs typeface="Arial" panose="020B0604020202020204" pitchFamily="34" charset="0"/>
              </a:rPr>
              <a:t>Welcome</a:t>
            </a:r>
            <a:r>
              <a:rPr lang="en-US" sz="1000" b="0" baseline="0">
                <a:solidFill>
                  <a:schemeClr val="tx1">
                    <a:lumMod val="75000"/>
                    <a:lumOff val="25000"/>
                  </a:schemeClr>
                </a:solidFill>
                <a:effectLst/>
                <a:latin typeface="Arial" panose="020B0604020202020204" pitchFamily="34" charset="0"/>
                <a:ea typeface="+mn-ea"/>
                <a:cs typeface="Arial" panose="020B0604020202020204" pitchFamily="34" charset="0"/>
              </a:rPr>
              <a:t> to Ameren Missouri's </a:t>
            </a:r>
            <a:r>
              <a:rPr lang="en-US" sz="1000" b="1" i="1" baseline="0">
                <a:solidFill>
                  <a:schemeClr val="tx1">
                    <a:lumMod val="75000"/>
                    <a:lumOff val="25000"/>
                  </a:schemeClr>
                </a:solidFill>
                <a:effectLst/>
                <a:latin typeface="Arial" panose="020B0604020202020204" pitchFamily="34" charset="0"/>
                <a:ea typeface="+mn-ea"/>
                <a:cs typeface="Arial" panose="020B0604020202020204" pitchFamily="34" charset="0"/>
              </a:rPr>
              <a:t>BizSavers </a:t>
            </a:r>
            <a:r>
              <a:rPr lang="en-US" sz="1000" b="0" i="0" baseline="0">
                <a:solidFill>
                  <a:schemeClr val="tx1">
                    <a:lumMod val="75000"/>
                    <a:lumOff val="25000"/>
                  </a:schemeClr>
                </a:solidFill>
                <a:effectLst/>
                <a:latin typeface="Arial" panose="020B0604020202020204" pitchFamily="34" charset="0"/>
                <a:ea typeface="+mn-ea"/>
                <a:cs typeface="Arial" panose="020B0604020202020204" pitchFamily="34" charset="0"/>
              </a:rPr>
              <a:t>Program's New Construction Incentive Application. This application will get you started in earning cash incentives for your energy efficient new construction projects.</a:t>
            </a:r>
            <a:endParaRPr lang="en-US" sz="1000">
              <a:solidFill>
                <a:schemeClr val="tx1">
                  <a:lumMod val="75000"/>
                  <a:lumOff val="25000"/>
                </a:schemeClr>
              </a:solidFill>
              <a:effectLst/>
              <a:latin typeface="Arial" panose="020B0604020202020204" pitchFamily="34" charset="0"/>
              <a:cs typeface="Arial" panose="020B0604020202020204" pitchFamily="34" charset="0"/>
            </a:endParaRPr>
          </a:p>
          <a:p>
            <a:endParaRPr lang="en-US" sz="1100"/>
          </a:p>
        </xdr:txBody>
      </xdr:sp>
      <xdr:sp macro="" textlink="">
        <xdr:nvSpPr>
          <xdr:cNvPr id="49" name="TextBox 48">
            <a:extLst>
              <a:ext uri="{FF2B5EF4-FFF2-40B4-BE49-F238E27FC236}">
                <a16:creationId xmlns:a16="http://schemas.microsoft.com/office/drawing/2014/main" id="{00000000-0008-0000-0800-000031000000}"/>
              </a:ext>
            </a:extLst>
          </xdr:cNvPr>
          <xdr:cNvSpPr txBox="1"/>
        </xdr:nvSpPr>
        <xdr:spPr>
          <a:xfrm>
            <a:off x="1568823" y="5244353"/>
            <a:ext cx="3137647" cy="403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800" b="1" i="0">
                <a:solidFill>
                  <a:srgbClr val="D98C24"/>
                </a:solidFill>
                <a:latin typeface="Arial" panose="020B0604020202020204" pitchFamily="34" charset="0"/>
                <a:cs typeface="Arial" panose="020B0604020202020204" pitchFamily="34" charset="0"/>
              </a:rPr>
              <a:t>Are You Ready</a:t>
            </a:r>
            <a:r>
              <a:rPr lang="en-US" sz="1800" b="1" i="0" baseline="0">
                <a:solidFill>
                  <a:srgbClr val="D98C24"/>
                </a:solidFill>
                <a:latin typeface="Arial" panose="020B0604020202020204" pitchFamily="34" charset="0"/>
                <a:cs typeface="Arial" panose="020B0604020202020204" pitchFamily="34" charset="0"/>
              </a:rPr>
              <a:t> to Save?</a:t>
            </a:r>
            <a:endParaRPr lang="en-US" sz="1800" b="1" i="0">
              <a:solidFill>
                <a:srgbClr val="D98C24"/>
              </a:solidFill>
              <a:latin typeface="Arial" panose="020B0604020202020204" pitchFamily="34" charset="0"/>
              <a:cs typeface="Arial" panose="020B0604020202020204" pitchFamily="34" charset="0"/>
            </a:endParaRPr>
          </a:p>
        </xdr:txBody>
      </xdr:sp>
    </xdr:grpSp>
    <xdr:clientData/>
  </xdr:twoCellAnchor>
  <xdr:twoCellAnchor>
    <xdr:from>
      <xdr:col>15</xdr:col>
      <xdr:colOff>307041</xdr:colOff>
      <xdr:row>12</xdr:row>
      <xdr:rowOff>0</xdr:rowOff>
    </xdr:from>
    <xdr:to>
      <xdr:col>28</xdr:col>
      <xdr:colOff>299757</xdr:colOff>
      <xdr:row>19</xdr:row>
      <xdr:rowOff>11766</xdr:rowOff>
    </xdr:to>
    <xdr:grpSp>
      <xdr:nvGrpSpPr>
        <xdr:cNvPr id="50" name="NAVIGATE">
          <a:extLst>
            <a:ext uri="{FF2B5EF4-FFF2-40B4-BE49-F238E27FC236}">
              <a16:creationId xmlns:a16="http://schemas.microsoft.com/office/drawing/2014/main" id="{00000000-0008-0000-0800-000032000000}"/>
            </a:ext>
          </a:extLst>
        </xdr:cNvPr>
        <xdr:cNvGrpSpPr/>
      </xdr:nvGrpSpPr>
      <xdr:grpSpPr>
        <a:xfrm>
          <a:off x="5013512" y="2420471"/>
          <a:ext cx="4071657" cy="1423707"/>
          <a:chOff x="5020235" y="5244353"/>
          <a:chExt cx="4078941" cy="1411941"/>
        </a:xfrm>
      </xdr:grpSpPr>
      <xdr:sp macro="" textlink="">
        <xdr:nvSpPr>
          <xdr:cNvPr id="51" name="Rectangle: Rounded Corners 50">
            <a:extLst>
              <a:ext uri="{FF2B5EF4-FFF2-40B4-BE49-F238E27FC236}">
                <a16:creationId xmlns:a16="http://schemas.microsoft.com/office/drawing/2014/main" id="{00000000-0008-0000-0800-000033000000}"/>
              </a:ext>
            </a:extLst>
          </xdr:cNvPr>
          <xdr:cNvSpPr/>
        </xdr:nvSpPr>
        <xdr:spPr>
          <a:xfrm>
            <a:off x="5020235" y="5244353"/>
            <a:ext cx="4078941" cy="1411941"/>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TextBox 51">
            <a:extLst>
              <a:ext uri="{FF2B5EF4-FFF2-40B4-BE49-F238E27FC236}">
                <a16:creationId xmlns:a16="http://schemas.microsoft.com/office/drawing/2014/main" id="{00000000-0008-0000-0800-000034000000}"/>
              </a:ext>
            </a:extLst>
          </xdr:cNvPr>
          <xdr:cNvSpPr txBox="1"/>
        </xdr:nvSpPr>
        <xdr:spPr>
          <a:xfrm>
            <a:off x="5961529" y="5244353"/>
            <a:ext cx="3137647" cy="403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800" b="1" i="0">
                <a:solidFill>
                  <a:srgbClr val="D98C24"/>
                </a:solidFill>
                <a:latin typeface="Arial" panose="020B0604020202020204" pitchFamily="34" charset="0"/>
                <a:cs typeface="Arial" panose="020B0604020202020204" pitchFamily="34" charset="0"/>
              </a:rPr>
              <a:t>How to Navigate</a:t>
            </a:r>
          </a:p>
        </xdr:txBody>
      </xdr:sp>
      <xdr:pic>
        <xdr:nvPicPr>
          <xdr:cNvPr id="53" name="Graphic 52" descr="Direction">
            <a:extLst>
              <a:ext uri="{FF2B5EF4-FFF2-40B4-BE49-F238E27FC236}">
                <a16:creationId xmlns:a16="http://schemas.microsoft.com/office/drawing/2014/main" id="{00000000-0008-0000-0800-000035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5109882" y="5569324"/>
            <a:ext cx="685800" cy="685800"/>
          </a:xfrm>
          <a:prstGeom prst="rect">
            <a:avLst/>
          </a:prstGeom>
        </xdr:spPr>
      </xdr:pic>
      <xdr:sp macro="" textlink="">
        <xdr:nvSpPr>
          <xdr:cNvPr id="54" name="TextBox 53">
            <a:extLst>
              <a:ext uri="{FF2B5EF4-FFF2-40B4-BE49-F238E27FC236}">
                <a16:creationId xmlns:a16="http://schemas.microsoft.com/office/drawing/2014/main" id="{00000000-0008-0000-0800-000036000000}"/>
              </a:ext>
            </a:extLst>
          </xdr:cNvPr>
          <xdr:cNvSpPr txBox="1"/>
        </xdr:nvSpPr>
        <xdr:spPr>
          <a:xfrm>
            <a:off x="5961528" y="5647766"/>
            <a:ext cx="3137648" cy="10085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dk1"/>
                </a:solidFill>
                <a:effectLst/>
                <a:latin typeface="Arial" panose="020B0604020202020204" pitchFamily="34" charset="0"/>
                <a:ea typeface="+mn-ea"/>
                <a:cs typeface="Arial" panose="020B0604020202020204" pitchFamily="34" charset="0"/>
              </a:rPr>
              <a:t>Just click the arrows in the</a:t>
            </a:r>
            <a:r>
              <a:rPr lang="en-US" sz="1000" b="0" baseline="0">
                <a:solidFill>
                  <a:schemeClr val="dk1"/>
                </a:solidFill>
                <a:effectLst/>
                <a:latin typeface="Arial" panose="020B0604020202020204" pitchFamily="34" charset="0"/>
                <a:ea typeface="+mn-ea"/>
                <a:cs typeface="Arial" panose="020B0604020202020204" pitchFamily="34" charset="0"/>
              </a:rPr>
              <a:t> top corners of the pages to navigate throughout the application. You can also navigate directly to the various tabs by clicking the various tabs at the top of the page.</a:t>
            </a:r>
            <a:endParaRPr lang="en-US" sz="1000">
              <a:effectLst/>
              <a:latin typeface="Arial" panose="020B0604020202020204" pitchFamily="34" charset="0"/>
              <a:cs typeface="Arial" panose="020B0604020202020204" pitchFamily="34" charset="0"/>
            </a:endParaRPr>
          </a:p>
          <a:p>
            <a:endParaRPr lang="en-US" sz="1100"/>
          </a:p>
        </xdr:txBody>
      </xdr:sp>
    </xdr:grpSp>
    <xdr:clientData/>
  </xdr:twoCellAnchor>
  <xdr:twoCellAnchor>
    <xdr:from>
      <xdr:col>29</xdr:col>
      <xdr:colOff>268469</xdr:colOff>
      <xdr:row>12</xdr:row>
      <xdr:rowOff>0</xdr:rowOff>
    </xdr:from>
    <xdr:to>
      <xdr:col>42</xdr:col>
      <xdr:colOff>261185</xdr:colOff>
      <xdr:row>19</xdr:row>
      <xdr:rowOff>11766</xdr:rowOff>
    </xdr:to>
    <xdr:grpSp>
      <xdr:nvGrpSpPr>
        <xdr:cNvPr id="55" name="PREAPPROVALREQD">
          <a:extLst>
            <a:ext uri="{FF2B5EF4-FFF2-40B4-BE49-F238E27FC236}">
              <a16:creationId xmlns:a16="http://schemas.microsoft.com/office/drawing/2014/main" id="{00000000-0008-0000-0800-000037000000}"/>
            </a:ext>
          </a:extLst>
        </xdr:cNvPr>
        <xdr:cNvGrpSpPr/>
      </xdr:nvGrpSpPr>
      <xdr:grpSpPr>
        <a:xfrm>
          <a:off x="9367645" y="2420471"/>
          <a:ext cx="4071658" cy="1423707"/>
          <a:chOff x="9407632" y="2420471"/>
          <a:chExt cx="4078941" cy="1411941"/>
        </a:xfrm>
      </xdr:grpSpPr>
      <xdr:sp macro="" textlink="">
        <xdr:nvSpPr>
          <xdr:cNvPr id="56" name="Rectangle: Rounded Corners 55">
            <a:extLst>
              <a:ext uri="{FF2B5EF4-FFF2-40B4-BE49-F238E27FC236}">
                <a16:creationId xmlns:a16="http://schemas.microsoft.com/office/drawing/2014/main" id="{00000000-0008-0000-0800-000038000000}"/>
              </a:ext>
            </a:extLst>
          </xdr:cNvPr>
          <xdr:cNvSpPr/>
        </xdr:nvSpPr>
        <xdr:spPr>
          <a:xfrm>
            <a:off x="9407632" y="2420471"/>
            <a:ext cx="4078941" cy="1411941"/>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TextBox 56">
            <a:extLst>
              <a:ext uri="{FF2B5EF4-FFF2-40B4-BE49-F238E27FC236}">
                <a16:creationId xmlns:a16="http://schemas.microsoft.com/office/drawing/2014/main" id="{00000000-0008-0000-0800-000039000000}"/>
              </a:ext>
            </a:extLst>
          </xdr:cNvPr>
          <xdr:cNvSpPr txBox="1"/>
        </xdr:nvSpPr>
        <xdr:spPr>
          <a:xfrm>
            <a:off x="10348926" y="2420471"/>
            <a:ext cx="3137647" cy="403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800" b="1" i="0">
                <a:solidFill>
                  <a:srgbClr val="D98C24"/>
                </a:solidFill>
                <a:latin typeface="Arial" panose="020B0604020202020204" pitchFamily="34" charset="0"/>
                <a:cs typeface="Arial" panose="020B0604020202020204" pitchFamily="34" charset="0"/>
              </a:rPr>
              <a:t>Is Pre-Approval Required?</a:t>
            </a:r>
          </a:p>
        </xdr:txBody>
      </xdr:sp>
      <xdr:sp macro="" textlink="">
        <xdr:nvSpPr>
          <xdr:cNvPr id="58" name="TextBox 57">
            <a:extLst>
              <a:ext uri="{FF2B5EF4-FFF2-40B4-BE49-F238E27FC236}">
                <a16:creationId xmlns:a16="http://schemas.microsoft.com/office/drawing/2014/main" id="{00000000-0008-0000-0800-00003A000000}"/>
              </a:ext>
            </a:extLst>
          </xdr:cNvPr>
          <xdr:cNvSpPr txBox="1"/>
        </xdr:nvSpPr>
        <xdr:spPr>
          <a:xfrm>
            <a:off x="10348925" y="2823883"/>
            <a:ext cx="3137648" cy="1008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dk1"/>
                </a:solidFill>
                <a:effectLst/>
                <a:latin typeface="Arial" panose="020B0604020202020204" pitchFamily="34" charset="0"/>
                <a:ea typeface="+mn-ea"/>
                <a:cs typeface="Arial" panose="020B0604020202020204" pitchFamily="34" charset="0"/>
              </a:rPr>
              <a:t>New Construction incentive projects require pre-approval and Program involvement</a:t>
            </a:r>
            <a:r>
              <a:rPr lang="en-US" sz="1000" b="0" baseline="0">
                <a:solidFill>
                  <a:schemeClr val="dk1"/>
                </a:solidFill>
                <a:effectLst/>
                <a:latin typeface="Arial" panose="020B0604020202020204" pitchFamily="34" charset="0"/>
                <a:ea typeface="+mn-ea"/>
                <a:cs typeface="Arial" panose="020B0604020202020204" pitchFamily="34" charset="0"/>
              </a:rPr>
              <a:t> before the design team meetings. Fill out this application and submit it to the Program as early as possible.</a:t>
            </a:r>
            <a:endParaRPr lang="en-US" sz="1000">
              <a:effectLst/>
              <a:latin typeface="Arial" panose="020B0604020202020204" pitchFamily="34" charset="0"/>
              <a:cs typeface="Arial" panose="020B0604020202020204" pitchFamily="34" charset="0"/>
            </a:endParaRPr>
          </a:p>
          <a:p>
            <a:endParaRPr lang="en-US" sz="1100"/>
          </a:p>
        </xdr:txBody>
      </xdr:sp>
      <xdr:pic>
        <xdr:nvPicPr>
          <xdr:cNvPr id="59" name="Graphic 58" descr="Checklist">
            <a:extLst>
              <a:ext uri="{FF2B5EF4-FFF2-40B4-BE49-F238E27FC236}">
                <a16:creationId xmlns:a16="http://schemas.microsoft.com/office/drawing/2014/main" id="{00000000-0008-0000-0800-00003B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9567581" y="2776817"/>
            <a:ext cx="685800" cy="685800"/>
          </a:xfrm>
          <a:prstGeom prst="rect">
            <a:avLst/>
          </a:prstGeom>
        </xdr:spPr>
      </xdr:pic>
    </xdr:grpSp>
    <xdr:clientData/>
  </xdr:twoCellAnchor>
  <xdr:twoCellAnchor>
    <xdr:from>
      <xdr:col>2</xdr:col>
      <xdr:colOff>26894</xdr:colOff>
      <xdr:row>19</xdr:row>
      <xdr:rowOff>188259</xdr:rowOff>
    </xdr:from>
    <xdr:to>
      <xdr:col>15</xdr:col>
      <xdr:colOff>19611</xdr:colOff>
      <xdr:row>27</xdr:row>
      <xdr:rowOff>0</xdr:rowOff>
    </xdr:to>
    <xdr:grpSp>
      <xdr:nvGrpSpPr>
        <xdr:cNvPr id="60" name="INCENTIVES">
          <a:extLst>
            <a:ext uri="{FF2B5EF4-FFF2-40B4-BE49-F238E27FC236}">
              <a16:creationId xmlns:a16="http://schemas.microsoft.com/office/drawing/2014/main" id="{00000000-0008-0000-0800-00003C000000}"/>
            </a:ext>
          </a:extLst>
        </xdr:cNvPr>
        <xdr:cNvGrpSpPr/>
      </xdr:nvGrpSpPr>
      <xdr:grpSpPr>
        <a:xfrm>
          <a:off x="654423" y="4020671"/>
          <a:ext cx="4071659" cy="1425388"/>
          <a:chOff x="627529" y="5446059"/>
          <a:chExt cx="4078942" cy="1411941"/>
        </a:xfrm>
      </xdr:grpSpPr>
      <xdr:grpSp>
        <xdr:nvGrpSpPr>
          <xdr:cNvPr id="61" name="Group 60">
            <a:extLst>
              <a:ext uri="{FF2B5EF4-FFF2-40B4-BE49-F238E27FC236}">
                <a16:creationId xmlns:a16="http://schemas.microsoft.com/office/drawing/2014/main" id="{00000000-0008-0000-0800-00003D000000}"/>
              </a:ext>
            </a:extLst>
          </xdr:cNvPr>
          <xdr:cNvGrpSpPr/>
        </xdr:nvGrpSpPr>
        <xdr:grpSpPr>
          <a:xfrm>
            <a:off x="627529" y="5446059"/>
            <a:ext cx="4078942" cy="1411941"/>
            <a:chOff x="627529" y="5244353"/>
            <a:chExt cx="4078942" cy="1411941"/>
          </a:xfrm>
        </xdr:grpSpPr>
        <xdr:sp macro="" textlink="">
          <xdr:nvSpPr>
            <xdr:cNvPr id="63" name="Rectangle: Rounded Corners 62">
              <a:extLst>
                <a:ext uri="{FF2B5EF4-FFF2-40B4-BE49-F238E27FC236}">
                  <a16:creationId xmlns:a16="http://schemas.microsoft.com/office/drawing/2014/main" id="{00000000-0008-0000-0800-00003F000000}"/>
                </a:ext>
              </a:extLst>
            </xdr:cNvPr>
            <xdr:cNvSpPr/>
          </xdr:nvSpPr>
          <xdr:spPr>
            <a:xfrm>
              <a:off x="627529" y="5244353"/>
              <a:ext cx="4078942" cy="1411941"/>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TextBox 63">
              <a:extLst>
                <a:ext uri="{FF2B5EF4-FFF2-40B4-BE49-F238E27FC236}">
                  <a16:creationId xmlns:a16="http://schemas.microsoft.com/office/drawing/2014/main" id="{00000000-0008-0000-0800-000040000000}"/>
                </a:ext>
              </a:extLst>
            </xdr:cNvPr>
            <xdr:cNvSpPr txBox="1"/>
          </xdr:nvSpPr>
          <xdr:spPr>
            <a:xfrm>
              <a:off x="1568824" y="5647765"/>
              <a:ext cx="3137646" cy="1008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dk1"/>
                  </a:solidFill>
                  <a:effectLst/>
                  <a:latin typeface="Arial" panose="020B0604020202020204" pitchFamily="34" charset="0"/>
                  <a:ea typeface="+mn-ea"/>
                  <a:cs typeface="Arial" panose="020B0604020202020204" pitchFamily="34" charset="0"/>
                </a:rPr>
                <a:t>The New Construction incentive program offers</a:t>
              </a:r>
              <a:r>
                <a:rPr lang="en-US" sz="1000" b="0" baseline="0">
                  <a:solidFill>
                    <a:schemeClr val="dk1"/>
                  </a:solidFill>
                  <a:effectLst/>
                  <a:latin typeface="Arial" panose="020B0604020202020204" pitchFamily="34" charset="0"/>
                  <a:ea typeface="+mn-ea"/>
                  <a:cs typeface="Arial" panose="020B0604020202020204" pitchFamily="34" charset="0"/>
                </a:rPr>
                <a:t> incentives for whole building performance, interior lighting, and custom incentives.</a:t>
              </a:r>
              <a:endParaRPr lang="en-US" sz="1100"/>
            </a:p>
          </xdr:txBody>
        </xdr:sp>
        <xdr:sp macro="" textlink="">
          <xdr:nvSpPr>
            <xdr:cNvPr id="65" name="TextBox 64">
              <a:extLst>
                <a:ext uri="{FF2B5EF4-FFF2-40B4-BE49-F238E27FC236}">
                  <a16:creationId xmlns:a16="http://schemas.microsoft.com/office/drawing/2014/main" id="{00000000-0008-0000-0800-000041000000}"/>
                </a:ext>
              </a:extLst>
            </xdr:cNvPr>
            <xdr:cNvSpPr txBox="1"/>
          </xdr:nvSpPr>
          <xdr:spPr>
            <a:xfrm>
              <a:off x="1568823" y="5244353"/>
              <a:ext cx="3137647" cy="403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800" b="1" i="0">
                  <a:solidFill>
                    <a:srgbClr val="D98C24"/>
                  </a:solidFill>
                  <a:latin typeface="Arial" panose="020B0604020202020204" pitchFamily="34" charset="0"/>
                  <a:cs typeface="Arial" panose="020B0604020202020204" pitchFamily="34" charset="0"/>
                </a:rPr>
                <a:t>Our Incentives</a:t>
              </a:r>
            </a:p>
          </xdr:txBody>
        </xdr:sp>
      </xdr:grpSp>
      <xdr:pic>
        <xdr:nvPicPr>
          <xdr:cNvPr id="62" name="Graphic 61" descr="Calculator">
            <a:extLst>
              <a:ext uri="{FF2B5EF4-FFF2-40B4-BE49-F238E27FC236}">
                <a16:creationId xmlns:a16="http://schemas.microsoft.com/office/drawing/2014/main" id="{00000000-0008-0000-0800-00003E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832266" y="5849471"/>
            <a:ext cx="685800" cy="685800"/>
          </a:xfrm>
          <a:prstGeom prst="rect">
            <a:avLst/>
          </a:prstGeom>
        </xdr:spPr>
      </xdr:pic>
    </xdr:grpSp>
    <xdr:clientData/>
  </xdr:twoCellAnchor>
  <xdr:twoCellAnchor>
    <xdr:from>
      <xdr:col>16</xdr:col>
      <xdr:colOff>7283</xdr:colOff>
      <xdr:row>19</xdr:row>
      <xdr:rowOff>188259</xdr:rowOff>
    </xdr:from>
    <xdr:to>
      <xdr:col>29</xdr:col>
      <xdr:colOff>0</xdr:colOff>
      <xdr:row>27</xdr:row>
      <xdr:rowOff>0</xdr:rowOff>
    </xdr:to>
    <xdr:grpSp>
      <xdr:nvGrpSpPr>
        <xdr:cNvPr id="67" name="NEEDHELP">
          <a:extLst>
            <a:ext uri="{FF2B5EF4-FFF2-40B4-BE49-F238E27FC236}">
              <a16:creationId xmlns:a16="http://schemas.microsoft.com/office/drawing/2014/main" id="{00000000-0008-0000-0800-000043000000}"/>
            </a:ext>
          </a:extLst>
        </xdr:cNvPr>
        <xdr:cNvGrpSpPr/>
      </xdr:nvGrpSpPr>
      <xdr:grpSpPr>
        <a:xfrm>
          <a:off x="5027518" y="4020671"/>
          <a:ext cx="4071658" cy="1425388"/>
          <a:chOff x="5020235" y="5244353"/>
          <a:chExt cx="4078942" cy="1411941"/>
        </a:xfrm>
      </xdr:grpSpPr>
      <xdr:grpSp>
        <xdr:nvGrpSpPr>
          <xdr:cNvPr id="68" name="Group 67">
            <a:extLst>
              <a:ext uri="{FF2B5EF4-FFF2-40B4-BE49-F238E27FC236}">
                <a16:creationId xmlns:a16="http://schemas.microsoft.com/office/drawing/2014/main" id="{00000000-0008-0000-0800-000044000000}"/>
              </a:ext>
            </a:extLst>
          </xdr:cNvPr>
          <xdr:cNvGrpSpPr/>
        </xdr:nvGrpSpPr>
        <xdr:grpSpPr>
          <a:xfrm>
            <a:off x="5020235" y="5244353"/>
            <a:ext cx="4078942" cy="1411941"/>
            <a:chOff x="627529" y="5244353"/>
            <a:chExt cx="4078942" cy="1411941"/>
          </a:xfrm>
        </xdr:grpSpPr>
        <xdr:sp macro="" textlink="">
          <xdr:nvSpPr>
            <xdr:cNvPr id="70" name="Rectangle: Rounded Corners 69">
              <a:extLst>
                <a:ext uri="{FF2B5EF4-FFF2-40B4-BE49-F238E27FC236}">
                  <a16:creationId xmlns:a16="http://schemas.microsoft.com/office/drawing/2014/main" id="{00000000-0008-0000-0800-000046000000}"/>
                </a:ext>
              </a:extLst>
            </xdr:cNvPr>
            <xdr:cNvSpPr/>
          </xdr:nvSpPr>
          <xdr:spPr>
            <a:xfrm>
              <a:off x="627529" y="5244353"/>
              <a:ext cx="4078942" cy="1411941"/>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1" name="TextBox 70">
              <a:extLst>
                <a:ext uri="{FF2B5EF4-FFF2-40B4-BE49-F238E27FC236}">
                  <a16:creationId xmlns:a16="http://schemas.microsoft.com/office/drawing/2014/main" id="{00000000-0008-0000-0800-000047000000}"/>
                </a:ext>
              </a:extLst>
            </xdr:cNvPr>
            <xdr:cNvSpPr txBox="1"/>
          </xdr:nvSpPr>
          <xdr:spPr>
            <a:xfrm>
              <a:off x="1568824" y="5647765"/>
              <a:ext cx="3137646" cy="1008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dk1"/>
                  </a:solidFill>
                  <a:effectLst/>
                  <a:latin typeface="Arial" panose="020B0604020202020204" pitchFamily="34" charset="0"/>
                  <a:ea typeface="+mn-ea"/>
                  <a:cs typeface="Arial" panose="020B0604020202020204" pitchFamily="34" charset="0"/>
                </a:rPr>
                <a:t>We want to help you earn cash incentives by saving</a:t>
              </a:r>
              <a:r>
                <a:rPr lang="en-US" sz="1000" b="0" baseline="0">
                  <a:solidFill>
                    <a:schemeClr val="dk1"/>
                  </a:solidFill>
                  <a:effectLst/>
                  <a:latin typeface="Arial" panose="020B0604020202020204" pitchFamily="34" charset="0"/>
                  <a:ea typeface="+mn-ea"/>
                  <a:cs typeface="Arial" panose="020B0604020202020204" pitchFamily="34" charset="0"/>
                </a:rPr>
                <a:t> energy at your facility. If you get stuck, contact us using the information below. Wer'e happy to help.</a:t>
              </a:r>
            </a:p>
            <a:p>
              <a:pPr marL="0" marR="0" lvl="0" indent="0" defTabSz="914400" eaLnBrk="1" fontAlgn="auto" latinLnBrk="0" hangingPunct="1">
                <a:lnSpc>
                  <a:spcPct val="100000"/>
                </a:lnSpc>
                <a:spcBef>
                  <a:spcPts val="0"/>
                </a:spcBef>
                <a:spcAft>
                  <a:spcPts val="0"/>
                </a:spcAft>
                <a:buClrTx/>
                <a:buSzTx/>
                <a:buFontTx/>
                <a:buNone/>
                <a:tabLst/>
                <a:defRPr/>
              </a:pPr>
              <a:endParaRPr lang="en-US" sz="1000" b="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00">
                  <a:effectLst/>
                  <a:latin typeface="Arial" panose="020B0604020202020204" pitchFamily="34" charset="0"/>
                  <a:cs typeface="Arial" panose="020B0604020202020204" pitchFamily="34" charset="0"/>
                </a:rPr>
                <a:t>Toll-Free 866-941-7299</a:t>
              </a:r>
            </a:p>
            <a:p>
              <a:pPr marL="0" marR="0" lvl="0" indent="0" defTabSz="914400" eaLnBrk="1" fontAlgn="auto" latinLnBrk="0" hangingPunct="1">
                <a:lnSpc>
                  <a:spcPct val="100000"/>
                </a:lnSpc>
                <a:spcBef>
                  <a:spcPts val="0"/>
                </a:spcBef>
                <a:spcAft>
                  <a:spcPts val="0"/>
                </a:spcAft>
                <a:buClrTx/>
                <a:buSzTx/>
                <a:buFontTx/>
                <a:buNone/>
                <a:tabLst/>
                <a:defRPr/>
              </a:pPr>
              <a:r>
                <a:rPr lang="en-US" sz="1000">
                  <a:effectLst/>
                  <a:latin typeface="Arial" panose="020B0604020202020204" pitchFamily="34" charset="0"/>
                  <a:cs typeface="Arial" panose="020B0604020202020204" pitchFamily="34" charset="0"/>
                </a:rPr>
                <a:t>BizSavers@ameren.com</a:t>
              </a:r>
            </a:p>
            <a:p>
              <a:endParaRPr lang="en-US" sz="1100"/>
            </a:p>
          </xdr:txBody>
        </xdr:sp>
        <xdr:sp macro="" textlink="">
          <xdr:nvSpPr>
            <xdr:cNvPr id="72" name="TextBox 71">
              <a:extLst>
                <a:ext uri="{FF2B5EF4-FFF2-40B4-BE49-F238E27FC236}">
                  <a16:creationId xmlns:a16="http://schemas.microsoft.com/office/drawing/2014/main" id="{00000000-0008-0000-0800-000048000000}"/>
                </a:ext>
              </a:extLst>
            </xdr:cNvPr>
            <xdr:cNvSpPr txBox="1"/>
          </xdr:nvSpPr>
          <xdr:spPr>
            <a:xfrm>
              <a:off x="1568823" y="5244353"/>
              <a:ext cx="3137647" cy="403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800" b="1" i="0">
                  <a:solidFill>
                    <a:srgbClr val="D98C24"/>
                  </a:solidFill>
                  <a:latin typeface="Arial" panose="020B0604020202020204" pitchFamily="34" charset="0"/>
                  <a:cs typeface="Arial" panose="020B0604020202020204" pitchFamily="34" charset="0"/>
                </a:rPr>
                <a:t>Need Help?</a:t>
              </a:r>
            </a:p>
          </xdr:txBody>
        </xdr:sp>
      </xdr:grpSp>
      <xdr:pic>
        <xdr:nvPicPr>
          <xdr:cNvPr id="69" name="Graphic 68" descr="Telephone">
            <a:extLst>
              <a:ext uri="{FF2B5EF4-FFF2-40B4-BE49-F238E27FC236}">
                <a16:creationId xmlns:a16="http://schemas.microsoft.com/office/drawing/2014/main" id="{00000000-0008-0000-0800-000045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5199529" y="5647765"/>
            <a:ext cx="685800" cy="685800"/>
          </a:xfrm>
          <a:prstGeom prst="rect">
            <a:avLst/>
          </a:prstGeom>
        </xdr:spPr>
      </xdr:pic>
    </xdr:grpSp>
    <xdr:clientData/>
  </xdr:twoCellAnchor>
  <xdr:twoCellAnchor>
    <xdr:from>
      <xdr:col>30</xdr:col>
      <xdr:colOff>0</xdr:colOff>
      <xdr:row>19</xdr:row>
      <xdr:rowOff>170454</xdr:rowOff>
    </xdr:from>
    <xdr:to>
      <xdr:col>42</xdr:col>
      <xdr:colOff>307042</xdr:colOff>
      <xdr:row>26</xdr:row>
      <xdr:rowOff>182220</xdr:rowOff>
    </xdr:to>
    <xdr:grpSp>
      <xdr:nvGrpSpPr>
        <xdr:cNvPr id="73" name="NEEDHELP">
          <a:extLst>
            <a:ext uri="{FF2B5EF4-FFF2-40B4-BE49-F238E27FC236}">
              <a16:creationId xmlns:a16="http://schemas.microsoft.com/office/drawing/2014/main" id="{00000000-0008-0000-0800-000049000000}"/>
            </a:ext>
          </a:extLst>
        </xdr:cNvPr>
        <xdr:cNvGrpSpPr/>
      </xdr:nvGrpSpPr>
      <xdr:grpSpPr>
        <a:xfrm>
          <a:off x="9412941" y="4002866"/>
          <a:ext cx="4072219" cy="1423707"/>
          <a:chOff x="5020235" y="5244353"/>
          <a:chExt cx="4078942" cy="1411941"/>
        </a:xfrm>
      </xdr:grpSpPr>
      <xdr:grpSp>
        <xdr:nvGrpSpPr>
          <xdr:cNvPr id="74" name="Group 73">
            <a:extLst>
              <a:ext uri="{FF2B5EF4-FFF2-40B4-BE49-F238E27FC236}">
                <a16:creationId xmlns:a16="http://schemas.microsoft.com/office/drawing/2014/main" id="{00000000-0008-0000-0800-00004A000000}"/>
              </a:ext>
            </a:extLst>
          </xdr:cNvPr>
          <xdr:cNvGrpSpPr/>
        </xdr:nvGrpSpPr>
        <xdr:grpSpPr>
          <a:xfrm>
            <a:off x="5020235" y="5244353"/>
            <a:ext cx="4078942" cy="1411941"/>
            <a:chOff x="627529" y="5244353"/>
            <a:chExt cx="4078942" cy="1411941"/>
          </a:xfrm>
        </xdr:grpSpPr>
        <xdr:sp macro="" textlink="">
          <xdr:nvSpPr>
            <xdr:cNvPr id="76" name="Rectangle: Rounded Corners 75">
              <a:extLst>
                <a:ext uri="{FF2B5EF4-FFF2-40B4-BE49-F238E27FC236}">
                  <a16:creationId xmlns:a16="http://schemas.microsoft.com/office/drawing/2014/main" id="{00000000-0008-0000-0800-00004C000000}"/>
                </a:ext>
              </a:extLst>
            </xdr:cNvPr>
            <xdr:cNvSpPr/>
          </xdr:nvSpPr>
          <xdr:spPr>
            <a:xfrm>
              <a:off x="627529" y="5244353"/>
              <a:ext cx="4078942" cy="1411941"/>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7" name="TextBox 76">
              <a:extLst>
                <a:ext uri="{FF2B5EF4-FFF2-40B4-BE49-F238E27FC236}">
                  <a16:creationId xmlns:a16="http://schemas.microsoft.com/office/drawing/2014/main" id="{00000000-0008-0000-0800-00004D000000}"/>
                </a:ext>
              </a:extLst>
            </xdr:cNvPr>
            <xdr:cNvSpPr txBox="1"/>
          </xdr:nvSpPr>
          <xdr:spPr>
            <a:xfrm>
              <a:off x="1568824" y="5647765"/>
              <a:ext cx="3137646" cy="1008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dk1"/>
                  </a:solidFill>
                  <a:effectLst/>
                  <a:latin typeface="Arial" panose="020B0604020202020204" pitchFamily="34" charset="0"/>
                  <a:ea typeface="+mn-ea"/>
                  <a:cs typeface="Arial" panose="020B0604020202020204" pitchFamily="34" charset="0"/>
                </a:rPr>
                <a:t>Customers who are adding on</a:t>
              </a:r>
              <a:r>
                <a:rPr lang="en-US" sz="1000" b="0" baseline="0">
                  <a:solidFill>
                    <a:schemeClr val="dk1"/>
                  </a:solidFill>
                  <a:effectLst/>
                  <a:latin typeface="Arial" panose="020B0604020202020204" pitchFamily="34" charset="0"/>
                  <a:ea typeface="+mn-ea"/>
                  <a:cs typeface="Arial" panose="020B0604020202020204" pitchFamily="34" charset="0"/>
                </a:rPr>
                <a:t> to an existing facility, changing the use of a facility, or building a new structure are all eligible for New Construction incentives.</a:t>
              </a:r>
              <a:endParaRPr lang="en-US" sz="1000">
                <a:effectLst/>
                <a:latin typeface="Arial" panose="020B0604020202020204" pitchFamily="34" charset="0"/>
                <a:cs typeface="Arial" panose="020B0604020202020204" pitchFamily="34" charset="0"/>
              </a:endParaRPr>
            </a:p>
            <a:p>
              <a:endParaRPr lang="en-US" sz="1100"/>
            </a:p>
          </xdr:txBody>
        </xdr:sp>
        <xdr:sp macro="" textlink="">
          <xdr:nvSpPr>
            <xdr:cNvPr id="78" name="TextBox 77">
              <a:extLst>
                <a:ext uri="{FF2B5EF4-FFF2-40B4-BE49-F238E27FC236}">
                  <a16:creationId xmlns:a16="http://schemas.microsoft.com/office/drawing/2014/main" id="{00000000-0008-0000-0800-00004E000000}"/>
                </a:ext>
              </a:extLst>
            </xdr:cNvPr>
            <xdr:cNvSpPr txBox="1"/>
          </xdr:nvSpPr>
          <xdr:spPr>
            <a:xfrm>
              <a:off x="1568823" y="5244353"/>
              <a:ext cx="3137647" cy="403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800" b="1" i="0">
                  <a:solidFill>
                    <a:srgbClr val="D98C24"/>
                  </a:solidFill>
                  <a:latin typeface="Arial" panose="020B0604020202020204" pitchFamily="34" charset="0"/>
                  <a:cs typeface="Arial" panose="020B0604020202020204" pitchFamily="34" charset="0"/>
                </a:rPr>
                <a:t>Who's Eligible?</a:t>
              </a:r>
            </a:p>
          </xdr:txBody>
        </xdr:sp>
      </xdr:grpSp>
      <xdr:pic>
        <xdr:nvPicPr>
          <xdr:cNvPr id="75" name="Graphic 74" descr="Mining tools">
            <a:extLst>
              <a:ext uri="{FF2B5EF4-FFF2-40B4-BE49-F238E27FC236}">
                <a16:creationId xmlns:a16="http://schemas.microsoft.com/office/drawing/2014/main" id="{00000000-0008-0000-0800-00004B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5199529" y="5647765"/>
            <a:ext cx="685800" cy="685800"/>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2S5">
      <xdr:nvSpPr>
        <xdr:cNvPr id="15" name="SUBMENU5">
          <a:hlinkClick xmlns:r="http://schemas.openxmlformats.org/officeDocument/2006/relationships" r:id="rId1"/>
          <a:extLst>
            <a:ext uri="{FF2B5EF4-FFF2-40B4-BE49-F238E27FC236}">
              <a16:creationId xmlns:a16="http://schemas.microsoft.com/office/drawing/2014/main" id="{00000000-0008-0000-1100-00000F000000}"/>
            </a:ext>
          </a:extLst>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Design Team Meeting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2"/>
          <a:extLst>
            <a:ext uri="{FF2B5EF4-FFF2-40B4-BE49-F238E27FC236}">
              <a16:creationId xmlns:a16="http://schemas.microsoft.com/office/drawing/2014/main" id="{00000000-0008-0000-1100-000010000000}"/>
            </a:ext>
          </a:extLst>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3"/>
          <a:extLst>
            <a:ext uri="{FF2B5EF4-FFF2-40B4-BE49-F238E27FC236}">
              <a16:creationId xmlns:a16="http://schemas.microsoft.com/office/drawing/2014/main" id="{00000000-0008-0000-1100-000011000000}"/>
            </a:ext>
          </a:extLst>
        </xdr:cNvPr>
        <xdr:cNvSpPr/>
      </xdr:nvSpPr>
      <xdr:spPr>
        <a:xfrm>
          <a:off x="10061265" y="1000805"/>
          <a:ext cx="1571480"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4"/>
          <a:extLst>
            <a:ext uri="{FF2B5EF4-FFF2-40B4-BE49-F238E27FC236}">
              <a16:creationId xmlns:a16="http://schemas.microsoft.com/office/drawing/2014/main" id="{00000000-0008-0000-1100-000012000000}"/>
            </a:ext>
          </a:extLst>
        </xdr:cNvPr>
        <xdr:cNvSpPr/>
      </xdr:nvSpPr>
      <xdr:spPr>
        <a:xfrm>
          <a:off x="11632745" y="1000805"/>
          <a:ext cx="1568905"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a:extLst>
            <a:ext uri="{FF2B5EF4-FFF2-40B4-BE49-F238E27FC236}">
              <a16:creationId xmlns:a16="http://schemas.microsoft.com/office/drawing/2014/main" id="{00000000-0008-0000-11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6"/>
          <a:extLst>
            <a:ext uri="{FF2B5EF4-FFF2-40B4-BE49-F238E27FC236}">
              <a16:creationId xmlns:a16="http://schemas.microsoft.com/office/drawing/2014/main" id="{00000000-0008-0000-1100-000003000000}"/>
            </a:ext>
          </a:extLst>
        </xdr:cNvPr>
        <xdr:cNvSpPr/>
      </xdr:nvSpPr>
      <xdr:spPr>
        <a:xfrm>
          <a:off x="2200732" y="200025"/>
          <a:ext cx="1571168"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7"/>
          <a:extLst>
            <a:ext uri="{FF2B5EF4-FFF2-40B4-BE49-F238E27FC236}">
              <a16:creationId xmlns:a16="http://schemas.microsoft.com/office/drawing/2014/main" id="{00000000-0008-0000-1100-000004000000}"/>
            </a:ext>
          </a:extLst>
        </xdr:cNvPr>
        <xdr:cNvSpPr/>
      </xdr:nvSpPr>
      <xdr:spPr>
        <a:xfrm>
          <a:off x="3771900" y="333375"/>
          <a:ext cx="1571625" cy="600075"/>
        </a:xfrm>
        <a:prstGeom prst="round2SameRect">
          <a:avLst/>
        </a:prstGeom>
        <a:solidFill>
          <a:srgbClr val="F3901D"/>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hidden="1">
          <a:hlinkClick xmlns:r="http://schemas.openxmlformats.org/officeDocument/2006/relationships" r:id="rId8"/>
          <a:extLst>
            <a:ext uri="{FF2B5EF4-FFF2-40B4-BE49-F238E27FC236}">
              <a16:creationId xmlns:a16="http://schemas.microsoft.com/office/drawing/2014/main" id="{00000000-0008-0000-1100-000005000000}"/>
            </a:ext>
          </a:extLst>
        </xdr:cNvPr>
        <xdr:cNvSpPr/>
      </xdr:nvSpPr>
      <xdr:spPr>
        <a:xfrm>
          <a:off x="534352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CODE-BASELINE MEASURES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9"/>
          <a:extLst>
            <a:ext uri="{FF2B5EF4-FFF2-40B4-BE49-F238E27FC236}">
              <a16:creationId xmlns:a16="http://schemas.microsoft.com/office/drawing/2014/main" id="{00000000-0008-0000-1100-000006000000}"/>
            </a:ext>
          </a:extLst>
        </xdr:cNvPr>
        <xdr:cNvSpPr/>
      </xdr:nvSpPr>
      <xdr:spPr>
        <a:xfrm>
          <a:off x="691515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PRE-APPROVAL MEASURES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hidden="1">
          <a:hlinkClick xmlns:r="http://schemas.openxmlformats.org/officeDocument/2006/relationships" r:id="rId10"/>
          <a:extLst>
            <a:ext uri="{FF2B5EF4-FFF2-40B4-BE49-F238E27FC236}">
              <a16:creationId xmlns:a16="http://schemas.microsoft.com/office/drawing/2014/main" id="{00000000-0008-0000-1100-000007000000}"/>
            </a:ext>
          </a:extLst>
        </xdr:cNvPr>
        <xdr:cNvSpPr/>
      </xdr:nvSpPr>
      <xdr:spPr>
        <a:xfrm>
          <a:off x="848677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1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NEXT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1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1100-00000A000000}"/>
            </a:ext>
          </a:extLst>
        </xdr:cNvPr>
        <xdr:cNvSpPr/>
      </xdr:nvSpPr>
      <xdr:spPr>
        <a:xfrm>
          <a:off x="314325" y="800101"/>
          <a:ext cx="13515975" cy="600074"/>
        </a:xfrm>
        <a:prstGeom prst="round2SameRect">
          <a:avLst/>
        </a:prstGeom>
        <a:solidFill>
          <a:srgbClr val="F390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7"/>
          <a:extLst>
            <a:ext uri="{FF2B5EF4-FFF2-40B4-BE49-F238E27FC236}">
              <a16:creationId xmlns:a16="http://schemas.microsoft.com/office/drawing/2014/main" id="{00000000-0008-0000-1100-00000B000000}"/>
            </a:ext>
          </a:extLst>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Terms &amp; Conditions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2S2">
      <xdr:nvSpPr>
        <xdr:cNvPr id="12" name="SUBMENU2">
          <a:hlinkClick xmlns:r="http://schemas.openxmlformats.org/officeDocument/2006/relationships" r:id="rId11"/>
          <a:extLst>
            <a:ext uri="{FF2B5EF4-FFF2-40B4-BE49-F238E27FC236}">
              <a16:creationId xmlns:a16="http://schemas.microsoft.com/office/drawing/2014/main" id="{00000000-0008-0000-1100-00000C000000}"/>
            </a:ext>
          </a:extLst>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Applicant and Site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5</xdr:row>
      <xdr:rowOff>51480</xdr:rowOff>
    </xdr:from>
    <xdr:to>
      <xdr:col>17</xdr:col>
      <xdr:colOff>2550</xdr:colOff>
      <xdr:row>7</xdr:row>
      <xdr:rowOff>50800</xdr:rowOff>
    </xdr:to>
    <xdr:sp macro="" textlink="M2S3">
      <xdr:nvSpPr>
        <xdr:cNvPr id="13" name="SUBMENU3">
          <a:hlinkClick xmlns:r="http://schemas.openxmlformats.org/officeDocument/2006/relationships" r:id="rId12"/>
          <a:extLst>
            <a:ext uri="{FF2B5EF4-FFF2-40B4-BE49-F238E27FC236}">
              <a16:creationId xmlns:a16="http://schemas.microsoft.com/office/drawing/2014/main" id="{00000000-0008-0000-1100-00000D000000}"/>
            </a:ext>
          </a:extLst>
        </xdr:cNvPr>
        <xdr:cNvSpPr/>
      </xdr:nvSpPr>
      <xdr:spPr>
        <a:xfrm>
          <a:off x="3774451"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Design Team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2S4">
      <xdr:nvSpPr>
        <xdr:cNvPr id="14" name="SUBMENU4">
          <a:hlinkClick xmlns:r="http://schemas.openxmlformats.org/officeDocument/2006/relationships" r:id="rId5"/>
          <a:extLst>
            <a:ext uri="{FF2B5EF4-FFF2-40B4-BE49-F238E27FC236}">
              <a16:creationId xmlns:a16="http://schemas.microsoft.com/office/drawing/2014/main" id="{00000000-0008-0000-1100-00000E000000}"/>
            </a:ext>
          </a:extLst>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1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a:extLst>
            <a:ext uri="{FF2B5EF4-FFF2-40B4-BE49-F238E27FC236}">
              <a16:creationId xmlns:a16="http://schemas.microsoft.com/office/drawing/2014/main" id="{00000000-0008-0000-11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1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a:extLst>
            <a:ext uri="{FF2B5EF4-FFF2-40B4-BE49-F238E27FC236}">
              <a16:creationId xmlns:a16="http://schemas.microsoft.com/office/drawing/2014/main" id="{00000000-0008-0000-1100-00001F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xdr:from>
      <xdr:col>2</xdr:col>
      <xdr:colOff>0</xdr:colOff>
      <xdr:row>29</xdr:row>
      <xdr:rowOff>0</xdr:rowOff>
    </xdr:from>
    <xdr:to>
      <xdr:col>42</xdr:col>
      <xdr:colOff>310475</xdr:colOff>
      <xdr:row>29</xdr:row>
      <xdr:rowOff>0</xdr:rowOff>
    </xdr:to>
    <xdr:cxnSp macro="">
      <xdr:nvCxnSpPr>
        <xdr:cNvPr id="23" name="Straight Connector 22">
          <a:extLst>
            <a:ext uri="{FF2B5EF4-FFF2-40B4-BE49-F238E27FC236}">
              <a16:creationId xmlns:a16="http://schemas.microsoft.com/office/drawing/2014/main" id="{00000000-0008-0000-1100-000017000000}"/>
            </a:ext>
          </a:extLst>
        </xdr:cNvPr>
        <xdr:cNvCxnSpPr/>
      </xdr:nvCxnSpPr>
      <xdr:spPr>
        <a:xfrm>
          <a:off x="628650" y="5800725"/>
          <a:ext cx="12883475"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44</xdr:row>
      <xdr:rowOff>0</xdr:rowOff>
    </xdr:from>
    <xdr:to>
      <xdr:col>42</xdr:col>
      <xdr:colOff>310475</xdr:colOff>
      <xdr:row>44</xdr:row>
      <xdr:rowOff>0</xdr:rowOff>
    </xdr:to>
    <xdr:cxnSp macro="">
      <xdr:nvCxnSpPr>
        <xdr:cNvPr id="24" name="Straight Connector 23">
          <a:extLst>
            <a:ext uri="{FF2B5EF4-FFF2-40B4-BE49-F238E27FC236}">
              <a16:creationId xmlns:a16="http://schemas.microsoft.com/office/drawing/2014/main" id="{00000000-0008-0000-1100-000018000000}"/>
            </a:ext>
          </a:extLst>
        </xdr:cNvPr>
        <xdr:cNvCxnSpPr/>
      </xdr:nvCxnSpPr>
      <xdr:spPr>
        <a:xfrm>
          <a:off x="628650" y="8801100"/>
          <a:ext cx="12883475"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59</xdr:row>
      <xdr:rowOff>0</xdr:rowOff>
    </xdr:from>
    <xdr:to>
      <xdr:col>42</xdr:col>
      <xdr:colOff>310475</xdr:colOff>
      <xdr:row>59</xdr:row>
      <xdr:rowOff>0</xdr:rowOff>
    </xdr:to>
    <xdr:cxnSp macro="">
      <xdr:nvCxnSpPr>
        <xdr:cNvPr id="25" name="Straight Connector 24">
          <a:extLst>
            <a:ext uri="{FF2B5EF4-FFF2-40B4-BE49-F238E27FC236}">
              <a16:creationId xmlns:a16="http://schemas.microsoft.com/office/drawing/2014/main" id="{00000000-0008-0000-1100-000019000000}"/>
            </a:ext>
          </a:extLst>
        </xdr:cNvPr>
        <xdr:cNvCxnSpPr/>
      </xdr:nvCxnSpPr>
      <xdr:spPr>
        <a:xfrm>
          <a:off x="628650" y="11801475"/>
          <a:ext cx="12883475"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74</xdr:row>
      <xdr:rowOff>0</xdr:rowOff>
    </xdr:from>
    <xdr:to>
      <xdr:col>42</xdr:col>
      <xdr:colOff>310475</xdr:colOff>
      <xdr:row>74</xdr:row>
      <xdr:rowOff>0</xdr:rowOff>
    </xdr:to>
    <xdr:cxnSp macro="">
      <xdr:nvCxnSpPr>
        <xdr:cNvPr id="26" name="Straight Connector 25">
          <a:extLst>
            <a:ext uri="{FF2B5EF4-FFF2-40B4-BE49-F238E27FC236}">
              <a16:creationId xmlns:a16="http://schemas.microsoft.com/office/drawing/2014/main" id="{00000000-0008-0000-1100-00001A000000}"/>
            </a:ext>
          </a:extLst>
        </xdr:cNvPr>
        <xdr:cNvCxnSpPr/>
      </xdr:nvCxnSpPr>
      <xdr:spPr>
        <a:xfrm>
          <a:off x="628650" y="14801850"/>
          <a:ext cx="12883475"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89</xdr:row>
      <xdr:rowOff>0</xdr:rowOff>
    </xdr:from>
    <xdr:to>
      <xdr:col>42</xdr:col>
      <xdr:colOff>310475</xdr:colOff>
      <xdr:row>89</xdr:row>
      <xdr:rowOff>0</xdr:rowOff>
    </xdr:to>
    <xdr:cxnSp macro="">
      <xdr:nvCxnSpPr>
        <xdr:cNvPr id="27" name="Straight Connector 26">
          <a:extLst>
            <a:ext uri="{FF2B5EF4-FFF2-40B4-BE49-F238E27FC236}">
              <a16:creationId xmlns:a16="http://schemas.microsoft.com/office/drawing/2014/main" id="{00000000-0008-0000-1100-00001B000000}"/>
            </a:ext>
          </a:extLst>
        </xdr:cNvPr>
        <xdr:cNvCxnSpPr/>
      </xdr:nvCxnSpPr>
      <xdr:spPr>
        <a:xfrm>
          <a:off x="628650" y="17802225"/>
          <a:ext cx="12883475"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104</xdr:row>
      <xdr:rowOff>0</xdr:rowOff>
    </xdr:from>
    <xdr:to>
      <xdr:col>42</xdr:col>
      <xdr:colOff>310475</xdr:colOff>
      <xdr:row>104</xdr:row>
      <xdr:rowOff>0</xdr:rowOff>
    </xdr:to>
    <xdr:cxnSp macro="">
      <xdr:nvCxnSpPr>
        <xdr:cNvPr id="28" name="Straight Connector 27">
          <a:extLst>
            <a:ext uri="{FF2B5EF4-FFF2-40B4-BE49-F238E27FC236}">
              <a16:creationId xmlns:a16="http://schemas.microsoft.com/office/drawing/2014/main" id="{00000000-0008-0000-1100-00001C000000}"/>
            </a:ext>
          </a:extLst>
        </xdr:cNvPr>
        <xdr:cNvCxnSpPr/>
      </xdr:nvCxnSpPr>
      <xdr:spPr>
        <a:xfrm>
          <a:off x="628650" y="20802600"/>
          <a:ext cx="12883475"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0</xdr:rowOff>
    </xdr:from>
    <xdr:to>
      <xdr:col>42</xdr:col>
      <xdr:colOff>310475</xdr:colOff>
      <xdr:row>119</xdr:row>
      <xdr:rowOff>0</xdr:rowOff>
    </xdr:to>
    <xdr:cxnSp macro="">
      <xdr:nvCxnSpPr>
        <xdr:cNvPr id="29" name="Straight Connector 28">
          <a:extLst>
            <a:ext uri="{FF2B5EF4-FFF2-40B4-BE49-F238E27FC236}">
              <a16:creationId xmlns:a16="http://schemas.microsoft.com/office/drawing/2014/main" id="{00000000-0008-0000-1100-00001D000000}"/>
            </a:ext>
          </a:extLst>
        </xdr:cNvPr>
        <xdr:cNvCxnSpPr/>
      </xdr:nvCxnSpPr>
      <xdr:spPr>
        <a:xfrm>
          <a:off x="628650" y="23802975"/>
          <a:ext cx="12883475"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2S5">
      <xdr:nvSpPr>
        <xdr:cNvPr id="15" name="SUBMENU5">
          <a:hlinkClick xmlns:r="http://schemas.openxmlformats.org/officeDocument/2006/relationships" r:id="rId1"/>
          <a:extLst>
            <a:ext uri="{FF2B5EF4-FFF2-40B4-BE49-F238E27FC236}">
              <a16:creationId xmlns:a16="http://schemas.microsoft.com/office/drawing/2014/main" id="{00000000-0008-0000-1200-00000F000000}"/>
            </a:ext>
          </a:extLst>
        </xdr:cNvPr>
        <xdr:cNvSpPr/>
      </xdr:nvSpPr>
      <xdr:spPr>
        <a:xfrm>
          <a:off x="6917701" y="1000805"/>
          <a:ext cx="1571623" cy="399370"/>
        </a:xfrm>
        <a:prstGeom prst="round2SameRect">
          <a:avLst/>
        </a:prstGeom>
        <a:solidFill>
          <a:srgbClr val="555555"/>
        </a:solidFill>
        <a:ln w="12700">
          <a:solidFill>
            <a:srgbClr val="7F7F7F"/>
          </a:solidFill>
        </a:ln>
        <a:effectLst>
          <a:outerShdw blurRad="254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Design Team Meeting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2"/>
          <a:extLst>
            <a:ext uri="{FF2B5EF4-FFF2-40B4-BE49-F238E27FC236}">
              <a16:creationId xmlns:a16="http://schemas.microsoft.com/office/drawing/2014/main" id="{00000000-0008-0000-1200-000010000000}"/>
            </a:ext>
          </a:extLst>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3"/>
          <a:extLst>
            <a:ext uri="{FF2B5EF4-FFF2-40B4-BE49-F238E27FC236}">
              <a16:creationId xmlns:a16="http://schemas.microsoft.com/office/drawing/2014/main" id="{00000000-0008-0000-1200-000011000000}"/>
            </a:ext>
          </a:extLst>
        </xdr:cNvPr>
        <xdr:cNvSpPr/>
      </xdr:nvSpPr>
      <xdr:spPr>
        <a:xfrm>
          <a:off x="10061265" y="1000805"/>
          <a:ext cx="1571480"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4"/>
          <a:extLst>
            <a:ext uri="{FF2B5EF4-FFF2-40B4-BE49-F238E27FC236}">
              <a16:creationId xmlns:a16="http://schemas.microsoft.com/office/drawing/2014/main" id="{00000000-0008-0000-1200-000012000000}"/>
            </a:ext>
          </a:extLst>
        </xdr:cNvPr>
        <xdr:cNvSpPr/>
      </xdr:nvSpPr>
      <xdr:spPr>
        <a:xfrm>
          <a:off x="11632745" y="1000805"/>
          <a:ext cx="1568905"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5"/>
          <a:extLst>
            <a:ext uri="{FF2B5EF4-FFF2-40B4-BE49-F238E27FC236}">
              <a16:creationId xmlns:a16="http://schemas.microsoft.com/office/drawing/2014/main" id="{00000000-0008-0000-1200-000003000000}"/>
            </a:ext>
          </a:extLst>
        </xdr:cNvPr>
        <xdr:cNvSpPr/>
      </xdr:nvSpPr>
      <xdr:spPr>
        <a:xfrm>
          <a:off x="2200732" y="200025"/>
          <a:ext cx="1571168"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6"/>
          <a:extLst>
            <a:ext uri="{FF2B5EF4-FFF2-40B4-BE49-F238E27FC236}">
              <a16:creationId xmlns:a16="http://schemas.microsoft.com/office/drawing/2014/main" id="{00000000-0008-0000-1200-000004000000}"/>
            </a:ext>
          </a:extLst>
        </xdr:cNvPr>
        <xdr:cNvSpPr/>
      </xdr:nvSpPr>
      <xdr:spPr>
        <a:xfrm>
          <a:off x="3771900" y="333375"/>
          <a:ext cx="1571625" cy="600075"/>
        </a:xfrm>
        <a:prstGeom prst="round2SameRect">
          <a:avLst/>
        </a:prstGeom>
        <a:solidFill>
          <a:srgbClr val="F3901D"/>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PROJECT INFORMATION</a:t>
          </a:fld>
          <a:endParaRPr lang="en-US" sz="110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hidden="1">
          <a:hlinkClick xmlns:r="http://schemas.openxmlformats.org/officeDocument/2006/relationships" r:id="rId7"/>
          <a:extLst>
            <a:ext uri="{FF2B5EF4-FFF2-40B4-BE49-F238E27FC236}">
              <a16:creationId xmlns:a16="http://schemas.microsoft.com/office/drawing/2014/main" id="{00000000-0008-0000-1200-000005000000}"/>
            </a:ext>
          </a:extLst>
        </xdr:cNvPr>
        <xdr:cNvSpPr/>
      </xdr:nvSpPr>
      <xdr:spPr>
        <a:xfrm>
          <a:off x="534352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CODE-BASELINE MEASURES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8"/>
          <a:extLst>
            <a:ext uri="{FF2B5EF4-FFF2-40B4-BE49-F238E27FC236}">
              <a16:creationId xmlns:a16="http://schemas.microsoft.com/office/drawing/2014/main" id="{00000000-0008-0000-1200-000006000000}"/>
            </a:ext>
          </a:extLst>
        </xdr:cNvPr>
        <xdr:cNvSpPr/>
      </xdr:nvSpPr>
      <xdr:spPr>
        <a:xfrm>
          <a:off x="691515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PRE-APPROVAL MEASURES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hidden="1">
          <a:hlinkClick xmlns:r="http://schemas.openxmlformats.org/officeDocument/2006/relationships" r:id="rId9"/>
          <a:extLst>
            <a:ext uri="{FF2B5EF4-FFF2-40B4-BE49-F238E27FC236}">
              <a16:creationId xmlns:a16="http://schemas.microsoft.com/office/drawing/2014/main" id="{00000000-0008-0000-1200-000007000000}"/>
            </a:ext>
          </a:extLst>
        </xdr:cNvPr>
        <xdr:cNvSpPr/>
      </xdr:nvSpPr>
      <xdr:spPr>
        <a:xfrm>
          <a:off x="848677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2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NEXT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2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1200-00000A000000}"/>
            </a:ext>
          </a:extLst>
        </xdr:cNvPr>
        <xdr:cNvSpPr/>
      </xdr:nvSpPr>
      <xdr:spPr>
        <a:xfrm>
          <a:off x="314325" y="800101"/>
          <a:ext cx="13515975" cy="600074"/>
        </a:xfrm>
        <a:prstGeom prst="round2SameRect">
          <a:avLst/>
        </a:prstGeom>
        <a:solidFill>
          <a:srgbClr val="F390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6"/>
          <a:extLst>
            <a:ext uri="{FF2B5EF4-FFF2-40B4-BE49-F238E27FC236}">
              <a16:creationId xmlns:a16="http://schemas.microsoft.com/office/drawing/2014/main" id="{00000000-0008-0000-1200-00000B000000}"/>
            </a:ext>
          </a:extLst>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Terms &amp; Conditions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2S2">
      <xdr:nvSpPr>
        <xdr:cNvPr id="12" name="SUBMENU2">
          <a:hlinkClick xmlns:r="http://schemas.openxmlformats.org/officeDocument/2006/relationships" r:id="rId10"/>
          <a:extLst>
            <a:ext uri="{FF2B5EF4-FFF2-40B4-BE49-F238E27FC236}">
              <a16:creationId xmlns:a16="http://schemas.microsoft.com/office/drawing/2014/main" id="{00000000-0008-0000-1200-00000C000000}"/>
            </a:ext>
          </a:extLst>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Applicant and Site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2S3">
      <xdr:nvSpPr>
        <xdr:cNvPr id="13" name="SUBMENU3">
          <a:hlinkClick xmlns:r="http://schemas.openxmlformats.org/officeDocument/2006/relationships" r:id="rId11"/>
          <a:extLst>
            <a:ext uri="{FF2B5EF4-FFF2-40B4-BE49-F238E27FC236}">
              <a16:creationId xmlns:a16="http://schemas.microsoft.com/office/drawing/2014/main" id="{00000000-0008-0000-1200-00000D000000}"/>
            </a:ext>
          </a:extLst>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Design Team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51480</xdr:rowOff>
    </xdr:from>
    <xdr:to>
      <xdr:col>22</xdr:col>
      <xdr:colOff>2550</xdr:colOff>
      <xdr:row>7</xdr:row>
      <xdr:rowOff>50800</xdr:rowOff>
    </xdr:to>
    <xdr:sp macro="" textlink="M2S4">
      <xdr:nvSpPr>
        <xdr:cNvPr id="14" name="SUBMENU4">
          <a:hlinkClick xmlns:r="http://schemas.openxmlformats.org/officeDocument/2006/relationships" r:id="rId12"/>
          <a:extLst>
            <a:ext uri="{FF2B5EF4-FFF2-40B4-BE49-F238E27FC236}">
              <a16:creationId xmlns:a16="http://schemas.microsoft.com/office/drawing/2014/main" id="{00000000-0008-0000-1200-00000E000000}"/>
            </a:ext>
          </a:extLst>
        </xdr:cNvPr>
        <xdr:cNvSpPr/>
      </xdr:nvSpPr>
      <xdr:spPr>
        <a:xfrm>
          <a:off x="5346076"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2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a:extLst>
            <a:ext uri="{FF2B5EF4-FFF2-40B4-BE49-F238E27FC236}">
              <a16:creationId xmlns:a16="http://schemas.microsoft.com/office/drawing/2014/main" id="{00000000-0008-0000-12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2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0" name="LOGO">
          <a:extLst>
            <a:ext uri="{FF2B5EF4-FFF2-40B4-BE49-F238E27FC236}">
              <a16:creationId xmlns:a16="http://schemas.microsoft.com/office/drawing/2014/main" id="{00000000-0008-0000-1200-00001E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editAs="oneCell">
    <xdr:from>
      <xdr:col>33</xdr:col>
      <xdr:colOff>31759</xdr:colOff>
      <xdr:row>26</xdr:row>
      <xdr:rowOff>145676</xdr:rowOff>
    </xdr:from>
    <xdr:to>
      <xdr:col>41</xdr:col>
      <xdr:colOff>84224</xdr:colOff>
      <xdr:row>30</xdr:row>
      <xdr:rowOff>62854</xdr:rowOff>
    </xdr:to>
    <xdr:pic>
      <xdr:nvPicPr>
        <xdr:cNvPr id="24" name="Picture 23">
          <a:hlinkClick xmlns:r="http://schemas.openxmlformats.org/officeDocument/2006/relationships" r:id="rId14"/>
          <a:extLst>
            <a:ext uri="{FF2B5EF4-FFF2-40B4-BE49-F238E27FC236}">
              <a16:creationId xmlns:a16="http://schemas.microsoft.com/office/drawing/2014/main" id="{00000000-0008-0000-1200-00001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0404484" y="5346326"/>
          <a:ext cx="2567065" cy="717278"/>
        </a:xfrm>
        <a:prstGeom prst="rect">
          <a:avLst/>
        </a:prstGeom>
      </xdr:spPr>
    </xdr:pic>
    <xdr:clientData/>
  </xdr:twoCellAnchor>
  <xdr:twoCellAnchor>
    <xdr:from>
      <xdr:col>32</xdr:col>
      <xdr:colOff>11205</xdr:colOff>
      <xdr:row>15</xdr:row>
      <xdr:rowOff>190500</xdr:rowOff>
    </xdr:from>
    <xdr:to>
      <xdr:col>37</xdr:col>
      <xdr:colOff>145677</xdr:colOff>
      <xdr:row>16</xdr:row>
      <xdr:rowOff>145677</xdr:rowOff>
    </xdr:to>
    <xdr:sp macro="" textlink="">
      <xdr:nvSpPr>
        <xdr:cNvPr id="25" name="Rectangle 24">
          <a:hlinkClick xmlns:r="http://schemas.openxmlformats.org/officeDocument/2006/relationships" r:id="rId14"/>
          <a:extLst>
            <a:ext uri="{FF2B5EF4-FFF2-40B4-BE49-F238E27FC236}">
              <a16:creationId xmlns:a16="http://schemas.microsoft.com/office/drawing/2014/main" id="{00000000-0008-0000-1200-000019000000}"/>
            </a:ext>
          </a:extLst>
        </xdr:cNvPr>
        <xdr:cNvSpPr/>
      </xdr:nvSpPr>
      <xdr:spPr>
        <a:xfrm>
          <a:off x="10069605" y="3190875"/>
          <a:ext cx="1706097" cy="1552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14</xdr:row>
      <xdr:rowOff>0</xdr:rowOff>
    </xdr:from>
    <xdr:to>
      <xdr:col>10</xdr:col>
      <xdr:colOff>0</xdr:colOff>
      <xdr:row>15</xdr:row>
      <xdr:rowOff>190500</xdr:rowOff>
    </xdr:to>
    <xdr:sp macro="" textlink="">
      <xdr:nvSpPr>
        <xdr:cNvPr id="26" name="Rectangle 25">
          <a:hlinkClick xmlns:r="http://schemas.openxmlformats.org/officeDocument/2006/relationships" r:id="rId6"/>
          <a:extLst>
            <a:ext uri="{FF2B5EF4-FFF2-40B4-BE49-F238E27FC236}">
              <a16:creationId xmlns:a16="http://schemas.microsoft.com/office/drawing/2014/main" id="{00000000-0008-0000-1200-00001A000000}"/>
            </a:ext>
          </a:extLst>
        </xdr:cNvPr>
        <xdr:cNvSpPr/>
      </xdr:nvSpPr>
      <xdr:spPr>
        <a:xfrm>
          <a:off x="942975" y="2800350"/>
          <a:ext cx="2200275" cy="3905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17</xdr:row>
      <xdr:rowOff>0</xdr:rowOff>
    </xdr:from>
    <xdr:to>
      <xdr:col>10</xdr:col>
      <xdr:colOff>0</xdr:colOff>
      <xdr:row>18</xdr:row>
      <xdr:rowOff>0</xdr:rowOff>
    </xdr:to>
    <xdr:sp macro="" textlink="">
      <xdr:nvSpPr>
        <xdr:cNvPr id="27" name="Rectangle 26">
          <a:hlinkClick xmlns:r="http://schemas.openxmlformats.org/officeDocument/2006/relationships" r:id="rId10"/>
          <a:extLst>
            <a:ext uri="{FF2B5EF4-FFF2-40B4-BE49-F238E27FC236}">
              <a16:creationId xmlns:a16="http://schemas.microsoft.com/office/drawing/2014/main" id="{00000000-0008-0000-1200-00001B000000}"/>
            </a:ext>
          </a:extLst>
        </xdr:cNvPr>
        <xdr:cNvSpPr/>
      </xdr:nvSpPr>
      <xdr:spPr>
        <a:xfrm>
          <a:off x="942975" y="3400425"/>
          <a:ext cx="220027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19</xdr:row>
      <xdr:rowOff>0</xdr:rowOff>
    </xdr:from>
    <xdr:to>
      <xdr:col>10</xdr:col>
      <xdr:colOff>0</xdr:colOff>
      <xdr:row>20</xdr:row>
      <xdr:rowOff>0</xdr:rowOff>
    </xdr:to>
    <xdr:sp macro="" textlink="">
      <xdr:nvSpPr>
        <xdr:cNvPr id="28" name="Rectangle 27">
          <a:hlinkClick xmlns:r="http://schemas.openxmlformats.org/officeDocument/2006/relationships" r:id="rId11"/>
          <a:extLst>
            <a:ext uri="{FF2B5EF4-FFF2-40B4-BE49-F238E27FC236}">
              <a16:creationId xmlns:a16="http://schemas.microsoft.com/office/drawing/2014/main" id="{00000000-0008-0000-1200-00001C000000}"/>
            </a:ext>
          </a:extLst>
        </xdr:cNvPr>
        <xdr:cNvSpPr/>
      </xdr:nvSpPr>
      <xdr:spPr>
        <a:xfrm>
          <a:off x="942975" y="3800475"/>
          <a:ext cx="220027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1"/>
          <a:extLst>
            <a:ext uri="{FF2B5EF4-FFF2-40B4-BE49-F238E27FC236}">
              <a16:creationId xmlns:a16="http://schemas.microsoft.com/office/drawing/2014/main" id="{00000000-0008-0000-1300-000010000000}"/>
            </a:ext>
          </a:extLst>
        </xdr:cNvPr>
        <xdr:cNvSpPr/>
      </xdr:nvSpPr>
      <xdr:spPr>
        <a:xfrm>
          <a:off x="8486775" y="1000805"/>
          <a:ext cx="1574490"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2"/>
          <a:extLst>
            <a:ext uri="{FF2B5EF4-FFF2-40B4-BE49-F238E27FC236}">
              <a16:creationId xmlns:a16="http://schemas.microsoft.com/office/drawing/2014/main" id="{00000000-0008-0000-1300-000011000000}"/>
            </a:ext>
          </a:extLst>
        </xdr:cNvPr>
        <xdr:cNvSpPr/>
      </xdr:nvSpPr>
      <xdr:spPr>
        <a:xfrm>
          <a:off x="10061265" y="1000805"/>
          <a:ext cx="1571480"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3"/>
          <a:extLst>
            <a:ext uri="{FF2B5EF4-FFF2-40B4-BE49-F238E27FC236}">
              <a16:creationId xmlns:a16="http://schemas.microsoft.com/office/drawing/2014/main" id="{00000000-0008-0000-1300-000012000000}"/>
            </a:ext>
          </a:extLst>
        </xdr:cNvPr>
        <xdr:cNvSpPr/>
      </xdr:nvSpPr>
      <xdr:spPr>
        <a:xfrm>
          <a:off x="11632745" y="1000805"/>
          <a:ext cx="1568905"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a:extLst>
            <a:ext uri="{FF2B5EF4-FFF2-40B4-BE49-F238E27FC236}">
              <a16:creationId xmlns:a16="http://schemas.microsoft.com/office/drawing/2014/main" id="{00000000-0008-0000-1300-000003000000}"/>
            </a:ext>
          </a:extLst>
        </xdr:cNvPr>
        <xdr:cNvSpPr/>
      </xdr:nvSpPr>
      <xdr:spPr>
        <a:xfrm>
          <a:off x="2200732" y="200025"/>
          <a:ext cx="1571168"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5"/>
          <a:extLst>
            <a:ext uri="{FF2B5EF4-FFF2-40B4-BE49-F238E27FC236}">
              <a16:creationId xmlns:a16="http://schemas.microsoft.com/office/drawing/2014/main" id="{00000000-0008-0000-1300-000004000000}"/>
            </a:ext>
          </a:extLst>
        </xdr:cNvPr>
        <xdr:cNvSpPr/>
      </xdr:nvSpPr>
      <xdr:spPr>
        <a:xfrm>
          <a:off x="3771900" y="333375"/>
          <a:ext cx="1571625" cy="600075"/>
        </a:xfrm>
        <a:prstGeom prst="round2SameRect">
          <a:avLst/>
        </a:prstGeom>
        <a:solidFill>
          <a:srgbClr val="F3901D"/>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hidden="1">
          <a:hlinkClick xmlns:r="http://schemas.openxmlformats.org/officeDocument/2006/relationships" r:id="rId6"/>
          <a:extLst>
            <a:ext uri="{FF2B5EF4-FFF2-40B4-BE49-F238E27FC236}">
              <a16:creationId xmlns:a16="http://schemas.microsoft.com/office/drawing/2014/main" id="{00000000-0008-0000-1300-000005000000}"/>
            </a:ext>
          </a:extLst>
        </xdr:cNvPr>
        <xdr:cNvSpPr/>
      </xdr:nvSpPr>
      <xdr:spPr>
        <a:xfrm>
          <a:off x="534352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CODE-BASELINE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7"/>
          <a:extLst>
            <a:ext uri="{FF2B5EF4-FFF2-40B4-BE49-F238E27FC236}">
              <a16:creationId xmlns:a16="http://schemas.microsoft.com/office/drawing/2014/main" id="{00000000-0008-0000-1300-000006000000}"/>
            </a:ext>
          </a:extLst>
        </xdr:cNvPr>
        <xdr:cNvSpPr/>
      </xdr:nvSpPr>
      <xdr:spPr>
        <a:xfrm>
          <a:off x="691515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PRE-APPROVAL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hidden="1">
          <a:hlinkClick xmlns:r="http://schemas.openxmlformats.org/officeDocument/2006/relationships" r:id="rId8"/>
          <a:extLst>
            <a:ext uri="{FF2B5EF4-FFF2-40B4-BE49-F238E27FC236}">
              <a16:creationId xmlns:a16="http://schemas.microsoft.com/office/drawing/2014/main" id="{00000000-0008-0000-1300-000007000000}"/>
            </a:ext>
          </a:extLst>
        </xdr:cNvPr>
        <xdr:cNvSpPr/>
      </xdr:nvSpPr>
      <xdr:spPr>
        <a:xfrm>
          <a:off x="8486775" y="200025"/>
          <a:ext cx="1571625" cy="600075"/>
        </a:xfrm>
        <a:prstGeom prst="round2SameRect">
          <a:avLst/>
        </a:prstGeom>
        <a:solidFill>
          <a:srgbClr val="17375E"/>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hidden="1">
          <a:extLst>
            <a:ext uri="{FF2B5EF4-FFF2-40B4-BE49-F238E27FC236}">
              <a16:creationId xmlns:a16="http://schemas.microsoft.com/office/drawing/2014/main" id="{00000000-0008-0000-1300-000008000000}"/>
            </a:ext>
          </a:extLst>
        </xdr:cNvPr>
        <xdr:cNvSpPr/>
      </xdr:nvSpPr>
      <xdr:spPr>
        <a:xfrm>
          <a:off x="10058400" y="200025"/>
          <a:ext cx="1571626" cy="600075"/>
        </a:xfrm>
        <a:prstGeom prst="round2SameRect">
          <a:avLst/>
        </a:prstGeom>
        <a:noFill/>
        <a:ln w="25400" cap="flat" cmpd="sng" algn="ctr">
          <a:solidFill>
            <a:srgbClr val="7F7F7F"/>
          </a:solidFill>
          <a:prstDash val="solid"/>
          <a:miter lim="800000"/>
        </a:ln>
        <a:effectLst>
          <a:outerShdw blurRad="50800" dist="12700" dir="18899991" rotWithShape="0">
            <a:srgbClr val="000000">
              <a:alpha val="40000"/>
            </a:srgbClr>
          </a:outerShdw>
        </a:effectLst>
        <a:extLst>
          <a:ext uri="{909E8E84-426E-40DD-AFC4-6F175D3DCCD1}">
            <a14:hiddenFill xmlns:a14="http://schemas.microsoft.com/office/drawing/2010/main">
              <a:solidFill>
                <a:srgbClr val="54BCEB"/>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NEXT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hidden="1">
          <a:extLst>
            <a:ext uri="{FF2B5EF4-FFF2-40B4-BE49-F238E27FC236}">
              <a16:creationId xmlns:a16="http://schemas.microsoft.com/office/drawing/2014/main" id="{00000000-0008-0000-1300-000009000000}"/>
            </a:ext>
          </a:extLst>
        </xdr:cNvPr>
        <xdr:cNvSpPr/>
      </xdr:nvSpPr>
      <xdr:spPr>
        <a:xfrm>
          <a:off x="11630024" y="200025"/>
          <a:ext cx="1571625" cy="600075"/>
        </a:xfrm>
        <a:prstGeom prst="round2SameRect">
          <a:avLst/>
        </a:prstGeom>
        <a:noFill/>
        <a:ln w="25400" cap="flat" cmpd="sng" algn="ctr">
          <a:solidFill>
            <a:srgbClr val="7F7F7F"/>
          </a:solidFill>
          <a:prstDash val="solid"/>
          <a:miter lim="800000"/>
        </a:ln>
        <a:effectLst>
          <a:outerShdw blurRad="50800" dist="12700" dir="18899991" rotWithShape="0">
            <a:srgbClr val="000000">
              <a:alpha val="40000"/>
            </a:srgbClr>
          </a:outerShdw>
        </a:effectLst>
        <a:extLst>
          <a:ext uri="{909E8E84-426E-40DD-AFC4-6F175D3DCCD1}">
            <a14:hiddenFill xmlns:a14="http://schemas.microsoft.com/office/drawing/2010/main">
              <a:solidFill>
                <a:srgbClr val="54BCEB"/>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1300-00000A000000}"/>
            </a:ext>
          </a:extLst>
        </xdr:cNvPr>
        <xdr:cNvSpPr/>
      </xdr:nvSpPr>
      <xdr:spPr>
        <a:xfrm>
          <a:off x="314325" y="800101"/>
          <a:ext cx="13515975" cy="600074"/>
        </a:xfrm>
        <a:prstGeom prst="round2SameRect">
          <a:avLst/>
        </a:prstGeom>
        <a:solidFill>
          <a:srgbClr val="F390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5"/>
          <a:extLst>
            <a:ext uri="{FF2B5EF4-FFF2-40B4-BE49-F238E27FC236}">
              <a16:creationId xmlns:a16="http://schemas.microsoft.com/office/drawing/2014/main" id="{00000000-0008-0000-1300-00000B000000}"/>
            </a:ext>
          </a:extLst>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Terms &amp; Conditions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2S2">
      <xdr:nvSpPr>
        <xdr:cNvPr id="12" name="SUBMENU2">
          <a:hlinkClick xmlns:r="http://schemas.openxmlformats.org/officeDocument/2006/relationships" r:id="rId9"/>
          <a:extLst>
            <a:ext uri="{FF2B5EF4-FFF2-40B4-BE49-F238E27FC236}">
              <a16:creationId xmlns:a16="http://schemas.microsoft.com/office/drawing/2014/main" id="{00000000-0008-0000-1300-00000C000000}"/>
            </a:ext>
          </a:extLst>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Applicant and Site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2S3">
      <xdr:nvSpPr>
        <xdr:cNvPr id="13" name="SUBMENU3">
          <a:hlinkClick xmlns:r="http://schemas.openxmlformats.org/officeDocument/2006/relationships" r:id="rId10"/>
          <a:extLst>
            <a:ext uri="{FF2B5EF4-FFF2-40B4-BE49-F238E27FC236}">
              <a16:creationId xmlns:a16="http://schemas.microsoft.com/office/drawing/2014/main" id="{00000000-0008-0000-1300-00000D000000}"/>
            </a:ext>
          </a:extLst>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Design Team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2S4">
      <xdr:nvSpPr>
        <xdr:cNvPr id="14" name="SUBMENU4">
          <a:hlinkClick xmlns:r="http://schemas.openxmlformats.org/officeDocument/2006/relationships" r:id="rId11"/>
          <a:extLst>
            <a:ext uri="{FF2B5EF4-FFF2-40B4-BE49-F238E27FC236}">
              <a16:creationId xmlns:a16="http://schemas.microsoft.com/office/drawing/2014/main" id="{00000000-0008-0000-1300-00000E000000}"/>
            </a:ext>
          </a:extLst>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83230</xdr:rowOff>
    </xdr:from>
    <xdr:to>
      <xdr:col>27</xdr:col>
      <xdr:colOff>2549</xdr:colOff>
      <xdr:row>7</xdr:row>
      <xdr:rowOff>82550</xdr:rowOff>
    </xdr:to>
    <xdr:sp macro="" textlink="M2S5">
      <xdr:nvSpPr>
        <xdr:cNvPr id="15" name="SUBMENU5">
          <a:hlinkClick xmlns:r="http://schemas.openxmlformats.org/officeDocument/2006/relationships" r:id="rId12"/>
          <a:extLst>
            <a:ext uri="{FF2B5EF4-FFF2-40B4-BE49-F238E27FC236}">
              <a16:creationId xmlns:a16="http://schemas.microsoft.com/office/drawing/2014/main" id="{00000000-0008-0000-1300-00000F000000}"/>
            </a:ext>
          </a:extLst>
        </xdr:cNvPr>
        <xdr:cNvSpPr/>
      </xdr:nvSpPr>
      <xdr:spPr>
        <a:xfrm>
          <a:off x="6917701" y="1083355"/>
          <a:ext cx="1571623" cy="399370"/>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Design Team Meeting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3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3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36</xdr:col>
      <xdr:colOff>134471</xdr:colOff>
      <xdr:row>28</xdr:row>
      <xdr:rowOff>179294</xdr:rowOff>
    </xdr:from>
    <xdr:to>
      <xdr:col>37</xdr:col>
      <xdr:colOff>179294</xdr:colOff>
      <xdr:row>29</xdr:row>
      <xdr:rowOff>145676</xdr:rowOff>
    </xdr:to>
    <xdr:sp macro="" textlink="">
      <xdr:nvSpPr>
        <xdr:cNvPr id="29" name="Rectangle 28">
          <a:hlinkClick xmlns:r="http://schemas.openxmlformats.org/officeDocument/2006/relationships" r:id="rId13"/>
          <a:extLst>
            <a:ext uri="{FF2B5EF4-FFF2-40B4-BE49-F238E27FC236}">
              <a16:creationId xmlns:a16="http://schemas.microsoft.com/office/drawing/2014/main" id="{00000000-0008-0000-1300-00001D000000}"/>
            </a:ext>
          </a:extLst>
        </xdr:cNvPr>
        <xdr:cNvSpPr/>
      </xdr:nvSpPr>
      <xdr:spPr>
        <a:xfrm>
          <a:off x="11430000" y="5827059"/>
          <a:ext cx="358588" cy="1680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242047</xdr:colOff>
      <xdr:row>51</xdr:row>
      <xdr:rowOff>6724</xdr:rowOff>
    </xdr:from>
    <xdr:to>
      <xdr:col>25</xdr:col>
      <xdr:colOff>286870</xdr:colOff>
      <xdr:row>51</xdr:row>
      <xdr:rowOff>174813</xdr:rowOff>
    </xdr:to>
    <xdr:sp macro="" textlink="">
      <xdr:nvSpPr>
        <xdr:cNvPr id="30" name="Rectangle 29">
          <a:hlinkClick xmlns:r="http://schemas.openxmlformats.org/officeDocument/2006/relationships" r:id="rId13"/>
          <a:extLst>
            <a:ext uri="{FF2B5EF4-FFF2-40B4-BE49-F238E27FC236}">
              <a16:creationId xmlns:a16="http://schemas.microsoft.com/office/drawing/2014/main" id="{00000000-0008-0000-1300-00001E000000}"/>
            </a:ext>
          </a:extLst>
        </xdr:cNvPr>
        <xdr:cNvSpPr/>
      </xdr:nvSpPr>
      <xdr:spPr>
        <a:xfrm>
          <a:off x="7785847" y="11208124"/>
          <a:ext cx="359148" cy="1680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112059</xdr:colOff>
      <xdr:row>73</xdr:row>
      <xdr:rowOff>190500</xdr:rowOff>
    </xdr:from>
    <xdr:to>
      <xdr:col>27</xdr:col>
      <xdr:colOff>156882</xdr:colOff>
      <xdr:row>74</xdr:row>
      <xdr:rowOff>156883</xdr:rowOff>
    </xdr:to>
    <xdr:sp macro="" textlink="">
      <xdr:nvSpPr>
        <xdr:cNvPr id="31" name="Rectangle 30">
          <a:hlinkClick xmlns:r="http://schemas.openxmlformats.org/officeDocument/2006/relationships" r:id="rId14"/>
          <a:extLst>
            <a:ext uri="{FF2B5EF4-FFF2-40B4-BE49-F238E27FC236}">
              <a16:creationId xmlns:a16="http://schemas.microsoft.com/office/drawing/2014/main" id="{00000000-0008-0000-1300-00001F000000}"/>
            </a:ext>
          </a:extLst>
        </xdr:cNvPr>
        <xdr:cNvSpPr/>
      </xdr:nvSpPr>
      <xdr:spPr>
        <a:xfrm>
          <a:off x="8284509" y="14992350"/>
          <a:ext cx="359148" cy="1664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96370</xdr:colOff>
      <xdr:row>37</xdr:row>
      <xdr:rowOff>6724</xdr:rowOff>
    </xdr:from>
    <xdr:to>
      <xdr:col>13</xdr:col>
      <xdr:colOff>44823</xdr:colOff>
      <xdr:row>37</xdr:row>
      <xdr:rowOff>145678</xdr:rowOff>
    </xdr:to>
    <xdr:sp macro="" textlink="">
      <xdr:nvSpPr>
        <xdr:cNvPr id="32" name="Rectangle 31">
          <a:hlinkClick xmlns:r="http://schemas.openxmlformats.org/officeDocument/2006/relationships" r:id="rId13"/>
          <a:extLst>
            <a:ext uri="{FF2B5EF4-FFF2-40B4-BE49-F238E27FC236}">
              <a16:creationId xmlns:a16="http://schemas.microsoft.com/office/drawing/2014/main" id="{00000000-0008-0000-1300-000020000000}"/>
            </a:ext>
          </a:extLst>
        </xdr:cNvPr>
        <xdr:cNvSpPr/>
      </xdr:nvSpPr>
      <xdr:spPr>
        <a:xfrm>
          <a:off x="2296645" y="8007724"/>
          <a:ext cx="1834403" cy="1389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208429</xdr:colOff>
      <xdr:row>88</xdr:row>
      <xdr:rowOff>163606</xdr:rowOff>
    </xdr:from>
    <xdr:to>
      <xdr:col>23</xdr:col>
      <xdr:colOff>253253</xdr:colOff>
      <xdr:row>89</xdr:row>
      <xdr:rowOff>129989</xdr:rowOff>
    </xdr:to>
    <xdr:sp macro="" textlink="">
      <xdr:nvSpPr>
        <xdr:cNvPr id="33" name="Rectangle 32">
          <a:hlinkClick xmlns:r="http://schemas.openxmlformats.org/officeDocument/2006/relationships" r:id="rId15"/>
          <a:extLst>
            <a:ext uri="{FF2B5EF4-FFF2-40B4-BE49-F238E27FC236}">
              <a16:creationId xmlns:a16="http://schemas.microsoft.com/office/drawing/2014/main" id="{00000000-0008-0000-1300-000021000000}"/>
            </a:ext>
          </a:extLst>
        </xdr:cNvPr>
        <xdr:cNvSpPr/>
      </xdr:nvSpPr>
      <xdr:spPr>
        <a:xfrm>
          <a:off x="7123579" y="18365881"/>
          <a:ext cx="359149" cy="1664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0</xdr:colOff>
          <xdr:row>93</xdr:row>
          <xdr:rowOff>9525</xdr:rowOff>
        </xdr:from>
        <xdr:to>
          <xdr:col>5</xdr:col>
          <xdr:colOff>0</xdr:colOff>
          <xdr:row>95</xdr:row>
          <xdr:rowOff>0</xdr:rowOff>
        </xdr:to>
        <xdr:sp macro="" textlink="">
          <xdr:nvSpPr>
            <xdr:cNvPr id="147461" name="Check Box 5" hidden="1">
              <a:extLst>
                <a:ext uri="{63B3BB69-23CF-44E3-9099-C40C66FF867C}">
                  <a14:compatExt spid="_x0000_s147461"/>
                </a:ext>
                <a:ext uri="{FF2B5EF4-FFF2-40B4-BE49-F238E27FC236}">
                  <a16:creationId xmlns:a16="http://schemas.microsoft.com/office/drawing/2014/main" id="{00000000-0008-0000-1300-00000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HVAC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9525</xdr:rowOff>
        </xdr:from>
        <xdr:to>
          <xdr:col>38</xdr:col>
          <xdr:colOff>0</xdr:colOff>
          <xdr:row>95</xdr:row>
          <xdr:rowOff>0</xdr:rowOff>
        </xdr:to>
        <xdr:sp macro="" textlink="">
          <xdr:nvSpPr>
            <xdr:cNvPr id="147462" name="Check Box 6" hidden="1">
              <a:extLst>
                <a:ext uri="{63B3BB69-23CF-44E3-9099-C40C66FF867C}">
                  <a14:compatExt spid="_x0000_s147462"/>
                </a:ext>
                <a:ext uri="{FF2B5EF4-FFF2-40B4-BE49-F238E27FC236}">
                  <a16:creationId xmlns:a16="http://schemas.microsoft.com/office/drawing/2014/main" id="{00000000-0008-0000-1300-00000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Refrigeration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93</xdr:row>
          <xdr:rowOff>9525</xdr:rowOff>
        </xdr:from>
        <xdr:to>
          <xdr:col>43</xdr:col>
          <xdr:colOff>0</xdr:colOff>
          <xdr:row>95</xdr:row>
          <xdr:rowOff>0</xdr:rowOff>
        </xdr:to>
        <xdr:sp macro="" textlink="">
          <xdr:nvSpPr>
            <xdr:cNvPr id="147463" name="Check Box 7" hidden="1">
              <a:extLst>
                <a:ext uri="{63B3BB69-23CF-44E3-9099-C40C66FF867C}">
                  <a14:compatExt spid="_x0000_s147463"/>
                </a:ext>
                <a:ext uri="{FF2B5EF4-FFF2-40B4-BE49-F238E27FC236}">
                  <a16:creationId xmlns:a16="http://schemas.microsoft.com/office/drawing/2014/main" id="{00000000-0008-0000-1300-000007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Others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93</xdr:row>
          <xdr:rowOff>9525</xdr:rowOff>
        </xdr:from>
        <xdr:to>
          <xdr:col>31</xdr:col>
          <xdr:colOff>0</xdr:colOff>
          <xdr:row>95</xdr:row>
          <xdr:rowOff>0</xdr:rowOff>
        </xdr:to>
        <xdr:sp macro="" textlink="">
          <xdr:nvSpPr>
            <xdr:cNvPr id="147464" name="Check Box 8" hidden="1">
              <a:extLst>
                <a:ext uri="{63B3BB69-23CF-44E3-9099-C40C66FF867C}">
                  <a14:compatExt spid="_x0000_s147464"/>
                </a:ext>
                <a:ext uri="{FF2B5EF4-FFF2-40B4-BE49-F238E27FC236}">
                  <a16:creationId xmlns:a16="http://schemas.microsoft.com/office/drawing/2014/main" id="{00000000-0008-0000-1300-000008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Compressed Air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238125</xdr:colOff>
          <xdr:row>93</xdr:row>
          <xdr:rowOff>9525</xdr:rowOff>
        </xdr:from>
        <xdr:to>
          <xdr:col>24</xdr:col>
          <xdr:colOff>238125</xdr:colOff>
          <xdr:row>95</xdr:row>
          <xdr:rowOff>0</xdr:rowOff>
        </xdr:to>
        <xdr:sp macro="" textlink="">
          <xdr:nvSpPr>
            <xdr:cNvPr id="147465" name="Check Box 9" hidden="1">
              <a:extLst>
                <a:ext uri="{63B3BB69-23CF-44E3-9099-C40C66FF867C}">
                  <a14:compatExt spid="_x0000_s147465"/>
                </a:ext>
                <a:ext uri="{FF2B5EF4-FFF2-40B4-BE49-F238E27FC236}">
                  <a16:creationId xmlns:a16="http://schemas.microsoft.com/office/drawing/2014/main" id="{00000000-0008-0000-1300-000009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Motors / VFD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93</xdr:row>
          <xdr:rowOff>9525</xdr:rowOff>
        </xdr:from>
        <xdr:to>
          <xdr:col>19</xdr:col>
          <xdr:colOff>238125</xdr:colOff>
          <xdr:row>95</xdr:row>
          <xdr:rowOff>0</xdr:rowOff>
        </xdr:to>
        <xdr:sp macro="" textlink="">
          <xdr:nvSpPr>
            <xdr:cNvPr id="147466" name="Check Box 10" hidden="1">
              <a:extLst>
                <a:ext uri="{63B3BB69-23CF-44E3-9099-C40C66FF867C}">
                  <a14:compatExt spid="_x0000_s147466"/>
                </a:ext>
                <a:ext uri="{FF2B5EF4-FFF2-40B4-BE49-F238E27FC236}">
                  <a16:creationId xmlns:a16="http://schemas.microsoft.com/office/drawing/2014/main" id="{00000000-0008-0000-1300-00000A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Water Heating/Cooking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93</xdr:row>
          <xdr:rowOff>9525</xdr:rowOff>
        </xdr:from>
        <xdr:to>
          <xdr:col>11</xdr:col>
          <xdr:colOff>257175</xdr:colOff>
          <xdr:row>95</xdr:row>
          <xdr:rowOff>0</xdr:rowOff>
        </xdr:to>
        <xdr:sp macro="" textlink="">
          <xdr:nvSpPr>
            <xdr:cNvPr id="147467" name="Check Box 11" hidden="1">
              <a:extLst>
                <a:ext uri="{63B3BB69-23CF-44E3-9099-C40C66FF867C}">
                  <a14:compatExt spid="_x0000_s147467"/>
                </a:ext>
                <a:ext uri="{FF2B5EF4-FFF2-40B4-BE49-F238E27FC236}">
                  <a16:creationId xmlns:a16="http://schemas.microsoft.com/office/drawing/2014/main" id="{00000000-0008-0000-1300-00000B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Lighting Controls</a:t>
              </a:r>
            </a:p>
          </xdr:txBody>
        </xdr:sp>
        <xdr:clientData/>
      </xdr:twoCellAnchor>
    </mc:Choice>
    <mc:Fallback/>
  </mc:AlternateContent>
  <xdr:twoCellAnchor>
    <xdr:from>
      <xdr:col>20</xdr:col>
      <xdr:colOff>145676</xdr:colOff>
      <xdr:row>110</xdr:row>
      <xdr:rowOff>179294</xdr:rowOff>
    </xdr:from>
    <xdr:to>
      <xdr:col>25</xdr:col>
      <xdr:colOff>313763</xdr:colOff>
      <xdr:row>111</xdr:row>
      <xdr:rowOff>134472</xdr:rowOff>
    </xdr:to>
    <xdr:sp macro="" textlink="">
      <xdr:nvSpPr>
        <xdr:cNvPr id="41" name="Rectangle 40">
          <a:hlinkClick xmlns:r="http://schemas.openxmlformats.org/officeDocument/2006/relationships" r:id="rId16"/>
          <a:extLst>
            <a:ext uri="{FF2B5EF4-FFF2-40B4-BE49-F238E27FC236}">
              <a16:creationId xmlns:a16="http://schemas.microsoft.com/office/drawing/2014/main" id="{00000000-0008-0000-1300-000029000000}"/>
            </a:ext>
          </a:extLst>
        </xdr:cNvPr>
        <xdr:cNvSpPr/>
      </xdr:nvSpPr>
      <xdr:spPr>
        <a:xfrm>
          <a:off x="6432176" y="23582219"/>
          <a:ext cx="1739712" cy="1552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275665</xdr:colOff>
      <xdr:row>111</xdr:row>
      <xdr:rowOff>179294</xdr:rowOff>
    </xdr:from>
    <xdr:to>
      <xdr:col>26</xdr:col>
      <xdr:colOff>56030</xdr:colOff>
      <xdr:row>112</xdr:row>
      <xdr:rowOff>112059</xdr:rowOff>
    </xdr:to>
    <xdr:sp macro="" textlink="">
      <xdr:nvSpPr>
        <xdr:cNvPr id="42" name="Rectangle 41">
          <a:hlinkClick xmlns:r="http://schemas.openxmlformats.org/officeDocument/2006/relationships" r:id="rId17"/>
          <a:extLst>
            <a:ext uri="{FF2B5EF4-FFF2-40B4-BE49-F238E27FC236}">
              <a16:creationId xmlns:a16="http://schemas.microsoft.com/office/drawing/2014/main" id="{00000000-0008-0000-1300-00002A000000}"/>
            </a:ext>
          </a:extLst>
        </xdr:cNvPr>
        <xdr:cNvSpPr/>
      </xdr:nvSpPr>
      <xdr:spPr>
        <a:xfrm>
          <a:off x="6247840" y="23782244"/>
          <a:ext cx="1980640" cy="1327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0</xdr:colOff>
      <xdr:row>9</xdr:row>
      <xdr:rowOff>0</xdr:rowOff>
    </xdr:from>
    <xdr:to>
      <xdr:col>3</xdr:col>
      <xdr:colOff>312005</xdr:colOff>
      <xdr:row>11</xdr:row>
      <xdr:rowOff>1681</xdr:rowOff>
    </xdr:to>
    <xdr:sp macro="" textlink="">
      <xdr:nvSpPr>
        <xdr:cNvPr id="45" name="BACK">
          <a:hlinkClick xmlns:r="http://schemas.openxmlformats.org/officeDocument/2006/relationships" r:id="rId11"/>
          <a:extLst>
            <a:ext uri="{FF2B5EF4-FFF2-40B4-BE49-F238E27FC236}">
              <a16:creationId xmlns:a16="http://schemas.microsoft.com/office/drawing/2014/main" id="{00000000-0008-0000-1300-00002D000000}"/>
            </a:ext>
          </a:extLst>
        </xdr:cNvPr>
        <xdr:cNvSpPr>
          <a:spLocks noChangeAspect="1"/>
        </xdr:cNvSpPr>
      </xdr:nvSpPr>
      <xdr:spPr>
        <a:xfrm>
          <a:off x="627529" y="1815353"/>
          <a:ext cx="625770" cy="405093"/>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12</xdr:col>
      <xdr:colOff>2551</xdr:colOff>
      <xdr:row>4</xdr:row>
      <xdr:rowOff>200705</xdr:rowOff>
    </xdr:from>
    <xdr:to>
      <xdr:col>17</xdr:col>
      <xdr:colOff>2550</xdr:colOff>
      <xdr:row>7</xdr:row>
      <xdr:rowOff>0</xdr:rowOff>
    </xdr:to>
    <xdr:sp macro="" textlink="M3S3">
      <xdr:nvSpPr>
        <xdr:cNvPr id="13" name="SUBMENU3">
          <a:hlinkClick xmlns:r="http://schemas.openxmlformats.org/officeDocument/2006/relationships" r:id="rId1"/>
          <a:extLst>
            <a:ext uri="{FF2B5EF4-FFF2-40B4-BE49-F238E27FC236}">
              <a16:creationId xmlns:a16="http://schemas.microsoft.com/office/drawing/2014/main" id="{00000000-0008-0000-1400-00000D000000}"/>
            </a:ext>
          </a:extLst>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M3S3</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3S2">
      <xdr:nvSpPr>
        <xdr:cNvPr id="12" name="SUBMENU2">
          <a:hlinkClick xmlns:r="http://schemas.openxmlformats.org/officeDocument/2006/relationships" r:id="rId2"/>
          <a:extLst>
            <a:ext uri="{FF2B5EF4-FFF2-40B4-BE49-F238E27FC236}">
              <a16:creationId xmlns:a16="http://schemas.microsoft.com/office/drawing/2014/main" id="{00000000-0008-0000-1400-00000C000000}"/>
            </a:ext>
          </a:extLst>
        </xdr:cNvPr>
        <xdr:cNvSpPr/>
      </xdr:nvSpPr>
      <xdr:spPr>
        <a:xfrm>
          <a:off x="2198904" y="1007529"/>
          <a:ext cx="1568822" cy="40441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LPD Interior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3S4">
      <xdr:nvSpPr>
        <xdr:cNvPr id="14" name="SUBMENU4">
          <a:hlinkClick xmlns:r="http://schemas.openxmlformats.org/officeDocument/2006/relationships" r:id="rId3"/>
          <a:extLst>
            <a:ext uri="{FF2B5EF4-FFF2-40B4-BE49-F238E27FC236}">
              <a16:creationId xmlns:a16="http://schemas.microsoft.com/office/drawing/2014/main" id="{00000000-0008-0000-1400-00000E000000}"/>
            </a:ext>
          </a:extLst>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M3S4</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3S5">
      <xdr:nvSpPr>
        <xdr:cNvPr id="15" name="SUBMENU5">
          <a:hlinkClick xmlns:r="http://schemas.openxmlformats.org/officeDocument/2006/relationships" r:id="rId4"/>
          <a:extLst>
            <a:ext uri="{FF2B5EF4-FFF2-40B4-BE49-F238E27FC236}">
              <a16:creationId xmlns:a16="http://schemas.microsoft.com/office/drawing/2014/main" id="{00000000-0008-0000-1400-00000F000000}"/>
            </a:ext>
          </a:extLst>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M3S5</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3S6">
      <xdr:nvSpPr>
        <xdr:cNvPr id="16" name="SUBMENU6">
          <a:hlinkClick xmlns:r="http://schemas.openxmlformats.org/officeDocument/2006/relationships" r:id="rId5"/>
          <a:extLst>
            <a:ext uri="{FF2B5EF4-FFF2-40B4-BE49-F238E27FC236}">
              <a16:creationId xmlns:a16="http://schemas.microsoft.com/office/drawing/2014/main" id="{00000000-0008-0000-1400-000010000000}"/>
            </a:ext>
          </a:extLst>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3S7">
      <xdr:nvSpPr>
        <xdr:cNvPr id="17" name="SUBMENU7">
          <a:hlinkClick xmlns:r="http://schemas.openxmlformats.org/officeDocument/2006/relationships" r:id="rId6"/>
          <a:extLst>
            <a:ext uri="{FF2B5EF4-FFF2-40B4-BE49-F238E27FC236}">
              <a16:creationId xmlns:a16="http://schemas.microsoft.com/office/drawing/2014/main" id="{00000000-0008-0000-1400-000011000000}"/>
            </a:ext>
          </a:extLst>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18" name="SUBMENU8">
          <a:hlinkClick xmlns:r="http://schemas.openxmlformats.org/officeDocument/2006/relationships" r:id="rId7"/>
          <a:extLst>
            <a:ext uri="{FF2B5EF4-FFF2-40B4-BE49-F238E27FC236}">
              <a16:creationId xmlns:a16="http://schemas.microsoft.com/office/drawing/2014/main" id="{00000000-0008-0000-1400-000012000000}"/>
            </a:ext>
          </a:extLst>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8"/>
          <a:extLst>
            <a:ext uri="{FF2B5EF4-FFF2-40B4-BE49-F238E27FC236}">
              <a16:creationId xmlns:a16="http://schemas.microsoft.com/office/drawing/2014/main" id="{00000000-0008-0000-1400-000003000000}"/>
            </a:ext>
          </a:extLst>
        </xdr:cNvPr>
        <xdr:cNvSpPr/>
      </xdr:nvSpPr>
      <xdr:spPr>
        <a:xfrm>
          <a:off x="2200732" y="200025"/>
          <a:ext cx="1571168"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9"/>
          <a:extLst>
            <a:ext uri="{FF2B5EF4-FFF2-40B4-BE49-F238E27FC236}">
              <a16:creationId xmlns:a16="http://schemas.microsoft.com/office/drawing/2014/main" id="{00000000-0008-0000-1400-000004000000}"/>
            </a:ext>
          </a:extLst>
        </xdr:cNvPr>
        <xdr:cNvSpPr/>
      </xdr:nvSpPr>
      <xdr:spPr>
        <a:xfrm>
          <a:off x="377190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133350</xdr:rowOff>
    </xdr:from>
    <xdr:to>
      <xdr:col>22</xdr:col>
      <xdr:colOff>0</xdr:colOff>
      <xdr:row>4</xdr:row>
      <xdr:rowOff>133350</xdr:rowOff>
    </xdr:to>
    <xdr:sp macro="" textlink="MAIN3">
      <xdr:nvSpPr>
        <xdr:cNvPr id="5" name="MENU3" hidden="1">
          <a:hlinkClick xmlns:r="http://schemas.openxmlformats.org/officeDocument/2006/relationships" r:id="rId2"/>
          <a:extLst>
            <a:ext uri="{FF2B5EF4-FFF2-40B4-BE49-F238E27FC236}">
              <a16:creationId xmlns:a16="http://schemas.microsoft.com/office/drawing/2014/main" id="{00000000-0008-0000-1400-000005000000}"/>
            </a:ext>
          </a:extLst>
        </xdr:cNvPr>
        <xdr:cNvSpPr/>
      </xdr:nvSpPr>
      <xdr:spPr>
        <a:xfrm>
          <a:off x="5343525" y="333375"/>
          <a:ext cx="1571625" cy="600075"/>
        </a:xfrm>
        <a:prstGeom prst="round2SameRect">
          <a:avLst/>
        </a:prstGeom>
        <a:solidFill>
          <a:srgbClr val="F3901D"/>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CODE-BASELINE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10"/>
          <a:extLst>
            <a:ext uri="{FF2B5EF4-FFF2-40B4-BE49-F238E27FC236}">
              <a16:creationId xmlns:a16="http://schemas.microsoft.com/office/drawing/2014/main" id="{00000000-0008-0000-1400-000006000000}"/>
            </a:ext>
          </a:extLst>
        </xdr:cNvPr>
        <xdr:cNvSpPr/>
      </xdr:nvSpPr>
      <xdr:spPr>
        <a:xfrm>
          <a:off x="691515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PRE-APPROVAL MEASURES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hidden="1">
          <a:hlinkClick xmlns:r="http://schemas.openxmlformats.org/officeDocument/2006/relationships" r:id="rId11"/>
          <a:extLst>
            <a:ext uri="{FF2B5EF4-FFF2-40B4-BE49-F238E27FC236}">
              <a16:creationId xmlns:a16="http://schemas.microsoft.com/office/drawing/2014/main" id="{00000000-0008-0000-1400-000007000000}"/>
            </a:ext>
          </a:extLst>
        </xdr:cNvPr>
        <xdr:cNvSpPr/>
      </xdr:nvSpPr>
      <xdr:spPr>
        <a:xfrm>
          <a:off x="848677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4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NEXT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4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1400-00000A000000}"/>
            </a:ext>
          </a:extLst>
        </xdr:cNvPr>
        <xdr:cNvSpPr/>
      </xdr:nvSpPr>
      <xdr:spPr>
        <a:xfrm>
          <a:off x="314325" y="800101"/>
          <a:ext cx="13515975" cy="600074"/>
        </a:xfrm>
        <a:prstGeom prst="round2SameRect">
          <a:avLst/>
        </a:prstGeom>
        <a:solidFill>
          <a:srgbClr val="F390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xdr:col>
      <xdr:colOff>558</xdr:colOff>
      <xdr:row>7</xdr:row>
      <xdr:rowOff>200023</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400-000013000000}"/>
            </a:ext>
          </a:extLst>
        </xdr:cNvPr>
        <xdr:cNvSpPr/>
      </xdr:nvSpPr>
      <xdr:spPr>
        <a:xfrm>
          <a:off x="314323" y="1611964"/>
          <a:ext cx="13491324" cy="38527507"/>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0</xdr:colOff>
      <xdr:row>1</xdr:row>
      <xdr:rowOff>0</xdr:rowOff>
    </xdr:from>
    <xdr:to>
      <xdr:col>5</xdr:col>
      <xdr:colOff>209550</xdr:colOff>
      <xdr:row>3</xdr:row>
      <xdr:rowOff>154218</xdr:rowOff>
    </xdr:to>
    <xdr:pic>
      <xdr:nvPicPr>
        <xdr:cNvPr id="37" name="LOGO">
          <a:extLst>
            <a:ext uri="{FF2B5EF4-FFF2-40B4-BE49-F238E27FC236}">
              <a16:creationId xmlns:a16="http://schemas.microsoft.com/office/drawing/2014/main" id="{00000000-0008-0000-1400-000025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xdr:twoCellAnchor>
    <xdr:from>
      <xdr:col>2</xdr:col>
      <xdr:colOff>2720</xdr:colOff>
      <xdr:row>5</xdr:row>
      <xdr:rowOff>50800</xdr:rowOff>
    </xdr:from>
    <xdr:to>
      <xdr:col>7</xdr:col>
      <xdr:colOff>457</xdr:colOff>
      <xdr:row>7</xdr:row>
      <xdr:rowOff>48602</xdr:rowOff>
    </xdr:to>
    <xdr:sp macro="" textlink="M3S1">
      <xdr:nvSpPr>
        <xdr:cNvPr id="11" name="SUBMENU1">
          <a:hlinkClick xmlns:r="http://schemas.openxmlformats.org/officeDocument/2006/relationships" r:id="rId13"/>
          <a:extLst>
            <a:ext uri="{FF2B5EF4-FFF2-40B4-BE49-F238E27FC236}">
              <a16:creationId xmlns:a16="http://schemas.microsoft.com/office/drawing/2014/main" id="{00000000-0008-0000-1400-00000B000000}"/>
            </a:ext>
          </a:extLst>
        </xdr:cNvPr>
        <xdr:cNvSpPr/>
      </xdr:nvSpPr>
      <xdr:spPr>
        <a:xfrm>
          <a:off x="631370" y="1050925"/>
          <a:ext cx="1569362" cy="39785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Whole Building Performance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4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2551</xdr:colOff>
      <xdr:row>4</xdr:row>
      <xdr:rowOff>200705</xdr:rowOff>
    </xdr:from>
    <xdr:to>
      <xdr:col>17</xdr:col>
      <xdr:colOff>2550</xdr:colOff>
      <xdr:row>7</xdr:row>
      <xdr:rowOff>0</xdr:rowOff>
    </xdr:to>
    <xdr:sp macro="" textlink="M3S3">
      <xdr:nvSpPr>
        <xdr:cNvPr id="13" name="SUBMENU3">
          <a:hlinkClick xmlns:r="http://schemas.openxmlformats.org/officeDocument/2006/relationships" r:id="rId1"/>
          <a:extLst>
            <a:ext uri="{FF2B5EF4-FFF2-40B4-BE49-F238E27FC236}">
              <a16:creationId xmlns:a16="http://schemas.microsoft.com/office/drawing/2014/main" id="{00000000-0008-0000-1500-00000D000000}"/>
            </a:ext>
          </a:extLst>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M3S3</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3S1">
      <xdr:nvSpPr>
        <xdr:cNvPr id="11" name="SUBMENU1">
          <a:hlinkClick xmlns:r="http://schemas.openxmlformats.org/officeDocument/2006/relationships" r:id="rId2"/>
          <a:extLst>
            <a:ext uri="{FF2B5EF4-FFF2-40B4-BE49-F238E27FC236}">
              <a16:creationId xmlns:a16="http://schemas.microsoft.com/office/drawing/2014/main" id="{00000000-0008-0000-1500-00000B000000}"/>
            </a:ext>
          </a:extLst>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Whole Building Performance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3S4">
      <xdr:nvSpPr>
        <xdr:cNvPr id="14" name="SUBMENU4">
          <a:hlinkClick xmlns:r="http://schemas.openxmlformats.org/officeDocument/2006/relationships" r:id="rId3"/>
          <a:extLst>
            <a:ext uri="{FF2B5EF4-FFF2-40B4-BE49-F238E27FC236}">
              <a16:creationId xmlns:a16="http://schemas.microsoft.com/office/drawing/2014/main" id="{00000000-0008-0000-1500-00000E000000}"/>
            </a:ext>
          </a:extLst>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M3S4</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3S5">
      <xdr:nvSpPr>
        <xdr:cNvPr id="15" name="SUBMENU5">
          <a:hlinkClick xmlns:r="http://schemas.openxmlformats.org/officeDocument/2006/relationships" r:id="rId4"/>
          <a:extLst>
            <a:ext uri="{FF2B5EF4-FFF2-40B4-BE49-F238E27FC236}">
              <a16:creationId xmlns:a16="http://schemas.microsoft.com/office/drawing/2014/main" id="{00000000-0008-0000-1500-00000F000000}"/>
            </a:ext>
          </a:extLst>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M3S5</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3S6">
      <xdr:nvSpPr>
        <xdr:cNvPr id="16" name="SUBMENU6">
          <a:hlinkClick xmlns:r="http://schemas.openxmlformats.org/officeDocument/2006/relationships" r:id="rId5"/>
          <a:extLst>
            <a:ext uri="{FF2B5EF4-FFF2-40B4-BE49-F238E27FC236}">
              <a16:creationId xmlns:a16="http://schemas.microsoft.com/office/drawing/2014/main" id="{00000000-0008-0000-1500-000010000000}"/>
            </a:ext>
          </a:extLst>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3S7">
      <xdr:nvSpPr>
        <xdr:cNvPr id="17" name="SUBMENU7">
          <a:hlinkClick xmlns:r="http://schemas.openxmlformats.org/officeDocument/2006/relationships" r:id="rId6"/>
          <a:extLst>
            <a:ext uri="{FF2B5EF4-FFF2-40B4-BE49-F238E27FC236}">
              <a16:creationId xmlns:a16="http://schemas.microsoft.com/office/drawing/2014/main" id="{00000000-0008-0000-1500-000011000000}"/>
            </a:ext>
          </a:extLst>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18" name="SUBMENU8">
          <a:hlinkClick xmlns:r="http://schemas.openxmlformats.org/officeDocument/2006/relationships" r:id="rId7"/>
          <a:extLst>
            <a:ext uri="{FF2B5EF4-FFF2-40B4-BE49-F238E27FC236}">
              <a16:creationId xmlns:a16="http://schemas.microsoft.com/office/drawing/2014/main" id="{00000000-0008-0000-1500-000012000000}"/>
            </a:ext>
          </a:extLst>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8"/>
          <a:extLst>
            <a:ext uri="{FF2B5EF4-FFF2-40B4-BE49-F238E27FC236}">
              <a16:creationId xmlns:a16="http://schemas.microsoft.com/office/drawing/2014/main" id="{00000000-0008-0000-1500-000003000000}"/>
            </a:ext>
          </a:extLst>
        </xdr:cNvPr>
        <xdr:cNvSpPr/>
      </xdr:nvSpPr>
      <xdr:spPr>
        <a:xfrm>
          <a:off x="2200732" y="200025"/>
          <a:ext cx="1571168"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9"/>
          <a:extLst>
            <a:ext uri="{FF2B5EF4-FFF2-40B4-BE49-F238E27FC236}">
              <a16:creationId xmlns:a16="http://schemas.microsoft.com/office/drawing/2014/main" id="{00000000-0008-0000-1500-000004000000}"/>
            </a:ext>
          </a:extLst>
        </xdr:cNvPr>
        <xdr:cNvSpPr/>
      </xdr:nvSpPr>
      <xdr:spPr>
        <a:xfrm>
          <a:off x="377190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133350</xdr:rowOff>
    </xdr:from>
    <xdr:to>
      <xdr:col>22</xdr:col>
      <xdr:colOff>0</xdr:colOff>
      <xdr:row>4</xdr:row>
      <xdr:rowOff>133350</xdr:rowOff>
    </xdr:to>
    <xdr:sp macro="" textlink="MAIN3">
      <xdr:nvSpPr>
        <xdr:cNvPr id="5" name="MENU3" hidden="1">
          <a:hlinkClick xmlns:r="http://schemas.openxmlformats.org/officeDocument/2006/relationships" r:id="rId10"/>
          <a:extLst>
            <a:ext uri="{FF2B5EF4-FFF2-40B4-BE49-F238E27FC236}">
              <a16:creationId xmlns:a16="http://schemas.microsoft.com/office/drawing/2014/main" id="{00000000-0008-0000-1500-000005000000}"/>
            </a:ext>
          </a:extLst>
        </xdr:cNvPr>
        <xdr:cNvSpPr/>
      </xdr:nvSpPr>
      <xdr:spPr>
        <a:xfrm>
          <a:off x="5343525" y="333375"/>
          <a:ext cx="1571625" cy="600075"/>
        </a:xfrm>
        <a:prstGeom prst="round2SameRect">
          <a:avLst/>
        </a:prstGeom>
        <a:solidFill>
          <a:srgbClr val="F3901D"/>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CODE-BASELINE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11"/>
          <a:extLst>
            <a:ext uri="{FF2B5EF4-FFF2-40B4-BE49-F238E27FC236}">
              <a16:creationId xmlns:a16="http://schemas.microsoft.com/office/drawing/2014/main" id="{00000000-0008-0000-1500-000006000000}"/>
            </a:ext>
          </a:extLst>
        </xdr:cNvPr>
        <xdr:cNvSpPr/>
      </xdr:nvSpPr>
      <xdr:spPr>
        <a:xfrm>
          <a:off x="691515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PRE-APPROVAL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hidden="1">
          <a:hlinkClick xmlns:r="http://schemas.openxmlformats.org/officeDocument/2006/relationships" r:id="rId12"/>
          <a:extLst>
            <a:ext uri="{FF2B5EF4-FFF2-40B4-BE49-F238E27FC236}">
              <a16:creationId xmlns:a16="http://schemas.microsoft.com/office/drawing/2014/main" id="{00000000-0008-0000-1500-000007000000}"/>
            </a:ext>
          </a:extLst>
        </xdr:cNvPr>
        <xdr:cNvSpPr/>
      </xdr:nvSpPr>
      <xdr:spPr>
        <a:xfrm>
          <a:off x="848677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5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NEXT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5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1500-00000A000000}"/>
            </a:ext>
          </a:extLst>
        </xdr:cNvPr>
        <xdr:cNvSpPr/>
      </xdr:nvSpPr>
      <xdr:spPr>
        <a:xfrm>
          <a:off x="314325" y="800101"/>
          <a:ext cx="13515975" cy="600074"/>
        </a:xfrm>
        <a:prstGeom prst="round2SameRect">
          <a:avLst/>
        </a:prstGeom>
        <a:solidFill>
          <a:srgbClr val="F390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5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0</xdr:colOff>
      <xdr:row>1</xdr:row>
      <xdr:rowOff>0</xdr:rowOff>
    </xdr:from>
    <xdr:to>
      <xdr:col>5</xdr:col>
      <xdr:colOff>209550</xdr:colOff>
      <xdr:row>3</xdr:row>
      <xdr:rowOff>154218</xdr:rowOff>
    </xdr:to>
    <xdr:pic>
      <xdr:nvPicPr>
        <xdr:cNvPr id="36" name="LOGO">
          <a:extLst>
            <a:ext uri="{FF2B5EF4-FFF2-40B4-BE49-F238E27FC236}">
              <a16:creationId xmlns:a16="http://schemas.microsoft.com/office/drawing/2014/main" id="{00000000-0008-0000-1500-000024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xdr:twoCellAnchor>
    <xdr:from>
      <xdr:col>7</xdr:col>
      <xdr:colOff>2551</xdr:colOff>
      <xdr:row>5</xdr:row>
      <xdr:rowOff>51480</xdr:rowOff>
    </xdr:from>
    <xdr:to>
      <xdr:col>12</xdr:col>
      <xdr:colOff>2550</xdr:colOff>
      <xdr:row>7</xdr:row>
      <xdr:rowOff>50800</xdr:rowOff>
    </xdr:to>
    <xdr:sp macro="" textlink="M3S2">
      <xdr:nvSpPr>
        <xdr:cNvPr id="12" name="SUBMENU2">
          <a:hlinkClick xmlns:r="http://schemas.openxmlformats.org/officeDocument/2006/relationships" r:id="rId10"/>
          <a:extLst>
            <a:ext uri="{FF2B5EF4-FFF2-40B4-BE49-F238E27FC236}">
              <a16:creationId xmlns:a16="http://schemas.microsoft.com/office/drawing/2014/main" id="{00000000-0008-0000-1500-00000C000000}"/>
            </a:ext>
          </a:extLst>
        </xdr:cNvPr>
        <xdr:cNvSpPr/>
      </xdr:nvSpPr>
      <xdr:spPr>
        <a:xfrm>
          <a:off x="2202826"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LPD Interior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5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32</xdr:col>
      <xdr:colOff>2865</xdr:colOff>
      <xdr:row>4</xdr:row>
      <xdr:rowOff>200705</xdr:rowOff>
    </xdr:from>
    <xdr:to>
      <xdr:col>37</xdr:col>
      <xdr:colOff>2720</xdr:colOff>
      <xdr:row>7</xdr:row>
      <xdr:rowOff>0</xdr:rowOff>
    </xdr:to>
    <xdr:sp macro="" textlink="M3S7">
      <xdr:nvSpPr>
        <xdr:cNvPr id="17" name="SUBMENU7">
          <a:hlinkClick xmlns:r="http://schemas.openxmlformats.org/officeDocument/2006/relationships" r:id="rId1"/>
          <a:extLst>
            <a:ext uri="{FF2B5EF4-FFF2-40B4-BE49-F238E27FC236}">
              <a16:creationId xmlns:a16="http://schemas.microsoft.com/office/drawing/2014/main" id="{00000000-0008-0000-1600-000011000000}"/>
            </a:ext>
          </a:extLst>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18" name="SUBMENU8">
          <a:hlinkClick xmlns:r="http://schemas.openxmlformats.org/officeDocument/2006/relationships" r:id="rId2"/>
          <a:extLst>
            <a:ext uri="{FF2B5EF4-FFF2-40B4-BE49-F238E27FC236}">
              <a16:creationId xmlns:a16="http://schemas.microsoft.com/office/drawing/2014/main" id="{00000000-0008-0000-1600-000012000000}"/>
            </a:ext>
          </a:extLst>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3"/>
          <a:extLst>
            <a:ext uri="{FF2B5EF4-FFF2-40B4-BE49-F238E27FC236}">
              <a16:creationId xmlns:a16="http://schemas.microsoft.com/office/drawing/2014/main" id="{00000000-0008-0000-16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a:extLst>
            <a:ext uri="{FF2B5EF4-FFF2-40B4-BE49-F238E27FC236}">
              <a16:creationId xmlns:a16="http://schemas.microsoft.com/office/drawing/2014/main" id="{00000000-0008-0000-1600-000003000000}"/>
            </a:ext>
          </a:extLst>
        </xdr:cNvPr>
        <xdr:cNvSpPr/>
      </xdr:nvSpPr>
      <xdr:spPr>
        <a:xfrm>
          <a:off x="2200732" y="200025"/>
          <a:ext cx="1571168"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a:extLst>
            <a:ext uri="{FF2B5EF4-FFF2-40B4-BE49-F238E27FC236}">
              <a16:creationId xmlns:a16="http://schemas.microsoft.com/office/drawing/2014/main" id="{00000000-0008-0000-1600-000004000000}"/>
            </a:ext>
          </a:extLst>
        </xdr:cNvPr>
        <xdr:cNvSpPr/>
      </xdr:nvSpPr>
      <xdr:spPr>
        <a:xfrm>
          <a:off x="377190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6"/>
          <a:extLst>
            <a:ext uri="{FF2B5EF4-FFF2-40B4-BE49-F238E27FC236}">
              <a16:creationId xmlns:a16="http://schemas.microsoft.com/office/drawing/2014/main" id="{00000000-0008-0000-1600-000005000000}"/>
            </a:ext>
          </a:extLst>
        </xdr:cNvPr>
        <xdr:cNvSpPr/>
      </xdr:nvSpPr>
      <xdr:spPr>
        <a:xfrm>
          <a:off x="5343525" y="333375"/>
          <a:ext cx="1571625" cy="600075"/>
        </a:xfrm>
        <a:prstGeom prst="round2SameRect">
          <a:avLst/>
        </a:prstGeom>
        <a:solidFill>
          <a:srgbClr val="F3901D"/>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CODE-BASELINE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a:extLst>
            <a:ext uri="{FF2B5EF4-FFF2-40B4-BE49-F238E27FC236}">
              <a16:creationId xmlns:a16="http://schemas.microsoft.com/office/drawing/2014/main" id="{00000000-0008-0000-1600-000006000000}"/>
            </a:ext>
          </a:extLst>
        </xdr:cNvPr>
        <xdr:cNvSpPr/>
      </xdr:nvSpPr>
      <xdr:spPr>
        <a:xfrm>
          <a:off x="691515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PRE-APPROVAL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8"/>
          <a:extLst>
            <a:ext uri="{FF2B5EF4-FFF2-40B4-BE49-F238E27FC236}">
              <a16:creationId xmlns:a16="http://schemas.microsoft.com/office/drawing/2014/main" id="{00000000-0008-0000-1600-000007000000}"/>
            </a:ext>
          </a:extLst>
        </xdr:cNvPr>
        <xdr:cNvSpPr/>
      </xdr:nvSpPr>
      <xdr:spPr>
        <a:xfrm>
          <a:off x="848677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6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NEXT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6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1600-00000A000000}"/>
            </a:ext>
          </a:extLst>
        </xdr:cNvPr>
        <xdr:cNvSpPr/>
      </xdr:nvSpPr>
      <xdr:spPr>
        <a:xfrm>
          <a:off x="314325" y="800101"/>
          <a:ext cx="13515975" cy="600074"/>
        </a:xfrm>
        <a:prstGeom prst="round2SameRect">
          <a:avLst/>
        </a:prstGeom>
        <a:solidFill>
          <a:srgbClr val="F390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17</xdr:col>
      <xdr:colOff>2551</xdr:colOff>
      <xdr:row>5</xdr:row>
      <xdr:rowOff>51480</xdr:rowOff>
    </xdr:from>
    <xdr:to>
      <xdr:col>22</xdr:col>
      <xdr:colOff>2550</xdr:colOff>
      <xdr:row>7</xdr:row>
      <xdr:rowOff>50800</xdr:rowOff>
    </xdr:to>
    <xdr:sp macro="" textlink="M3S4">
      <xdr:nvSpPr>
        <xdr:cNvPr id="14" name="SUBMENU4">
          <a:hlinkClick xmlns:r="http://schemas.openxmlformats.org/officeDocument/2006/relationships" r:id="rId9"/>
          <a:extLst>
            <a:ext uri="{FF2B5EF4-FFF2-40B4-BE49-F238E27FC236}">
              <a16:creationId xmlns:a16="http://schemas.microsoft.com/office/drawing/2014/main" id="{00000000-0008-0000-1600-00000E000000}"/>
            </a:ext>
          </a:extLst>
        </xdr:cNvPr>
        <xdr:cNvSpPr/>
      </xdr:nvSpPr>
      <xdr:spPr>
        <a:xfrm>
          <a:off x="5346076"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M3S4</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3S5">
      <xdr:nvSpPr>
        <xdr:cNvPr id="15" name="SUBMENU5">
          <a:hlinkClick xmlns:r="http://schemas.openxmlformats.org/officeDocument/2006/relationships" r:id="rId3"/>
          <a:extLst>
            <a:ext uri="{FF2B5EF4-FFF2-40B4-BE49-F238E27FC236}">
              <a16:creationId xmlns:a16="http://schemas.microsoft.com/office/drawing/2014/main" id="{00000000-0008-0000-1600-00000F000000}"/>
            </a:ext>
          </a:extLst>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M3S5</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3S6">
      <xdr:nvSpPr>
        <xdr:cNvPr id="16" name="SUBMENU6">
          <a:hlinkClick xmlns:r="http://schemas.openxmlformats.org/officeDocument/2006/relationships" r:id="rId10"/>
          <a:extLst>
            <a:ext uri="{FF2B5EF4-FFF2-40B4-BE49-F238E27FC236}">
              <a16:creationId xmlns:a16="http://schemas.microsoft.com/office/drawing/2014/main" id="{00000000-0008-0000-1600-000010000000}"/>
            </a:ext>
          </a:extLst>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6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a:extLst>
            <a:ext uri="{FF2B5EF4-FFF2-40B4-BE49-F238E27FC236}">
              <a16:creationId xmlns:a16="http://schemas.microsoft.com/office/drawing/2014/main" id="{00000000-0008-0000-16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0</xdr:colOff>
      <xdr:row>1</xdr:row>
      <xdr:rowOff>0</xdr:rowOff>
    </xdr:from>
    <xdr:to>
      <xdr:col>5</xdr:col>
      <xdr:colOff>209550</xdr:colOff>
      <xdr:row>3</xdr:row>
      <xdr:rowOff>154218</xdr:rowOff>
    </xdr:to>
    <xdr:pic>
      <xdr:nvPicPr>
        <xdr:cNvPr id="35" name="LOGO">
          <a:extLst>
            <a:ext uri="{FF2B5EF4-FFF2-40B4-BE49-F238E27FC236}">
              <a16:creationId xmlns:a16="http://schemas.microsoft.com/office/drawing/2014/main" id="{00000000-0008-0000-1600-000023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xdr:twoCellAnchor>
    <xdr:from>
      <xdr:col>12</xdr:col>
      <xdr:colOff>2551</xdr:colOff>
      <xdr:row>4</xdr:row>
      <xdr:rowOff>200705</xdr:rowOff>
    </xdr:from>
    <xdr:to>
      <xdr:col>17</xdr:col>
      <xdr:colOff>2550</xdr:colOff>
      <xdr:row>7</xdr:row>
      <xdr:rowOff>0</xdr:rowOff>
    </xdr:to>
    <xdr:sp macro="" textlink="M3S3">
      <xdr:nvSpPr>
        <xdr:cNvPr id="13" name="SUBMENU3">
          <a:hlinkClick xmlns:r="http://schemas.openxmlformats.org/officeDocument/2006/relationships" r:id="rId11"/>
          <a:extLst>
            <a:ext uri="{FF2B5EF4-FFF2-40B4-BE49-F238E27FC236}">
              <a16:creationId xmlns:a16="http://schemas.microsoft.com/office/drawing/2014/main" id="{00000000-0008-0000-1600-00000D000000}"/>
            </a:ext>
          </a:extLst>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M3S3</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3S1">
      <xdr:nvSpPr>
        <xdr:cNvPr id="11" name="SUBMENU1">
          <a:hlinkClick xmlns:r="http://schemas.openxmlformats.org/officeDocument/2006/relationships" r:id="rId13"/>
          <a:extLst>
            <a:ext uri="{FF2B5EF4-FFF2-40B4-BE49-F238E27FC236}">
              <a16:creationId xmlns:a16="http://schemas.microsoft.com/office/drawing/2014/main" id="{00000000-0008-0000-1600-00000B000000}"/>
            </a:ext>
          </a:extLst>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Whole Building Performance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3S2">
      <xdr:nvSpPr>
        <xdr:cNvPr id="12" name="SUBMENU2">
          <a:hlinkClick xmlns:r="http://schemas.openxmlformats.org/officeDocument/2006/relationships" r:id="rId6"/>
          <a:extLst>
            <a:ext uri="{FF2B5EF4-FFF2-40B4-BE49-F238E27FC236}">
              <a16:creationId xmlns:a16="http://schemas.microsoft.com/office/drawing/2014/main" id="{00000000-0008-0000-1600-00000C000000}"/>
            </a:ext>
          </a:extLst>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LPD Interior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6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32</xdr:col>
      <xdr:colOff>2865</xdr:colOff>
      <xdr:row>4</xdr:row>
      <xdr:rowOff>200705</xdr:rowOff>
    </xdr:from>
    <xdr:to>
      <xdr:col>37</xdr:col>
      <xdr:colOff>2720</xdr:colOff>
      <xdr:row>7</xdr:row>
      <xdr:rowOff>0</xdr:rowOff>
    </xdr:to>
    <xdr:sp macro="" textlink="M3S7">
      <xdr:nvSpPr>
        <xdr:cNvPr id="17" name="SUBMENU7">
          <a:hlinkClick xmlns:r="http://schemas.openxmlformats.org/officeDocument/2006/relationships" r:id="rId1"/>
          <a:extLst>
            <a:ext uri="{FF2B5EF4-FFF2-40B4-BE49-F238E27FC236}">
              <a16:creationId xmlns:a16="http://schemas.microsoft.com/office/drawing/2014/main" id="{00000000-0008-0000-1700-000011000000}"/>
            </a:ext>
          </a:extLst>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18" name="SUBMENU8">
          <a:hlinkClick xmlns:r="http://schemas.openxmlformats.org/officeDocument/2006/relationships" r:id="rId2"/>
          <a:extLst>
            <a:ext uri="{FF2B5EF4-FFF2-40B4-BE49-F238E27FC236}">
              <a16:creationId xmlns:a16="http://schemas.microsoft.com/office/drawing/2014/main" id="{00000000-0008-0000-1700-000012000000}"/>
            </a:ext>
          </a:extLst>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3"/>
          <a:extLst>
            <a:ext uri="{FF2B5EF4-FFF2-40B4-BE49-F238E27FC236}">
              <a16:creationId xmlns:a16="http://schemas.microsoft.com/office/drawing/2014/main" id="{00000000-0008-0000-17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a:extLst>
            <a:ext uri="{FF2B5EF4-FFF2-40B4-BE49-F238E27FC236}">
              <a16:creationId xmlns:a16="http://schemas.microsoft.com/office/drawing/2014/main" id="{00000000-0008-0000-1700-000003000000}"/>
            </a:ext>
          </a:extLst>
        </xdr:cNvPr>
        <xdr:cNvSpPr/>
      </xdr:nvSpPr>
      <xdr:spPr>
        <a:xfrm>
          <a:off x="2200732" y="200025"/>
          <a:ext cx="1571168"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a:extLst>
            <a:ext uri="{FF2B5EF4-FFF2-40B4-BE49-F238E27FC236}">
              <a16:creationId xmlns:a16="http://schemas.microsoft.com/office/drawing/2014/main" id="{00000000-0008-0000-1700-000004000000}"/>
            </a:ext>
          </a:extLst>
        </xdr:cNvPr>
        <xdr:cNvSpPr/>
      </xdr:nvSpPr>
      <xdr:spPr>
        <a:xfrm>
          <a:off x="377190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6"/>
          <a:extLst>
            <a:ext uri="{FF2B5EF4-FFF2-40B4-BE49-F238E27FC236}">
              <a16:creationId xmlns:a16="http://schemas.microsoft.com/office/drawing/2014/main" id="{00000000-0008-0000-1700-000005000000}"/>
            </a:ext>
          </a:extLst>
        </xdr:cNvPr>
        <xdr:cNvSpPr/>
      </xdr:nvSpPr>
      <xdr:spPr>
        <a:xfrm>
          <a:off x="5343525" y="333375"/>
          <a:ext cx="1571625" cy="600075"/>
        </a:xfrm>
        <a:prstGeom prst="round2SameRect">
          <a:avLst/>
        </a:prstGeom>
        <a:solidFill>
          <a:srgbClr val="F3901D"/>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CODE-BASELINE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a:extLst>
            <a:ext uri="{FF2B5EF4-FFF2-40B4-BE49-F238E27FC236}">
              <a16:creationId xmlns:a16="http://schemas.microsoft.com/office/drawing/2014/main" id="{00000000-0008-0000-1700-000006000000}"/>
            </a:ext>
          </a:extLst>
        </xdr:cNvPr>
        <xdr:cNvSpPr/>
      </xdr:nvSpPr>
      <xdr:spPr>
        <a:xfrm>
          <a:off x="691515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PRE-APPROVAL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8"/>
          <a:extLst>
            <a:ext uri="{FF2B5EF4-FFF2-40B4-BE49-F238E27FC236}">
              <a16:creationId xmlns:a16="http://schemas.microsoft.com/office/drawing/2014/main" id="{00000000-0008-0000-1700-000007000000}"/>
            </a:ext>
          </a:extLst>
        </xdr:cNvPr>
        <xdr:cNvSpPr/>
      </xdr:nvSpPr>
      <xdr:spPr>
        <a:xfrm>
          <a:off x="848677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7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NEXT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7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1700-00000A000000}"/>
            </a:ext>
          </a:extLst>
        </xdr:cNvPr>
        <xdr:cNvSpPr/>
      </xdr:nvSpPr>
      <xdr:spPr>
        <a:xfrm>
          <a:off x="314325" y="800101"/>
          <a:ext cx="13515975" cy="600074"/>
        </a:xfrm>
        <a:prstGeom prst="round2SameRect">
          <a:avLst/>
        </a:prstGeom>
        <a:solidFill>
          <a:srgbClr val="F390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17</xdr:col>
      <xdr:colOff>2551</xdr:colOff>
      <xdr:row>4</xdr:row>
      <xdr:rowOff>200705</xdr:rowOff>
    </xdr:from>
    <xdr:to>
      <xdr:col>22</xdr:col>
      <xdr:colOff>2550</xdr:colOff>
      <xdr:row>7</xdr:row>
      <xdr:rowOff>0</xdr:rowOff>
    </xdr:to>
    <xdr:sp macro="" textlink="M3S4">
      <xdr:nvSpPr>
        <xdr:cNvPr id="14" name="SUBMENU4">
          <a:hlinkClick xmlns:r="http://schemas.openxmlformats.org/officeDocument/2006/relationships" r:id="rId9"/>
          <a:extLst>
            <a:ext uri="{FF2B5EF4-FFF2-40B4-BE49-F238E27FC236}">
              <a16:creationId xmlns:a16="http://schemas.microsoft.com/office/drawing/2014/main" id="{00000000-0008-0000-1700-00000E000000}"/>
            </a:ext>
          </a:extLst>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M3S4</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51480</xdr:rowOff>
    </xdr:from>
    <xdr:to>
      <xdr:col>27</xdr:col>
      <xdr:colOff>2549</xdr:colOff>
      <xdr:row>7</xdr:row>
      <xdr:rowOff>50800</xdr:rowOff>
    </xdr:to>
    <xdr:sp macro="" textlink="M3S5">
      <xdr:nvSpPr>
        <xdr:cNvPr id="15" name="SUBMENU5">
          <a:hlinkClick xmlns:r="http://schemas.openxmlformats.org/officeDocument/2006/relationships" r:id="rId10"/>
          <a:extLst>
            <a:ext uri="{FF2B5EF4-FFF2-40B4-BE49-F238E27FC236}">
              <a16:creationId xmlns:a16="http://schemas.microsoft.com/office/drawing/2014/main" id="{00000000-0008-0000-1700-00000F000000}"/>
            </a:ext>
          </a:extLst>
        </xdr:cNvPr>
        <xdr:cNvSpPr/>
      </xdr:nvSpPr>
      <xdr:spPr>
        <a:xfrm>
          <a:off x="6917701" y="1051605"/>
          <a:ext cx="1571623"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M3S5</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3S6">
      <xdr:nvSpPr>
        <xdr:cNvPr id="16" name="SUBMENU6">
          <a:hlinkClick xmlns:r="http://schemas.openxmlformats.org/officeDocument/2006/relationships" r:id="rId3"/>
          <a:extLst>
            <a:ext uri="{FF2B5EF4-FFF2-40B4-BE49-F238E27FC236}">
              <a16:creationId xmlns:a16="http://schemas.microsoft.com/office/drawing/2014/main" id="{00000000-0008-0000-1700-000010000000}"/>
            </a:ext>
          </a:extLst>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7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9"/>
          <a:extLst>
            <a:ext uri="{FF2B5EF4-FFF2-40B4-BE49-F238E27FC236}">
              <a16:creationId xmlns:a16="http://schemas.microsoft.com/office/drawing/2014/main" id="{00000000-0008-0000-17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0</xdr:colOff>
      <xdr:row>1</xdr:row>
      <xdr:rowOff>0</xdr:rowOff>
    </xdr:from>
    <xdr:to>
      <xdr:col>5</xdr:col>
      <xdr:colOff>209550</xdr:colOff>
      <xdr:row>3</xdr:row>
      <xdr:rowOff>154218</xdr:rowOff>
    </xdr:to>
    <xdr:pic>
      <xdr:nvPicPr>
        <xdr:cNvPr id="35" name="LOGO">
          <a:extLst>
            <a:ext uri="{FF2B5EF4-FFF2-40B4-BE49-F238E27FC236}">
              <a16:creationId xmlns:a16="http://schemas.microsoft.com/office/drawing/2014/main" id="{00000000-0008-0000-1700-000023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xdr:twoCellAnchor>
    <xdr:from>
      <xdr:col>12</xdr:col>
      <xdr:colOff>2551</xdr:colOff>
      <xdr:row>4</xdr:row>
      <xdr:rowOff>200705</xdr:rowOff>
    </xdr:from>
    <xdr:to>
      <xdr:col>17</xdr:col>
      <xdr:colOff>2550</xdr:colOff>
      <xdr:row>7</xdr:row>
      <xdr:rowOff>0</xdr:rowOff>
    </xdr:to>
    <xdr:sp macro="" textlink="M3S3">
      <xdr:nvSpPr>
        <xdr:cNvPr id="13" name="SUBMENU3">
          <a:hlinkClick xmlns:r="http://schemas.openxmlformats.org/officeDocument/2006/relationships" r:id="rId12"/>
          <a:extLst>
            <a:ext uri="{FF2B5EF4-FFF2-40B4-BE49-F238E27FC236}">
              <a16:creationId xmlns:a16="http://schemas.microsoft.com/office/drawing/2014/main" id="{00000000-0008-0000-1700-00000D000000}"/>
            </a:ext>
          </a:extLst>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M3S3</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3S1">
      <xdr:nvSpPr>
        <xdr:cNvPr id="11" name="SUBMENU1">
          <a:hlinkClick xmlns:r="http://schemas.openxmlformats.org/officeDocument/2006/relationships" r:id="rId13"/>
          <a:extLst>
            <a:ext uri="{FF2B5EF4-FFF2-40B4-BE49-F238E27FC236}">
              <a16:creationId xmlns:a16="http://schemas.microsoft.com/office/drawing/2014/main" id="{00000000-0008-0000-1700-00000B000000}"/>
            </a:ext>
          </a:extLst>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Whole Building Performance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3S2">
      <xdr:nvSpPr>
        <xdr:cNvPr id="12" name="SUBMENU2">
          <a:hlinkClick xmlns:r="http://schemas.openxmlformats.org/officeDocument/2006/relationships" r:id="rId6"/>
          <a:extLst>
            <a:ext uri="{FF2B5EF4-FFF2-40B4-BE49-F238E27FC236}">
              <a16:creationId xmlns:a16="http://schemas.microsoft.com/office/drawing/2014/main" id="{00000000-0008-0000-1700-00000C000000}"/>
            </a:ext>
          </a:extLst>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LPD Interior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7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32</xdr:col>
      <xdr:colOff>2865</xdr:colOff>
      <xdr:row>4</xdr:row>
      <xdr:rowOff>200705</xdr:rowOff>
    </xdr:from>
    <xdr:to>
      <xdr:col>37</xdr:col>
      <xdr:colOff>2720</xdr:colOff>
      <xdr:row>7</xdr:row>
      <xdr:rowOff>0</xdr:rowOff>
    </xdr:to>
    <xdr:sp macro="" textlink="M3S7">
      <xdr:nvSpPr>
        <xdr:cNvPr id="17" name="SUBMENU7">
          <a:hlinkClick xmlns:r="http://schemas.openxmlformats.org/officeDocument/2006/relationships" r:id="rId1"/>
          <a:extLst>
            <a:ext uri="{FF2B5EF4-FFF2-40B4-BE49-F238E27FC236}">
              <a16:creationId xmlns:a16="http://schemas.microsoft.com/office/drawing/2014/main" id="{00000000-0008-0000-1800-000011000000}"/>
            </a:ext>
          </a:extLst>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18" name="SUBMENU8">
          <a:hlinkClick xmlns:r="http://schemas.openxmlformats.org/officeDocument/2006/relationships" r:id="rId2"/>
          <a:extLst>
            <a:ext uri="{FF2B5EF4-FFF2-40B4-BE49-F238E27FC236}">
              <a16:creationId xmlns:a16="http://schemas.microsoft.com/office/drawing/2014/main" id="{00000000-0008-0000-1800-000012000000}"/>
            </a:ext>
          </a:extLst>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3"/>
          <a:extLst>
            <a:ext uri="{FF2B5EF4-FFF2-40B4-BE49-F238E27FC236}">
              <a16:creationId xmlns:a16="http://schemas.microsoft.com/office/drawing/2014/main" id="{00000000-0008-0000-18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a:extLst>
            <a:ext uri="{FF2B5EF4-FFF2-40B4-BE49-F238E27FC236}">
              <a16:creationId xmlns:a16="http://schemas.microsoft.com/office/drawing/2014/main" id="{00000000-0008-0000-1800-000003000000}"/>
            </a:ext>
          </a:extLst>
        </xdr:cNvPr>
        <xdr:cNvSpPr/>
      </xdr:nvSpPr>
      <xdr:spPr>
        <a:xfrm>
          <a:off x="2200732" y="200025"/>
          <a:ext cx="1571168"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a:extLst>
            <a:ext uri="{FF2B5EF4-FFF2-40B4-BE49-F238E27FC236}">
              <a16:creationId xmlns:a16="http://schemas.microsoft.com/office/drawing/2014/main" id="{00000000-0008-0000-1800-000004000000}"/>
            </a:ext>
          </a:extLst>
        </xdr:cNvPr>
        <xdr:cNvSpPr/>
      </xdr:nvSpPr>
      <xdr:spPr>
        <a:xfrm>
          <a:off x="377190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6"/>
          <a:extLst>
            <a:ext uri="{FF2B5EF4-FFF2-40B4-BE49-F238E27FC236}">
              <a16:creationId xmlns:a16="http://schemas.microsoft.com/office/drawing/2014/main" id="{00000000-0008-0000-1800-000005000000}"/>
            </a:ext>
          </a:extLst>
        </xdr:cNvPr>
        <xdr:cNvSpPr/>
      </xdr:nvSpPr>
      <xdr:spPr>
        <a:xfrm>
          <a:off x="5343525" y="333375"/>
          <a:ext cx="1571625" cy="600075"/>
        </a:xfrm>
        <a:prstGeom prst="round2SameRect">
          <a:avLst/>
        </a:prstGeom>
        <a:solidFill>
          <a:srgbClr val="F3901D"/>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CODE-BASELINE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3"/>
          <a:extLst>
            <a:ext uri="{FF2B5EF4-FFF2-40B4-BE49-F238E27FC236}">
              <a16:creationId xmlns:a16="http://schemas.microsoft.com/office/drawing/2014/main" id="{00000000-0008-0000-1800-000006000000}"/>
            </a:ext>
          </a:extLst>
        </xdr:cNvPr>
        <xdr:cNvSpPr/>
      </xdr:nvSpPr>
      <xdr:spPr>
        <a:xfrm>
          <a:off x="691515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PRE-APPROVAL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7"/>
          <a:extLst>
            <a:ext uri="{FF2B5EF4-FFF2-40B4-BE49-F238E27FC236}">
              <a16:creationId xmlns:a16="http://schemas.microsoft.com/office/drawing/2014/main" id="{00000000-0008-0000-1800-000007000000}"/>
            </a:ext>
          </a:extLst>
        </xdr:cNvPr>
        <xdr:cNvSpPr/>
      </xdr:nvSpPr>
      <xdr:spPr>
        <a:xfrm>
          <a:off x="848677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8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NEXT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8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1800-00000A000000}"/>
            </a:ext>
          </a:extLst>
        </xdr:cNvPr>
        <xdr:cNvSpPr/>
      </xdr:nvSpPr>
      <xdr:spPr>
        <a:xfrm>
          <a:off x="314325" y="800101"/>
          <a:ext cx="13515975" cy="600074"/>
        </a:xfrm>
        <a:prstGeom prst="round2SameRect">
          <a:avLst/>
        </a:prstGeom>
        <a:solidFill>
          <a:srgbClr val="F390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3S1">
      <xdr:nvSpPr>
        <xdr:cNvPr id="11" name="SUBMENU1">
          <a:hlinkClick xmlns:r="http://schemas.openxmlformats.org/officeDocument/2006/relationships" r:id="rId6"/>
          <a:extLst>
            <a:ext uri="{FF2B5EF4-FFF2-40B4-BE49-F238E27FC236}">
              <a16:creationId xmlns:a16="http://schemas.microsoft.com/office/drawing/2014/main" id="{00000000-0008-0000-1800-00000B000000}"/>
            </a:ext>
          </a:extLst>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Whole Building Performance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3S2">
      <xdr:nvSpPr>
        <xdr:cNvPr id="12" name="SUBMENU2">
          <a:hlinkClick xmlns:r="http://schemas.openxmlformats.org/officeDocument/2006/relationships" r:id="rId8"/>
          <a:extLst>
            <a:ext uri="{FF2B5EF4-FFF2-40B4-BE49-F238E27FC236}">
              <a16:creationId xmlns:a16="http://schemas.microsoft.com/office/drawing/2014/main" id="{00000000-0008-0000-1800-00000C000000}"/>
            </a:ext>
          </a:extLst>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LPD Interior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3S3">
      <xdr:nvSpPr>
        <xdr:cNvPr id="13" name="SUBMENU3">
          <a:hlinkClick xmlns:r="http://schemas.openxmlformats.org/officeDocument/2006/relationships" r:id="rId9"/>
          <a:extLst>
            <a:ext uri="{FF2B5EF4-FFF2-40B4-BE49-F238E27FC236}">
              <a16:creationId xmlns:a16="http://schemas.microsoft.com/office/drawing/2014/main" id="{00000000-0008-0000-1800-00000D000000}"/>
            </a:ext>
          </a:extLst>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M3S3</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3S4">
      <xdr:nvSpPr>
        <xdr:cNvPr id="14" name="SUBMENU4">
          <a:hlinkClick xmlns:r="http://schemas.openxmlformats.org/officeDocument/2006/relationships" r:id="rId10"/>
          <a:extLst>
            <a:ext uri="{FF2B5EF4-FFF2-40B4-BE49-F238E27FC236}">
              <a16:creationId xmlns:a16="http://schemas.microsoft.com/office/drawing/2014/main" id="{00000000-0008-0000-1800-00000E000000}"/>
            </a:ext>
          </a:extLst>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M3S4</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3S5">
      <xdr:nvSpPr>
        <xdr:cNvPr id="15" name="SUBMENU5">
          <a:hlinkClick xmlns:r="http://schemas.openxmlformats.org/officeDocument/2006/relationships" r:id="rId11"/>
          <a:extLst>
            <a:ext uri="{FF2B5EF4-FFF2-40B4-BE49-F238E27FC236}">
              <a16:creationId xmlns:a16="http://schemas.microsoft.com/office/drawing/2014/main" id="{00000000-0008-0000-1800-00000F000000}"/>
            </a:ext>
          </a:extLst>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M3S5</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5</xdr:row>
      <xdr:rowOff>51480</xdr:rowOff>
    </xdr:from>
    <xdr:to>
      <xdr:col>32</xdr:col>
      <xdr:colOff>2865</xdr:colOff>
      <xdr:row>7</xdr:row>
      <xdr:rowOff>50800</xdr:rowOff>
    </xdr:to>
    <xdr:sp macro="" textlink="M3S6">
      <xdr:nvSpPr>
        <xdr:cNvPr id="16" name="SUBMENU6">
          <a:hlinkClick xmlns:r="http://schemas.openxmlformats.org/officeDocument/2006/relationships" r:id="rId12"/>
          <a:extLst>
            <a:ext uri="{FF2B5EF4-FFF2-40B4-BE49-F238E27FC236}">
              <a16:creationId xmlns:a16="http://schemas.microsoft.com/office/drawing/2014/main" id="{00000000-0008-0000-1800-000010000000}"/>
            </a:ext>
          </a:extLst>
        </xdr:cNvPr>
        <xdr:cNvSpPr/>
      </xdr:nvSpPr>
      <xdr:spPr>
        <a:xfrm>
          <a:off x="8486775" y="1051605"/>
          <a:ext cx="1574490"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8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a:extLst>
            <a:ext uri="{FF2B5EF4-FFF2-40B4-BE49-F238E27FC236}">
              <a16:creationId xmlns:a16="http://schemas.microsoft.com/office/drawing/2014/main" id="{00000000-0008-0000-18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8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155661</xdr:colOff>
      <xdr:row>3</xdr:row>
      <xdr:rowOff>147034</xdr:rowOff>
    </xdr:to>
    <xdr:pic>
      <xdr:nvPicPr>
        <xdr:cNvPr id="31" name="LOGO" descr="Screen Clipping">
          <a:extLst>
            <a:ext uri="{FF2B5EF4-FFF2-40B4-BE49-F238E27FC236}">
              <a16:creationId xmlns:a16="http://schemas.microsoft.com/office/drawing/2014/main" id="{00000000-0008-0000-1800-00001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28650" y="200025"/>
          <a:ext cx="1098636" cy="54708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a:extLst>
            <a:ext uri="{FF2B5EF4-FFF2-40B4-BE49-F238E27FC236}">
              <a16:creationId xmlns:a16="http://schemas.microsoft.com/office/drawing/2014/main" id="{00000000-0008-0000-1900-000002000000}"/>
            </a:ext>
          </a:extLst>
        </xdr:cNvPr>
        <xdr:cNvSpPr>
          <a:spLocks noChangeAspect="1"/>
        </xdr:cNvSpPr>
      </xdr:nvSpPr>
      <xdr:spPr>
        <a:xfrm>
          <a:off x="12887325" y="1801272"/>
          <a:ext cx="627520" cy="400049"/>
        </a:xfrm>
        <a:prstGeom prst="rightArrow">
          <a:avLst/>
        </a:prstGeom>
        <a:solidFill>
          <a:srgbClr val="1B6CB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1900-000003000000}"/>
            </a:ext>
          </a:extLst>
        </xdr:cNvPr>
        <xdr:cNvSpPr/>
      </xdr:nvSpPr>
      <xdr:spPr>
        <a:xfrm>
          <a:off x="2200732" y="200025"/>
          <a:ext cx="1571168" cy="600075"/>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solidFill>
              <a:latin typeface="Calibri"/>
            </a:rPr>
            <a:pPr algn="ctr"/>
            <a:t>START</a:t>
          </a:fld>
          <a:endParaRPr lang="en-US" sz="1100">
            <a:solidFill>
              <a:srgbClr val="FFFFFF"/>
            </a:solidFill>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1900-000004000000}"/>
            </a:ext>
          </a:extLst>
        </xdr:cNvPr>
        <xdr:cNvSpPr/>
      </xdr:nvSpPr>
      <xdr:spPr>
        <a:xfrm>
          <a:off x="3771900" y="200025"/>
          <a:ext cx="1571625" cy="600075"/>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rgbClr val="FFFFFF"/>
              </a:solidFill>
              <a:latin typeface="Calibri"/>
            </a:rPr>
            <a:pPr algn="ctr"/>
            <a:t>PROJECT INFORMATION</a:t>
          </a:fld>
          <a:endParaRPr lang="en-US" sz="1100">
            <a:solidFill>
              <a:srgbClr val="FFFFFF"/>
            </a:solidFill>
          </a:endParaRPr>
        </a:p>
      </xdr:txBody>
    </xdr:sp>
    <xdr:clientData/>
  </xdr:twoCellAnchor>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4"/>
          <a:extLst>
            <a:ext uri="{FF2B5EF4-FFF2-40B4-BE49-F238E27FC236}">
              <a16:creationId xmlns:a16="http://schemas.microsoft.com/office/drawing/2014/main" id="{00000000-0008-0000-1900-000005000000}"/>
            </a:ext>
          </a:extLst>
        </xdr:cNvPr>
        <xdr:cNvSpPr/>
      </xdr:nvSpPr>
      <xdr:spPr>
        <a:xfrm>
          <a:off x="5343525" y="333375"/>
          <a:ext cx="1571625" cy="600075"/>
        </a:xfrm>
        <a:prstGeom prst="round2SameRect">
          <a:avLst/>
        </a:prstGeom>
        <a:solidFill>
          <a:srgbClr val="7BC143"/>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ysClr val="windowText" lastClr="000000"/>
              </a:solidFill>
              <a:latin typeface="Calibri"/>
            </a:rPr>
            <a:pPr algn="ctr"/>
            <a:t>CODE-BASELINE MEASURES</a:t>
          </a:fld>
          <a:endParaRPr lang="en-US" sz="1100">
            <a:solidFill>
              <a:sysClr val="windowText" lastClr="000000"/>
            </a:solidFill>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1900-000006000000}"/>
            </a:ext>
          </a:extLst>
        </xdr:cNvPr>
        <xdr:cNvSpPr/>
      </xdr:nvSpPr>
      <xdr:spPr>
        <a:xfrm>
          <a:off x="6915150" y="200025"/>
          <a:ext cx="1571625" cy="600075"/>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rgbClr val="FFFFFF"/>
              </a:solidFill>
              <a:latin typeface="Calibri"/>
            </a:rPr>
            <a:pPr algn="ctr"/>
            <a:t>PRE-APPROVAL MEASURES</a:t>
          </a:fld>
          <a:endParaRPr lang="en-US" sz="1100">
            <a:solidFill>
              <a:srgbClr val="FFFFFF"/>
            </a:solidFill>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1900-000007000000}"/>
            </a:ext>
          </a:extLst>
        </xdr:cNvPr>
        <xdr:cNvSpPr/>
      </xdr:nvSpPr>
      <xdr:spPr>
        <a:xfrm>
          <a:off x="8486775" y="200025"/>
          <a:ext cx="1571625" cy="600075"/>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rgbClr val="FFFFFF"/>
              </a:solidFill>
              <a:latin typeface="Calibri"/>
            </a:rPr>
            <a:pPr algn="ctr"/>
            <a:t>APPLICATION REVIEW</a:t>
          </a:fld>
          <a:endParaRPr lang="en-US" sz="1100">
            <a:solidFill>
              <a:srgbClr val="FFFFFF"/>
            </a:solidFill>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9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Calibri"/>
            </a:rPr>
            <a:pPr algn="ctr"/>
            <a:t>NEXT STEPS</a:t>
          </a:fld>
          <a:endParaRPr lang="en-US" sz="1100">
            <a:noFill/>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9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FORM4</a:t>
          </a:fld>
          <a:endParaRPr lang="en-US" sz="1100">
            <a:noFill/>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1900-00000A000000}"/>
            </a:ext>
          </a:extLst>
        </xdr:cNvPr>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3S1">
      <xdr:nvSpPr>
        <xdr:cNvPr id="11" name="SUBMENU1">
          <a:hlinkClick xmlns:r="http://schemas.openxmlformats.org/officeDocument/2006/relationships" r:id="rId4"/>
          <a:extLst>
            <a:ext uri="{FF2B5EF4-FFF2-40B4-BE49-F238E27FC236}">
              <a16:creationId xmlns:a16="http://schemas.microsoft.com/office/drawing/2014/main" id="{00000000-0008-0000-1900-00000B000000}"/>
            </a:ext>
          </a:extLst>
        </xdr:cNvPr>
        <xdr:cNvSpPr/>
      </xdr:nvSpPr>
      <xdr:spPr>
        <a:xfrm>
          <a:off x="631370" y="1000125"/>
          <a:ext cx="1569362" cy="397852"/>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Calibri"/>
            </a:rPr>
            <a:pPr algn="ctr"/>
            <a:t>Whole Building Performance</a:t>
          </a:fld>
          <a:endParaRPr lang="en-US" sz="1100">
            <a:solidFill>
              <a:srgbClr val="FFFFFF"/>
            </a:solidFill>
          </a:endParaRPr>
        </a:p>
      </xdr:txBody>
    </xdr:sp>
    <xdr:clientData/>
  </xdr:twoCellAnchor>
  <xdr:twoCellAnchor>
    <xdr:from>
      <xdr:col>7</xdr:col>
      <xdr:colOff>2551</xdr:colOff>
      <xdr:row>4</xdr:row>
      <xdr:rowOff>200705</xdr:rowOff>
    </xdr:from>
    <xdr:to>
      <xdr:col>12</xdr:col>
      <xdr:colOff>2550</xdr:colOff>
      <xdr:row>7</xdr:row>
      <xdr:rowOff>0</xdr:rowOff>
    </xdr:to>
    <xdr:sp macro="" textlink="M3S2">
      <xdr:nvSpPr>
        <xdr:cNvPr id="12" name="SUBMENU2">
          <a:hlinkClick xmlns:r="http://schemas.openxmlformats.org/officeDocument/2006/relationships" r:id="rId7"/>
          <a:extLst>
            <a:ext uri="{FF2B5EF4-FFF2-40B4-BE49-F238E27FC236}">
              <a16:creationId xmlns:a16="http://schemas.microsoft.com/office/drawing/2014/main" id="{00000000-0008-0000-1900-00000C000000}"/>
            </a:ext>
          </a:extLst>
        </xdr:cNvPr>
        <xdr:cNvSpPr/>
      </xdr:nvSpPr>
      <xdr:spPr>
        <a:xfrm>
          <a:off x="2202826" y="1000805"/>
          <a:ext cx="1571624"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Calibri"/>
            </a:rPr>
            <a:pPr algn="ctr"/>
            <a:t>LPD Interior Lighting</a:t>
          </a:fld>
          <a:endParaRPr lang="en-US" sz="1100">
            <a:solidFill>
              <a:srgbClr val="FFFFFF"/>
            </a:solidFill>
          </a:endParaRPr>
        </a:p>
      </xdr:txBody>
    </xdr:sp>
    <xdr:clientData/>
  </xdr:twoCellAnchor>
  <xdr:twoCellAnchor>
    <xdr:from>
      <xdr:col>12</xdr:col>
      <xdr:colOff>2551</xdr:colOff>
      <xdr:row>4</xdr:row>
      <xdr:rowOff>200705</xdr:rowOff>
    </xdr:from>
    <xdr:to>
      <xdr:col>17</xdr:col>
      <xdr:colOff>2550</xdr:colOff>
      <xdr:row>7</xdr:row>
      <xdr:rowOff>0</xdr:rowOff>
    </xdr:to>
    <xdr:sp macro="" textlink="M3S3">
      <xdr:nvSpPr>
        <xdr:cNvPr id="13" name="SUBMENU3">
          <a:hlinkClick xmlns:r="http://schemas.openxmlformats.org/officeDocument/2006/relationships" r:id="rId8"/>
          <a:extLst>
            <a:ext uri="{FF2B5EF4-FFF2-40B4-BE49-F238E27FC236}">
              <a16:creationId xmlns:a16="http://schemas.microsoft.com/office/drawing/2014/main" id="{00000000-0008-0000-1900-00000D000000}"/>
            </a:ext>
          </a:extLst>
        </xdr:cNvPr>
        <xdr:cNvSpPr/>
      </xdr:nvSpPr>
      <xdr:spPr>
        <a:xfrm>
          <a:off x="3774451" y="1000805"/>
          <a:ext cx="1571624"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chemeClr val="bg1"/>
              </a:solidFill>
              <a:latin typeface="Calibri"/>
            </a:rPr>
            <a:pPr algn="ctr"/>
            <a:t>M3S3</a:t>
          </a:fld>
          <a:endParaRPr lang="en-US" sz="1100">
            <a:solidFill>
              <a:schemeClr val="bg1"/>
            </a:solidFill>
          </a:endParaRPr>
        </a:p>
      </xdr:txBody>
    </xdr:sp>
    <xdr:clientData/>
  </xdr:twoCellAnchor>
  <xdr:twoCellAnchor>
    <xdr:from>
      <xdr:col>17</xdr:col>
      <xdr:colOff>2551</xdr:colOff>
      <xdr:row>4</xdr:row>
      <xdr:rowOff>200705</xdr:rowOff>
    </xdr:from>
    <xdr:to>
      <xdr:col>22</xdr:col>
      <xdr:colOff>2550</xdr:colOff>
      <xdr:row>7</xdr:row>
      <xdr:rowOff>0</xdr:rowOff>
    </xdr:to>
    <xdr:sp macro="" textlink="M3S4">
      <xdr:nvSpPr>
        <xdr:cNvPr id="14" name="SUBMENU4">
          <a:hlinkClick xmlns:r="http://schemas.openxmlformats.org/officeDocument/2006/relationships" r:id="rId9"/>
          <a:extLst>
            <a:ext uri="{FF2B5EF4-FFF2-40B4-BE49-F238E27FC236}">
              <a16:creationId xmlns:a16="http://schemas.microsoft.com/office/drawing/2014/main" id="{00000000-0008-0000-1900-00000E000000}"/>
            </a:ext>
          </a:extLst>
        </xdr:cNvPr>
        <xdr:cNvSpPr/>
      </xdr:nvSpPr>
      <xdr:spPr>
        <a:xfrm>
          <a:off x="5346076" y="1000805"/>
          <a:ext cx="1571624"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chemeClr val="bg1"/>
              </a:solidFill>
              <a:latin typeface="Calibri"/>
            </a:rPr>
            <a:pPr algn="ctr"/>
            <a:t>M3S4</a:t>
          </a:fld>
          <a:endParaRPr lang="en-US" sz="1100">
            <a:solidFill>
              <a:schemeClr val="bg1"/>
            </a:solidFill>
          </a:endParaRPr>
        </a:p>
      </xdr:txBody>
    </xdr:sp>
    <xdr:clientData/>
  </xdr:twoCellAnchor>
  <xdr:twoCellAnchor>
    <xdr:from>
      <xdr:col>22</xdr:col>
      <xdr:colOff>2551</xdr:colOff>
      <xdr:row>4</xdr:row>
      <xdr:rowOff>200705</xdr:rowOff>
    </xdr:from>
    <xdr:to>
      <xdr:col>27</xdr:col>
      <xdr:colOff>2549</xdr:colOff>
      <xdr:row>7</xdr:row>
      <xdr:rowOff>0</xdr:rowOff>
    </xdr:to>
    <xdr:sp macro="" textlink="M3S5">
      <xdr:nvSpPr>
        <xdr:cNvPr id="15" name="SUBMENU5">
          <a:hlinkClick xmlns:r="http://schemas.openxmlformats.org/officeDocument/2006/relationships" r:id="rId10"/>
          <a:extLst>
            <a:ext uri="{FF2B5EF4-FFF2-40B4-BE49-F238E27FC236}">
              <a16:creationId xmlns:a16="http://schemas.microsoft.com/office/drawing/2014/main" id="{00000000-0008-0000-1900-00000F000000}"/>
            </a:ext>
          </a:extLst>
        </xdr:cNvPr>
        <xdr:cNvSpPr/>
      </xdr:nvSpPr>
      <xdr:spPr>
        <a:xfrm>
          <a:off x="6917701" y="1000805"/>
          <a:ext cx="1571623"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chemeClr val="bg1"/>
              </a:solidFill>
              <a:latin typeface="Calibri"/>
            </a:rPr>
            <a:pPr algn="ctr"/>
            <a:t>M3S5</a:t>
          </a:fld>
          <a:endParaRPr lang="en-US" sz="1100">
            <a:solidFill>
              <a:schemeClr val="bg1"/>
            </a:solidFill>
          </a:endParaRPr>
        </a:p>
      </xdr:txBody>
    </xdr:sp>
    <xdr:clientData/>
  </xdr:twoCellAnchor>
  <xdr:twoCellAnchor>
    <xdr:from>
      <xdr:col>27</xdr:col>
      <xdr:colOff>0</xdr:colOff>
      <xdr:row>4</xdr:row>
      <xdr:rowOff>200705</xdr:rowOff>
    </xdr:from>
    <xdr:to>
      <xdr:col>32</xdr:col>
      <xdr:colOff>2865</xdr:colOff>
      <xdr:row>7</xdr:row>
      <xdr:rowOff>0</xdr:rowOff>
    </xdr:to>
    <xdr:sp macro="" textlink="M3S6">
      <xdr:nvSpPr>
        <xdr:cNvPr id="16" name="SUBMENU6">
          <a:hlinkClick xmlns:r="http://schemas.openxmlformats.org/officeDocument/2006/relationships" r:id="rId11"/>
          <a:extLst>
            <a:ext uri="{FF2B5EF4-FFF2-40B4-BE49-F238E27FC236}">
              <a16:creationId xmlns:a16="http://schemas.microsoft.com/office/drawing/2014/main" id="{00000000-0008-0000-1900-000010000000}"/>
            </a:ext>
          </a:extLst>
        </xdr:cNvPr>
        <xdr:cNvSpPr/>
      </xdr:nvSpPr>
      <xdr:spPr>
        <a:xfrm>
          <a:off x="8486775" y="1000805"/>
          <a:ext cx="1574490"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chemeClr val="bg1"/>
              </a:solidFill>
              <a:latin typeface="Calibri"/>
            </a:rPr>
            <a:pPr algn="ctr"/>
            <a:t>M3S6</a:t>
          </a:fld>
          <a:endParaRPr lang="en-US" sz="1100">
            <a:solidFill>
              <a:schemeClr val="bg1"/>
            </a:solidFill>
          </a:endParaRPr>
        </a:p>
      </xdr:txBody>
    </xdr:sp>
    <xdr:clientData/>
  </xdr:twoCellAnchor>
  <xdr:twoCellAnchor>
    <xdr:from>
      <xdr:col>32</xdr:col>
      <xdr:colOff>2865</xdr:colOff>
      <xdr:row>5</xdr:row>
      <xdr:rowOff>51480</xdr:rowOff>
    </xdr:from>
    <xdr:to>
      <xdr:col>37</xdr:col>
      <xdr:colOff>2720</xdr:colOff>
      <xdr:row>7</xdr:row>
      <xdr:rowOff>50800</xdr:rowOff>
    </xdr:to>
    <xdr:sp macro="" textlink="M3S7">
      <xdr:nvSpPr>
        <xdr:cNvPr id="17" name="SUBMENU7">
          <a:hlinkClick xmlns:r="http://schemas.openxmlformats.org/officeDocument/2006/relationships" r:id="rId12"/>
          <a:extLst>
            <a:ext uri="{FF2B5EF4-FFF2-40B4-BE49-F238E27FC236}">
              <a16:creationId xmlns:a16="http://schemas.microsoft.com/office/drawing/2014/main" id="{00000000-0008-0000-1900-000011000000}"/>
            </a:ext>
          </a:extLst>
        </xdr:cNvPr>
        <xdr:cNvSpPr/>
      </xdr:nvSpPr>
      <xdr:spPr>
        <a:xfrm>
          <a:off x="10061265" y="1051605"/>
          <a:ext cx="1571480" cy="399370"/>
        </a:xfrm>
        <a:prstGeom prst="round2SameRect">
          <a:avLst/>
        </a:prstGeom>
        <a:solidFill>
          <a:srgbClr val="1B6CB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solidFill>
              <a:latin typeface="Calibri"/>
            </a:rPr>
            <a:pPr algn="ctr"/>
            <a:t>M3S7</a:t>
          </a:fld>
          <a:endParaRPr lang="en-US" sz="1100">
            <a:solidFill>
              <a:schemeClr val="bg1"/>
            </a:solidFill>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18" name="SUBMENU8">
          <a:hlinkClick xmlns:r="http://schemas.openxmlformats.org/officeDocument/2006/relationships" r:id="rId1"/>
          <a:extLst>
            <a:ext uri="{FF2B5EF4-FFF2-40B4-BE49-F238E27FC236}">
              <a16:creationId xmlns:a16="http://schemas.microsoft.com/office/drawing/2014/main" id="{00000000-0008-0000-1900-000012000000}"/>
            </a:ext>
          </a:extLst>
        </xdr:cNvPr>
        <xdr:cNvSpPr/>
      </xdr:nvSpPr>
      <xdr:spPr>
        <a:xfrm>
          <a:off x="11632745" y="1000805"/>
          <a:ext cx="1568905"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solidFill>
              <a:latin typeface="Calibri"/>
            </a:rPr>
            <a:pPr algn="ctr"/>
            <a:t>M3S8</a:t>
          </a:fld>
          <a:endParaRPr lang="en-US" sz="1100">
            <a:solidFill>
              <a:schemeClr val="bg1"/>
            </a:solidFill>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9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1"/>
          <a:extLst>
            <a:ext uri="{FF2B5EF4-FFF2-40B4-BE49-F238E27FC236}">
              <a16:creationId xmlns:a16="http://schemas.microsoft.com/office/drawing/2014/main" id="{00000000-0008-0000-1900-000014000000}"/>
            </a:ext>
          </a:extLst>
        </xdr:cNvPr>
        <xdr:cNvSpPr>
          <a:spLocks noChangeAspect="1"/>
        </xdr:cNvSpPr>
      </xdr:nvSpPr>
      <xdr:spPr>
        <a:xfrm>
          <a:off x="631370" y="1801432"/>
          <a:ext cx="626890" cy="400050"/>
        </a:xfrm>
        <a:prstGeom prst="leftArrow">
          <a:avLst/>
        </a:prstGeom>
        <a:solidFill>
          <a:srgbClr val="1B6CB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9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38</xdr:col>
      <xdr:colOff>161924</xdr:colOff>
      <xdr:row>0</xdr:row>
      <xdr:rowOff>0</xdr:rowOff>
    </xdr:from>
    <xdr:to>
      <xdr:col>39</xdr:col>
      <xdr:colOff>161924</xdr:colOff>
      <xdr:row>1</xdr:row>
      <xdr:rowOff>0</xdr:rowOff>
    </xdr:to>
    <xdr:sp macro="" textlink="">
      <xdr:nvSpPr>
        <xdr:cNvPr id="24" name="Flowchart: Multidocument 23">
          <a:extLst>
            <a:ext uri="{FF2B5EF4-FFF2-40B4-BE49-F238E27FC236}">
              <a16:creationId xmlns:a16="http://schemas.microsoft.com/office/drawing/2014/main" id="{00000000-0008-0000-1900-000018000000}"/>
            </a:ext>
          </a:extLst>
        </xdr:cNvPr>
        <xdr:cNvSpPr/>
      </xdr:nvSpPr>
      <xdr:spPr>
        <a:xfrm>
          <a:off x="12106274" y="0"/>
          <a:ext cx="314325" cy="200025"/>
        </a:xfrm>
        <a:prstGeom prst="flowChartMultidocument">
          <a:avLst/>
        </a:prstGeom>
        <a:solidFill>
          <a:srgbClr val="54BCEB"/>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33</xdr:col>
      <xdr:colOff>312066</xdr:colOff>
      <xdr:row>0</xdr:row>
      <xdr:rowOff>0</xdr:rowOff>
    </xdr:from>
    <xdr:ext cx="316584" cy="200025"/>
    <xdr:sp macro="" textlink="">
      <xdr:nvSpPr>
        <xdr:cNvPr id="25" name="Rectangle 24">
          <a:extLst>
            <a:ext uri="{FF2B5EF4-FFF2-40B4-BE49-F238E27FC236}">
              <a16:creationId xmlns:a16="http://schemas.microsoft.com/office/drawing/2014/main" id="{00000000-0008-0000-1900-000019000000}"/>
            </a:ext>
          </a:extLst>
        </xdr:cNvPr>
        <xdr:cNvSpPr/>
      </xdr:nvSpPr>
      <xdr:spPr>
        <a:xfrm>
          <a:off x="10684791" y="0"/>
          <a:ext cx="316584" cy="200025"/>
        </a:xfrm>
        <a:prstGeom prst="rect">
          <a:avLst/>
        </a:prstGeom>
        <a:noFill/>
      </xdr:spPr>
      <xdr:txBody>
        <a:bodyPr wrap="square" lIns="0" tIns="0" rIns="0" bIns="0" anchor="ctr" anchorCtr="0">
          <a:noAutofit/>
        </a:bodyPr>
        <a:lstStyle/>
        <a:p>
          <a:pPr algn="ctr"/>
          <a:r>
            <a:rPr lang="en-US" sz="1500" b="1" cap="none" spc="0">
              <a:ln w="0">
                <a:solidFill>
                  <a:schemeClr val="accent6">
                    <a:lumMod val="50000"/>
                  </a:schemeClr>
                </a:solidFill>
              </a:ln>
              <a:solidFill>
                <a:srgbClr val="BADD8B"/>
              </a:solidFill>
              <a:effectLst>
                <a:outerShdw blurRad="38100" dist="25400" dir="5400000" algn="ctr" rotWithShape="0">
                  <a:srgbClr val="6E747A">
                    <a:alpha val="43000"/>
                  </a:srgbClr>
                </a:outerShdw>
              </a:effectLst>
            </a:rPr>
            <a:t>$</a:t>
          </a:r>
        </a:p>
      </xdr:txBody>
    </xdr:sp>
    <xdr:clientData/>
  </xdr:oneCellAnchor>
  <xdr:oneCellAnchor>
    <xdr:from>
      <xdr:col>42</xdr:col>
      <xdr:colOff>171450</xdr:colOff>
      <xdr:row>0</xdr:row>
      <xdr:rowOff>0</xdr:rowOff>
    </xdr:from>
    <xdr:ext cx="314325" cy="200025"/>
    <xdr:sp macro="" textlink="">
      <xdr:nvSpPr>
        <xdr:cNvPr id="26" name="Rectangle 25">
          <a:extLst>
            <a:ext uri="{FF2B5EF4-FFF2-40B4-BE49-F238E27FC236}">
              <a16:creationId xmlns:a16="http://schemas.microsoft.com/office/drawing/2014/main" id="{00000000-0008-0000-1900-00001A000000}"/>
            </a:ext>
          </a:extLst>
        </xdr:cNvPr>
        <xdr:cNvSpPr/>
      </xdr:nvSpPr>
      <xdr:spPr>
        <a:xfrm>
          <a:off x="13373100" y="0"/>
          <a:ext cx="314325" cy="200025"/>
        </a:xfrm>
        <a:prstGeom prst="rect">
          <a:avLst/>
        </a:prstGeom>
        <a:noFill/>
      </xdr:spPr>
      <xdr:txBody>
        <a:bodyPr wrap="square" lIns="0" tIns="0" rIns="0" bIns="0" anchor="ctr" anchorCtr="0">
          <a:noAutofit/>
        </a:bodyPr>
        <a:lstStyle/>
        <a:p>
          <a:pPr algn="ctr"/>
          <a:r>
            <a:rPr lang="en-US" sz="1800" b="0" cap="none" spc="0">
              <a:ln w="0"/>
              <a:solidFill>
                <a:srgbClr val="00334E"/>
              </a:solidFill>
              <a:effectLst>
                <a:outerShdw blurRad="38100" dist="25400" dir="5400000" algn="ctr" rotWithShape="0">
                  <a:srgbClr val="6E747A">
                    <a:alpha val="43000"/>
                  </a:srgbClr>
                </a:outerShdw>
              </a:effectLst>
              <a:sym typeface="Wingdings" panose="05000000000000000000" pitchFamily="2" charset="2"/>
            </a:rPr>
            <a:t></a:t>
          </a:r>
          <a:endParaRPr lang="en-US" sz="1800" b="0" cap="none" spc="0">
            <a:ln w="0"/>
            <a:solidFill>
              <a:srgbClr val="00334E"/>
            </a:solidFill>
            <a:effectLst>
              <a:outerShdw blurRad="38100" dist="25400" dir="5400000" algn="ctr" rotWithShape="0">
                <a:srgbClr val="6E747A">
                  <a:alpha val="43000"/>
                </a:srgbClr>
              </a:outerShdw>
            </a:effectLst>
          </a:endParaRPr>
        </a:p>
      </xdr:txBody>
    </xdr:sp>
    <xdr:clientData/>
  </xdr:oneCellAnchor>
  <xdr:twoCellAnchor editAs="oneCell">
    <xdr:from>
      <xdr:col>2</xdr:col>
      <xdr:colOff>0</xdr:colOff>
      <xdr:row>1</xdr:row>
      <xdr:rowOff>0</xdr:rowOff>
    </xdr:from>
    <xdr:to>
      <xdr:col>5</xdr:col>
      <xdr:colOff>155661</xdr:colOff>
      <xdr:row>3</xdr:row>
      <xdr:rowOff>147034</xdr:rowOff>
    </xdr:to>
    <xdr:pic>
      <xdr:nvPicPr>
        <xdr:cNvPr id="31" name="LOGO" descr="Screen Clipping">
          <a:extLst>
            <a:ext uri="{FF2B5EF4-FFF2-40B4-BE49-F238E27FC236}">
              <a16:creationId xmlns:a16="http://schemas.microsoft.com/office/drawing/2014/main" id="{00000000-0008-0000-1900-00001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28650" y="200025"/>
          <a:ext cx="1098636" cy="54708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a:extLst>
            <a:ext uri="{FF2B5EF4-FFF2-40B4-BE49-F238E27FC236}">
              <a16:creationId xmlns:a16="http://schemas.microsoft.com/office/drawing/2014/main" id="{00000000-0008-0000-1A00-000002000000}"/>
            </a:ext>
          </a:extLst>
        </xdr:cNvPr>
        <xdr:cNvSpPr>
          <a:spLocks noChangeAspect="1"/>
        </xdr:cNvSpPr>
      </xdr:nvSpPr>
      <xdr:spPr>
        <a:xfrm>
          <a:off x="12887325" y="1801272"/>
          <a:ext cx="627520" cy="400049"/>
        </a:xfrm>
        <a:prstGeom prst="rightArrow">
          <a:avLst/>
        </a:prstGeom>
        <a:solidFill>
          <a:srgbClr val="1B6CB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1A00-000003000000}"/>
            </a:ext>
          </a:extLst>
        </xdr:cNvPr>
        <xdr:cNvSpPr/>
      </xdr:nvSpPr>
      <xdr:spPr>
        <a:xfrm>
          <a:off x="2200732" y="200025"/>
          <a:ext cx="1571168" cy="600075"/>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solidFill>
              <a:latin typeface="Calibri"/>
            </a:rPr>
            <a:pPr algn="ctr"/>
            <a:t>START</a:t>
          </a:fld>
          <a:endParaRPr lang="en-US" sz="1100">
            <a:solidFill>
              <a:srgbClr val="FFFFFF"/>
            </a:solidFill>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1A00-000004000000}"/>
            </a:ext>
          </a:extLst>
        </xdr:cNvPr>
        <xdr:cNvSpPr/>
      </xdr:nvSpPr>
      <xdr:spPr>
        <a:xfrm>
          <a:off x="3771900" y="200025"/>
          <a:ext cx="1571625" cy="600075"/>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rgbClr val="FFFFFF"/>
              </a:solidFill>
              <a:latin typeface="Calibri"/>
            </a:rPr>
            <a:pPr algn="ctr"/>
            <a:t>PROJECT INFORMATION</a:t>
          </a:fld>
          <a:endParaRPr lang="en-US" sz="1100">
            <a:solidFill>
              <a:srgbClr val="FFFFFF"/>
            </a:solidFill>
          </a:endParaRPr>
        </a:p>
      </xdr:txBody>
    </xdr:sp>
    <xdr:clientData/>
  </xdr:twoCellAnchor>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4"/>
          <a:extLst>
            <a:ext uri="{FF2B5EF4-FFF2-40B4-BE49-F238E27FC236}">
              <a16:creationId xmlns:a16="http://schemas.microsoft.com/office/drawing/2014/main" id="{00000000-0008-0000-1A00-000005000000}"/>
            </a:ext>
          </a:extLst>
        </xdr:cNvPr>
        <xdr:cNvSpPr/>
      </xdr:nvSpPr>
      <xdr:spPr>
        <a:xfrm>
          <a:off x="5343525" y="333375"/>
          <a:ext cx="1571625" cy="600075"/>
        </a:xfrm>
        <a:prstGeom prst="round2SameRect">
          <a:avLst/>
        </a:prstGeom>
        <a:solidFill>
          <a:srgbClr val="7BC143"/>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ysClr val="windowText" lastClr="000000"/>
              </a:solidFill>
              <a:latin typeface="Calibri"/>
            </a:rPr>
            <a:pPr algn="ctr"/>
            <a:t>CODE-BASELINE MEASURES</a:t>
          </a:fld>
          <a:endParaRPr lang="en-US" sz="1100">
            <a:solidFill>
              <a:sysClr val="windowText" lastClr="000000"/>
            </a:solidFill>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
          <a:extLst>
            <a:ext uri="{FF2B5EF4-FFF2-40B4-BE49-F238E27FC236}">
              <a16:creationId xmlns:a16="http://schemas.microsoft.com/office/drawing/2014/main" id="{00000000-0008-0000-1A00-000006000000}"/>
            </a:ext>
          </a:extLst>
        </xdr:cNvPr>
        <xdr:cNvSpPr/>
      </xdr:nvSpPr>
      <xdr:spPr>
        <a:xfrm>
          <a:off x="6915150" y="200025"/>
          <a:ext cx="1571625" cy="600075"/>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rgbClr val="FFFFFF"/>
              </a:solidFill>
              <a:latin typeface="Calibri"/>
            </a:rPr>
            <a:pPr algn="ctr"/>
            <a:t>PRE-APPROVAL MEASURES</a:t>
          </a:fld>
          <a:endParaRPr lang="en-US" sz="1100">
            <a:solidFill>
              <a:srgbClr val="FFFFFF"/>
            </a:solidFill>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5"/>
          <a:extLst>
            <a:ext uri="{FF2B5EF4-FFF2-40B4-BE49-F238E27FC236}">
              <a16:creationId xmlns:a16="http://schemas.microsoft.com/office/drawing/2014/main" id="{00000000-0008-0000-1A00-000007000000}"/>
            </a:ext>
          </a:extLst>
        </xdr:cNvPr>
        <xdr:cNvSpPr/>
      </xdr:nvSpPr>
      <xdr:spPr>
        <a:xfrm>
          <a:off x="8486775" y="200025"/>
          <a:ext cx="1571625" cy="600075"/>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rgbClr val="FFFFFF"/>
              </a:solidFill>
              <a:latin typeface="Calibri"/>
            </a:rPr>
            <a:pPr algn="ctr"/>
            <a:t>APPLICATION REVIEW</a:t>
          </a:fld>
          <a:endParaRPr lang="en-US" sz="1100">
            <a:solidFill>
              <a:srgbClr val="FFFFFF"/>
            </a:solidFill>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A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Calibri"/>
            </a:rPr>
            <a:pPr algn="ctr"/>
            <a:t>NEXT STEPS</a:t>
          </a:fld>
          <a:endParaRPr lang="en-US" sz="1100">
            <a:noFill/>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A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FORM4</a:t>
          </a:fld>
          <a:endParaRPr lang="en-US" sz="1100">
            <a:noFill/>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1A00-00000A000000}"/>
            </a:ext>
          </a:extLst>
        </xdr:cNvPr>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3S1">
      <xdr:nvSpPr>
        <xdr:cNvPr id="11" name="SUBMENU1">
          <a:hlinkClick xmlns:r="http://schemas.openxmlformats.org/officeDocument/2006/relationships" r:id="rId4"/>
          <a:extLst>
            <a:ext uri="{FF2B5EF4-FFF2-40B4-BE49-F238E27FC236}">
              <a16:creationId xmlns:a16="http://schemas.microsoft.com/office/drawing/2014/main" id="{00000000-0008-0000-1A00-00000B000000}"/>
            </a:ext>
          </a:extLst>
        </xdr:cNvPr>
        <xdr:cNvSpPr/>
      </xdr:nvSpPr>
      <xdr:spPr>
        <a:xfrm>
          <a:off x="631370" y="1000125"/>
          <a:ext cx="1569362" cy="397852"/>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Calibri"/>
            </a:rPr>
            <a:pPr algn="ctr"/>
            <a:t>Whole Building Performance</a:t>
          </a:fld>
          <a:endParaRPr lang="en-US" sz="1100">
            <a:solidFill>
              <a:srgbClr val="FFFFFF"/>
            </a:solidFill>
          </a:endParaRPr>
        </a:p>
      </xdr:txBody>
    </xdr:sp>
    <xdr:clientData/>
  </xdr:twoCellAnchor>
  <xdr:twoCellAnchor>
    <xdr:from>
      <xdr:col>7</xdr:col>
      <xdr:colOff>2551</xdr:colOff>
      <xdr:row>4</xdr:row>
      <xdr:rowOff>200705</xdr:rowOff>
    </xdr:from>
    <xdr:to>
      <xdr:col>12</xdr:col>
      <xdr:colOff>2550</xdr:colOff>
      <xdr:row>7</xdr:row>
      <xdr:rowOff>0</xdr:rowOff>
    </xdr:to>
    <xdr:sp macro="" textlink="M3S2">
      <xdr:nvSpPr>
        <xdr:cNvPr id="12" name="SUBMENU2">
          <a:hlinkClick xmlns:r="http://schemas.openxmlformats.org/officeDocument/2006/relationships" r:id="rId6"/>
          <a:extLst>
            <a:ext uri="{FF2B5EF4-FFF2-40B4-BE49-F238E27FC236}">
              <a16:creationId xmlns:a16="http://schemas.microsoft.com/office/drawing/2014/main" id="{00000000-0008-0000-1A00-00000C000000}"/>
            </a:ext>
          </a:extLst>
        </xdr:cNvPr>
        <xdr:cNvSpPr/>
      </xdr:nvSpPr>
      <xdr:spPr>
        <a:xfrm>
          <a:off x="2202826" y="1000805"/>
          <a:ext cx="1571624"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Calibri"/>
            </a:rPr>
            <a:pPr algn="ctr"/>
            <a:t>LPD Interior Lighting</a:t>
          </a:fld>
          <a:endParaRPr lang="en-US" sz="1100">
            <a:solidFill>
              <a:srgbClr val="FFFFFF"/>
            </a:solidFill>
          </a:endParaRPr>
        </a:p>
      </xdr:txBody>
    </xdr:sp>
    <xdr:clientData/>
  </xdr:twoCellAnchor>
  <xdr:twoCellAnchor>
    <xdr:from>
      <xdr:col>12</xdr:col>
      <xdr:colOff>2551</xdr:colOff>
      <xdr:row>4</xdr:row>
      <xdr:rowOff>200705</xdr:rowOff>
    </xdr:from>
    <xdr:to>
      <xdr:col>17</xdr:col>
      <xdr:colOff>2550</xdr:colOff>
      <xdr:row>7</xdr:row>
      <xdr:rowOff>0</xdr:rowOff>
    </xdr:to>
    <xdr:sp macro="" textlink="M3S3">
      <xdr:nvSpPr>
        <xdr:cNvPr id="13" name="SUBMENU3">
          <a:hlinkClick xmlns:r="http://schemas.openxmlformats.org/officeDocument/2006/relationships" r:id="rId7"/>
          <a:extLst>
            <a:ext uri="{FF2B5EF4-FFF2-40B4-BE49-F238E27FC236}">
              <a16:creationId xmlns:a16="http://schemas.microsoft.com/office/drawing/2014/main" id="{00000000-0008-0000-1A00-00000D000000}"/>
            </a:ext>
          </a:extLst>
        </xdr:cNvPr>
        <xdr:cNvSpPr/>
      </xdr:nvSpPr>
      <xdr:spPr>
        <a:xfrm>
          <a:off x="3774451" y="1000805"/>
          <a:ext cx="1571624"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chemeClr val="bg1"/>
              </a:solidFill>
              <a:latin typeface="Calibri"/>
            </a:rPr>
            <a:pPr algn="ctr"/>
            <a:t>M3S3</a:t>
          </a:fld>
          <a:endParaRPr lang="en-US" sz="1100">
            <a:solidFill>
              <a:schemeClr val="bg1"/>
            </a:solidFill>
          </a:endParaRPr>
        </a:p>
      </xdr:txBody>
    </xdr:sp>
    <xdr:clientData/>
  </xdr:twoCellAnchor>
  <xdr:twoCellAnchor>
    <xdr:from>
      <xdr:col>17</xdr:col>
      <xdr:colOff>2551</xdr:colOff>
      <xdr:row>4</xdr:row>
      <xdr:rowOff>200705</xdr:rowOff>
    </xdr:from>
    <xdr:to>
      <xdr:col>22</xdr:col>
      <xdr:colOff>2550</xdr:colOff>
      <xdr:row>7</xdr:row>
      <xdr:rowOff>0</xdr:rowOff>
    </xdr:to>
    <xdr:sp macro="" textlink="M3S4">
      <xdr:nvSpPr>
        <xdr:cNvPr id="14" name="SUBMENU4">
          <a:hlinkClick xmlns:r="http://schemas.openxmlformats.org/officeDocument/2006/relationships" r:id="rId8"/>
          <a:extLst>
            <a:ext uri="{FF2B5EF4-FFF2-40B4-BE49-F238E27FC236}">
              <a16:creationId xmlns:a16="http://schemas.microsoft.com/office/drawing/2014/main" id="{00000000-0008-0000-1A00-00000E000000}"/>
            </a:ext>
          </a:extLst>
        </xdr:cNvPr>
        <xdr:cNvSpPr/>
      </xdr:nvSpPr>
      <xdr:spPr>
        <a:xfrm>
          <a:off x="5346076" y="1000805"/>
          <a:ext cx="1571624"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chemeClr val="bg1"/>
              </a:solidFill>
              <a:latin typeface="Calibri"/>
            </a:rPr>
            <a:pPr algn="ctr"/>
            <a:t>M3S4</a:t>
          </a:fld>
          <a:endParaRPr lang="en-US" sz="1100">
            <a:solidFill>
              <a:schemeClr val="bg1"/>
            </a:solidFill>
          </a:endParaRPr>
        </a:p>
      </xdr:txBody>
    </xdr:sp>
    <xdr:clientData/>
  </xdr:twoCellAnchor>
  <xdr:twoCellAnchor>
    <xdr:from>
      <xdr:col>22</xdr:col>
      <xdr:colOff>2551</xdr:colOff>
      <xdr:row>4</xdr:row>
      <xdr:rowOff>200705</xdr:rowOff>
    </xdr:from>
    <xdr:to>
      <xdr:col>27</xdr:col>
      <xdr:colOff>2549</xdr:colOff>
      <xdr:row>7</xdr:row>
      <xdr:rowOff>0</xdr:rowOff>
    </xdr:to>
    <xdr:sp macro="" textlink="M3S5">
      <xdr:nvSpPr>
        <xdr:cNvPr id="15" name="SUBMENU5">
          <a:hlinkClick xmlns:r="http://schemas.openxmlformats.org/officeDocument/2006/relationships" r:id="rId9"/>
          <a:extLst>
            <a:ext uri="{FF2B5EF4-FFF2-40B4-BE49-F238E27FC236}">
              <a16:creationId xmlns:a16="http://schemas.microsoft.com/office/drawing/2014/main" id="{00000000-0008-0000-1A00-00000F000000}"/>
            </a:ext>
          </a:extLst>
        </xdr:cNvPr>
        <xdr:cNvSpPr/>
      </xdr:nvSpPr>
      <xdr:spPr>
        <a:xfrm>
          <a:off x="6917701" y="1000805"/>
          <a:ext cx="1571623"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chemeClr val="bg1"/>
              </a:solidFill>
              <a:latin typeface="Calibri"/>
            </a:rPr>
            <a:pPr algn="ctr"/>
            <a:t>M3S5</a:t>
          </a:fld>
          <a:endParaRPr lang="en-US" sz="1100">
            <a:solidFill>
              <a:schemeClr val="bg1"/>
            </a:solidFill>
          </a:endParaRPr>
        </a:p>
      </xdr:txBody>
    </xdr:sp>
    <xdr:clientData/>
  </xdr:twoCellAnchor>
  <xdr:twoCellAnchor>
    <xdr:from>
      <xdr:col>27</xdr:col>
      <xdr:colOff>0</xdr:colOff>
      <xdr:row>4</xdr:row>
      <xdr:rowOff>200705</xdr:rowOff>
    </xdr:from>
    <xdr:to>
      <xdr:col>32</xdr:col>
      <xdr:colOff>2865</xdr:colOff>
      <xdr:row>7</xdr:row>
      <xdr:rowOff>0</xdr:rowOff>
    </xdr:to>
    <xdr:sp macro="" textlink="M3S6">
      <xdr:nvSpPr>
        <xdr:cNvPr id="16" name="SUBMENU6">
          <a:hlinkClick xmlns:r="http://schemas.openxmlformats.org/officeDocument/2006/relationships" r:id="rId10"/>
          <a:extLst>
            <a:ext uri="{FF2B5EF4-FFF2-40B4-BE49-F238E27FC236}">
              <a16:creationId xmlns:a16="http://schemas.microsoft.com/office/drawing/2014/main" id="{00000000-0008-0000-1A00-000010000000}"/>
            </a:ext>
          </a:extLst>
        </xdr:cNvPr>
        <xdr:cNvSpPr/>
      </xdr:nvSpPr>
      <xdr:spPr>
        <a:xfrm>
          <a:off x="8486775" y="1000805"/>
          <a:ext cx="1574490"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chemeClr val="bg1"/>
              </a:solidFill>
              <a:latin typeface="Calibri"/>
            </a:rPr>
            <a:pPr algn="ctr"/>
            <a:t>M3S6</a:t>
          </a:fld>
          <a:endParaRPr lang="en-US" sz="1100">
            <a:solidFill>
              <a:schemeClr val="bg1"/>
            </a:solidFill>
          </a:endParaRPr>
        </a:p>
      </xdr:txBody>
    </xdr:sp>
    <xdr:clientData/>
  </xdr:twoCellAnchor>
  <xdr:twoCellAnchor>
    <xdr:from>
      <xdr:col>32</xdr:col>
      <xdr:colOff>2865</xdr:colOff>
      <xdr:row>4</xdr:row>
      <xdr:rowOff>200705</xdr:rowOff>
    </xdr:from>
    <xdr:to>
      <xdr:col>37</xdr:col>
      <xdr:colOff>2720</xdr:colOff>
      <xdr:row>7</xdr:row>
      <xdr:rowOff>0</xdr:rowOff>
    </xdr:to>
    <xdr:sp macro="" textlink="M3S7">
      <xdr:nvSpPr>
        <xdr:cNvPr id="17" name="SUBMENU7">
          <a:hlinkClick xmlns:r="http://schemas.openxmlformats.org/officeDocument/2006/relationships" r:id="rId11"/>
          <a:extLst>
            <a:ext uri="{FF2B5EF4-FFF2-40B4-BE49-F238E27FC236}">
              <a16:creationId xmlns:a16="http://schemas.microsoft.com/office/drawing/2014/main" id="{00000000-0008-0000-1A00-000011000000}"/>
            </a:ext>
          </a:extLst>
        </xdr:cNvPr>
        <xdr:cNvSpPr/>
      </xdr:nvSpPr>
      <xdr:spPr>
        <a:xfrm>
          <a:off x="10061265" y="1000805"/>
          <a:ext cx="1571480"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solidFill>
              <a:latin typeface="Calibri"/>
            </a:rPr>
            <a:pPr algn="ctr"/>
            <a:t>M3S7</a:t>
          </a:fld>
          <a:endParaRPr lang="en-US" sz="1100">
            <a:solidFill>
              <a:schemeClr val="bg1"/>
            </a:solidFill>
          </a:endParaRPr>
        </a:p>
      </xdr:txBody>
    </xdr:sp>
    <xdr:clientData/>
  </xdr:twoCellAnchor>
  <xdr:twoCellAnchor>
    <xdr:from>
      <xdr:col>37</xdr:col>
      <xdr:colOff>2720</xdr:colOff>
      <xdr:row>5</xdr:row>
      <xdr:rowOff>51480</xdr:rowOff>
    </xdr:from>
    <xdr:to>
      <xdr:col>42</xdr:col>
      <xdr:colOff>0</xdr:colOff>
      <xdr:row>7</xdr:row>
      <xdr:rowOff>50800</xdr:rowOff>
    </xdr:to>
    <xdr:sp macro="" textlink="M3S8">
      <xdr:nvSpPr>
        <xdr:cNvPr id="18" name="SUBMENU8">
          <a:hlinkClick xmlns:r="http://schemas.openxmlformats.org/officeDocument/2006/relationships" r:id="rId12"/>
          <a:extLst>
            <a:ext uri="{FF2B5EF4-FFF2-40B4-BE49-F238E27FC236}">
              <a16:creationId xmlns:a16="http://schemas.microsoft.com/office/drawing/2014/main" id="{00000000-0008-0000-1A00-000012000000}"/>
            </a:ext>
          </a:extLst>
        </xdr:cNvPr>
        <xdr:cNvSpPr/>
      </xdr:nvSpPr>
      <xdr:spPr>
        <a:xfrm>
          <a:off x="11632745" y="1051605"/>
          <a:ext cx="1568905" cy="399370"/>
        </a:xfrm>
        <a:prstGeom prst="round2SameRect">
          <a:avLst/>
        </a:prstGeom>
        <a:solidFill>
          <a:srgbClr val="1B6CB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solidFill>
              <a:latin typeface="Calibri"/>
            </a:rPr>
            <a:pPr algn="ctr"/>
            <a:t>M3S8</a:t>
          </a:fld>
          <a:endParaRPr lang="en-US" sz="1100">
            <a:solidFill>
              <a:schemeClr val="bg1"/>
            </a:solidFill>
          </a:endParaRPr>
        </a:p>
      </xdr:txBody>
    </xdr:sp>
    <xdr:clientData/>
  </xdr:twoCellAnchor>
  <xdr:twoCellAnchor>
    <xdr:from>
      <xdr:col>0</xdr:col>
      <xdr:colOff>314323</xdr:colOff>
      <xdr:row>7</xdr:row>
      <xdr:rowOff>200024</xdr:rowOff>
    </xdr:from>
    <xdr:to>
      <xdr:col>44</xdr:col>
      <xdr:colOff>0</xdr:colOff>
      <xdr:row>45</xdr:row>
      <xdr:rowOff>0</xdr:rowOff>
    </xdr:to>
    <xdr:sp macro="" textlink="">
      <xdr:nvSpPr>
        <xdr:cNvPr id="19" name="BORDER">
          <a:extLst>
            <a:ext uri="{FF2B5EF4-FFF2-40B4-BE49-F238E27FC236}">
              <a16:creationId xmlns:a16="http://schemas.microsoft.com/office/drawing/2014/main" id="{00000000-0008-0000-1A00-000013000000}"/>
            </a:ext>
          </a:extLst>
        </xdr:cNvPr>
        <xdr:cNvSpPr/>
      </xdr:nvSpPr>
      <xdr:spPr>
        <a:xfrm>
          <a:off x="314323" y="1600199"/>
          <a:ext cx="13515977" cy="7200901"/>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1"/>
          <a:extLst>
            <a:ext uri="{FF2B5EF4-FFF2-40B4-BE49-F238E27FC236}">
              <a16:creationId xmlns:a16="http://schemas.microsoft.com/office/drawing/2014/main" id="{00000000-0008-0000-1A00-000014000000}"/>
            </a:ext>
          </a:extLst>
        </xdr:cNvPr>
        <xdr:cNvSpPr>
          <a:spLocks noChangeAspect="1"/>
        </xdr:cNvSpPr>
      </xdr:nvSpPr>
      <xdr:spPr>
        <a:xfrm>
          <a:off x="631370" y="1801432"/>
          <a:ext cx="626890" cy="400050"/>
        </a:xfrm>
        <a:prstGeom prst="leftArrow">
          <a:avLst/>
        </a:prstGeom>
        <a:solidFill>
          <a:srgbClr val="1B6CB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A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38</xdr:col>
      <xdr:colOff>161924</xdr:colOff>
      <xdr:row>0</xdr:row>
      <xdr:rowOff>0</xdr:rowOff>
    </xdr:from>
    <xdr:to>
      <xdr:col>39</xdr:col>
      <xdr:colOff>161924</xdr:colOff>
      <xdr:row>1</xdr:row>
      <xdr:rowOff>0</xdr:rowOff>
    </xdr:to>
    <xdr:sp macro="" textlink="">
      <xdr:nvSpPr>
        <xdr:cNvPr id="24" name="Flowchart: Multidocument 23">
          <a:extLst>
            <a:ext uri="{FF2B5EF4-FFF2-40B4-BE49-F238E27FC236}">
              <a16:creationId xmlns:a16="http://schemas.microsoft.com/office/drawing/2014/main" id="{00000000-0008-0000-1A00-000018000000}"/>
            </a:ext>
          </a:extLst>
        </xdr:cNvPr>
        <xdr:cNvSpPr/>
      </xdr:nvSpPr>
      <xdr:spPr>
        <a:xfrm>
          <a:off x="12106274" y="0"/>
          <a:ext cx="314325" cy="200025"/>
        </a:xfrm>
        <a:prstGeom prst="flowChartMultidocument">
          <a:avLst/>
        </a:prstGeom>
        <a:solidFill>
          <a:srgbClr val="54BCEB"/>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33</xdr:col>
      <xdr:colOff>312066</xdr:colOff>
      <xdr:row>0</xdr:row>
      <xdr:rowOff>0</xdr:rowOff>
    </xdr:from>
    <xdr:ext cx="316584" cy="200025"/>
    <xdr:sp macro="" textlink="">
      <xdr:nvSpPr>
        <xdr:cNvPr id="25" name="Rectangle 24">
          <a:extLst>
            <a:ext uri="{FF2B5EF4-FFF2-40B4-BE49-F238E27FC236}">
              <a16:creationId xmlns:a16="http://schemas.microsoft.com/office/drawing/2014/main" id="{00000000-0008-0000-1A00-000019000000}"/>
            </a:ext>
          </a:extLst>
        </xdr:cNvPr>
        <xdr:cNvSpPr/>
      </xdr:nvSpPr>
      <xdr:spPr>
        <a:xfrm>
          <a:off x="10684791" y="0"/>
          <a:ext cx="316584" cy="200025"/>
        </a:xfrm>
        <a:prstGeom prst="rect">
          <a:avLst/>
        </a:prstGeom>
        <a:noFill/>
      </xdr:spPr>
      <xdr:txBody>
        <a:bodyPr wrap="square" lIns="0" tIns="0" rIns="0" bIns="0" anchor="ctr" anchorCtr="0">
          <a:noAutofit/>
        </a:bodyPr>
        <a:lstStyle/>
        <a:p>
          <a:pPr algn="ctr"/>
          <a:r>
            <a:rPr lang="en-US" sz="1500" b="1" cap="none" spc="0">
              <a:ln w="0">
                <a:solidFill>
                  <a:schemeClr val="accent6">
                    <a:lumMod val="50000"/>
                  </a:schemeClr>
                </a:solidFill>
              </a:ln>
              <a:solidFill>
                <a:srgbClr val="BADD8B"/>
              </a:solidFill>
              <a:effectLst>
                <a:outerShdw blurRad="38100" dist="25400" dir="5400000" algn="ctr" rotWithShape="0">
                  <a:srgbClr val="6E747A">
                    <a:alpha val="43000"/>
                  </a:srgbClr>
                </a:outerShdw>
              </a:effectLst>
            </a:rPr>
            <a:t>$</a:t>
          </a:r>
        </a:p>
      </xdr:txBody>
    </xdr:sp>
    <xdr:clientData/>
  </xdr:oneCellAnchor>
  <xdr:oneCellAnchor>
    <xdr:from>
      <xdr:col>42</xdr:col>
      <xdr:colOff>171450</xdr:colOff>
      <xdr:row>0</xdr:row>
      <xdr:rowOff>0</xdr:rowOff>
    </xdr:from>
    <xdr:ext cx="314325" cy="200025"/>
    <xdr:sp macro="" textlink="">
      <xdr:nvSpPr>
        <xdr:cNvPr id="26" name="Rectangle 25">
          <a:extLst>
            <a:ext uri="{FF2B5EF4-FFF2-40B4-BE49-F238E27FC236}">
              <a16:creationId xmlns:a16="http://schemas.microsoft.com/office/drawing/2014/main" id="{00000000-0008-0000-1A00-00001A000000}"/>
            </a:ext>
          </a:extLst>
        </xdr:cNvPr>
        <xdr:cNvSpPr/>
      </xdr:nvSpPr>
      <xdr:spPr>
        <a:xfrm>
          <a:off x="13373100" y="0"/>
          <a:ext cx="314325" cy="200025"/>
        </a:xfrm>
        <a:prstGeom prst="rect">
          <a:avLst/>
        </a:prstGeom>
        <a:noFill/>
      </xdr:spPr>
      <xdr:txBody>
        <a:bodyPr wrap="square" lIns="0" tIns="0" rIns="0" bIns="0" anchor="ctr" anchorCtr="0">
          <a:noAutofit/>
        </a:bodyPr>
        <a:lstStyle/>
        <a:p>
          <a:pPr algn="ctr"/>
          <a:r>
            <a:rPr lang="en-US" sz="1800" b="0" cap="none" spc="0">
              <a:ln w="0"/>
              <a:solidFill>
                <a:srgbClr val="00334E"/>
              </a:solidFill>
              <a:effectLst>
                <a:outerShdw blurRad="38100" dist="25400" dir="5400000" algn="ctr" rotWithShape="0">
                  <a:srgbClr val="6E747A">
                    <a:alpha val="43000"/>
                  </a:srgbClr>
                </a:outerShdw>
              </a:effectLst>
              <a:sym typeface="Wingdings" panose="05000000000000000000" pitchFamily="2" charset="2"/>
            </a:rPr>
            <a:t></a:t>
          </a:r>
          <a:endParaRPr lang="en-US" sz="1800" b="0" cap="none" spc="0">
            <a:ln w="0"/>
            <a:solidFill>
              <a:srgbClr val="00334E"/>
            </a:solidFill>
            <a:effectLst>
              <a:outerShdw blurRad="38100" dist="25400" dir="5400000" algn="ctr" rotWithShape="0">
                <a:srgbClr val="6E747A">
                  <a:alpha val="43000"/>
                </a:srgbClr>
              </a:outerShdw>
            </a:effectLst>
          </a:endParaRPr>
        </a:p>
      </xdr:txBody>
    </xdr:sp>
    <xdr:clientData/>
  </xdr:oneCellAnchor>
  <xdr:twoCellAnchor editAs="oneCell">
    <xdr:from>
      <xdr:col>2</xdr:col>
      <xdr:colOff>0</xdr:colOff>
      <xdr:row>1</xdr:row>
      <xdr:rowOff>0</xdr:rowOff>
    </xdr:from>
    <xdr:to>
      <xdr:col>5</xdr:col>
      <xdr:colOff>155661</xdr:colOff>
      <xdr:row>3</xdr:row>
      <xdr:rowOff>147034</xdr:rowOff>
    </xdr:to>
    <xdr:pic>
      <xdr:nvPicPr>
        <xdr:cNvPr id="31" name="LOGO" descr="Screen Clipping">
          <a:extLst>
            <a:ext uri="{FF2B5EF4-FFF2-40B4-BE49-F238E27FC236}">
              <a16:creationId xmlns:a16="http://schemas.microsoft.com/office/drawing/2014/main" id="{00000000-0008-0000-1A00-00001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28650" y="200025"/>
          <a:ext cx="1098636" cy="547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22</xdr:col>
      <xdr:colOff>13759</xdr:colOff>
      <xdr:row>4</xdr:row>
      <xdr:rowOff>200705</xdr:rowOff>
    </xdr:from>
    <xdr:to>
      <xdr:col>27</xdr:col>
      <xdr:colOff>13759</xdr:colOff>
      <xdr:row>7</xdr:row>
      <xdr:rowOff>0</xdr:rowOff>
    </xdr:to>
    <xdr:sp macro="" textlink="M1S3">
      <xdr:nvSpPr>
        <xdr:cNvPr id="13" name="SUBMENU3">
          <a:hlinkClick xmlns:r="http://schemas.openxmlformats.org/officeDocument/2006/relationships" r:id="rId1"/>
          <a:extLst>
            <a:ext uri="{FF2B5EF4-FFF2-40B4-BE49-F238E27FC236}">
              <a16:creationId xmlns:a16="http://schemas.microsoft.com/office/drawing/2014/main" id="{00000000-0008-0000-0900-00000D000000}"/>
            </a:ext>
          </a:extLst>
        </xdr:cNvPr>
        <xdr:cNvSpPr/>
      </xdr:nvSpPr>
      <xdr:spPr>
        <a:xfrm>
          <a:off x="6916583" y="1007529"/>
          <a:ext cx="1568823" cy="40441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Information Links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2"/>
          <a:extLst>
            <a:ext uri="{FF2B5EF4-FFF2-40B4-BE49-F238E27FC236}">
              <a16:creationId xmlns:a16="http://schemas.microsoft.com/office/drawing/2014/main" id="{00000000-0008-0000-0900-000010000000}"/>
            </a:ext>
          </a:extLst>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3"/>
          <a:extLst>
            <a:ext uri="{FF2B5EF4-FFF2-40B4-BE49-F238E27FC236}">
              <a16:creationId xmlns:a16="http://schemas.microsoft.com/office/drawing/2014/main" id="{00000000-0008-0000-0900-000011000000}"/>
            </a:ext>
          </a:extLst>
        </xdr:cNvPr>
        <xdr:cNvSpPr/>
      </xdr:nvSpPr>
      <xdr:spPr>
        <a:xfrm>
          <a:off x="10061265" y="1000805"/>
          <a:ext cx="1571480"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4"/>
          <a:extLst>
            <a:ext uri="{FF2B5EF4-FFF2-40B4-BE49-F238E27FC236}">
              <a16:creationId xmlns:a16="http://schemas.microsoft.com/office/drawing/2014/main" id="{00000000-0008-0000-0900-000012000000}"/>
            </a:ext>
          </a:extLst>
        </xdr:cNvPr>
        <xdr:cNvSpPr/>
      </xdr:nvSpPr>
      <xdr:spPr>
        <a:xfrm>
          <a:off x="11632745" y="1000805"/>
          <a:ext cx="1568905"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a:extLst>
            <a:ext uri="{FF2B5EF4-FFF2-40B4-BE49-F238E27FC236}">
              <a16:creationId xmlns:a16="http://schemas.microsoft.com/office/drawing/2014/main" id="{00000000-0008-0000-09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6"/>
          <a:extLst>
            <a:ext uri="{FF2B5EF4-FFF2-40B4-BE49-F238E27FC236}">
              <a16:creationId xmlns:a16="http://schemas.microsoft.com/office/drawing/2014/main" id="{00000000-0008-0000-0900-000003000000}"/>
            </a:ext>
          </a:extLst>
        </xdr:cNvPr>
        <xdr:cNvSpPr/>
      </xdr:nvSpPr>
      <xdr:spPr>
        <a:xfrm>
          <a:off x="2203283" y="333376"/>
          <a:ext cx="1571168" cy="600075"/>
        </a:xfrm>
        <a:prstGeom prst="round2SameRect">
          <a:avLst/>
        </a:prstGeom>
        <a:solidFill>
          <a:srgbClr val="F3901D"/>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START</a:t>
          </a:fld>
          <a:endParaRPr lang="en-US" sz="110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1</xdr:row>
      <xdr:rowOff>0</xdr:rowOff>
    </xdr:from>
    <xdr:to>
      <xdr:col>17</xdr:col>
      <xdr:colOff>2551</xdr:colOff>
      <xdr:row>4</xdr:row>
      <xdr:rowOff>0</xdr:rowOff>
    </xdr:to>
    <xdr:sp macro="" textlink="MAIN2">
      <xdr:nvSpPr>
        <xdr:cNvPr id="4" name="MENU2">
          <a:hlinkClick xmlns:r="http://schemas.openxmlformats.org/officeDocument/2006/relationships" r:id="rId7"/>
          <a:extLst>
            <a:ext uri="{FF2B5EF4-FFF2-40B4-BE49-F238E27FC236}">
              <a16:creationId xmlns:a16="http://schemas.microsoft.com/office/drawing/2014/main" id="{00000000-0008-0000-0900-000004000000}"/>
            </a:ext>
          </a:extLst>
        </xdr:cNvPr>
        <xdr:cNvSpPr/>
      </xdr:nvSpPr>
      <xdr:spPr>
        <a:xfrm>
          <a:off x="3774451"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hidden="1">
          <a:hlinkClick xmlns:r="http://schemas.openxmlformats.org/officeDocument/2006/relationships" r:id="rId8"/>
          <a:extLst>
            <a:ext uri="{FF2B5EF4-FFF2-40B4-BE49-F238E27FC236}">
              <a16:creationId xmlns:a16="http://schemas.microsoft.com/office/drawing/2014/main" id="{00000000-0008-0000-0900-000005000000}"/>
            </a:ext>
          </a:extLst>
        </xdr:cNvPr>
        <xdr:cNvSpPr/>
      </xdr:nvSpPr>
      <xdr:spPr>
        <a:xfrm>
          <a:off x="534352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CODE-BASELINE MEASURES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9"/>
          <a:extLst>
            <a:ext uri="{FF2B5EF4-FFF2-40B4-BE49-F238E27FC236}">
              <a16:creationId xmlns:a16="http://schemas.microsoft.com/office/drawing/2014/main" id="{00000000-0008-0000-0900-000006000000}"/>
            </a:ext>
          </a:extLst>
        </xdr:cNvPr>
        <xdr:cNvSpPr/>
      </xdr:nvSpPr>
      <xdr:spPr>
        <a:xfrm>
          <a:off x="691515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PRE-APPROVAL MEASURES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hidden="1">
          <a:hlinkClick xmlns:r="http://schemas.openxmlformats.org/officeDocument/2006/relationships" r:id="rId10"/>
          <a:extLst>
            <a:ext uri="{FF2B5EF4-FFF2-40B4-BE49-F238E27FC236}">
              <a16:creationId xmlns:a16="http://schemas.microsoft.com/office/drawing/2014/main" id="{00000000-0008-0000-0900-000007000000}"/>
            </a:ext>
          </a:extLst>
        </xdr:cNvPr>
        <xdr:cNvSpPr/>
      </xdr:nvSpPr>
      <xdr:spPr>
        <a:xfrm>
          <a:off x="848677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a:extLst>
            <a:ext uri="{FF2B5EF4-FFF2-40B4-BE49-F238E27FC236}">
              <a16:creationId xmlns:a16="http://schemas.microsoft.com/office/drawing/2014/main" id="{00000000-0008-0000-0900-000008000000}"/>
            </a:ext>
          </a:extLst>
        </xdr:cNvPr>
        <xdr:cNvSpPr/>
      </xdr:nvSpPr>
      <xdr:spPr>
        <a:xfrm>
          <a:off x="10058398" y="200026"/>
          <a:ext cx="1571626" cy="600075"/>
        </a:xfrm>
        <a:prstGeom prst="round2SameRect">
          <a:avLst/>
        </a:prstGeom>
        <a:noFill/>
        <a:ln w="25400">
          <a:noFill/>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ln>
                <a:noFill/>
              </a:ln>
              <a:noFill/>
              <a:latin typeface="Arial" panose="020B0604020202020204" pitchFamily="34" charset="0"/>
              <a:cs typeface="Arial" panose="020B0604020202020204" pitchFamily="34" charset="0"/>
            </a:rPr>
            <a:pPr algn="ctr"/>
            <a:t>NEXT STEPS</a:t>
          </a:fld>
          <a:endParaRPr lang="en-US" sz="1100">
            <a:ln>
              <a:noFill/>
            </a:ln>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900-000009000000}"/>
            </a:ext>
          </a:extLst>
        </xdr:cNvPr>
        <xdr:cNvSpPr/>
      </xdr:nvSpPr>
      <xdr:spPr>
        <a:xfrm>
          <a:off x="11630024" y="200025"/>
          <a:ext cx="1571625" cy="600075"/>
        </a:xfrm>
        <a:prstGeom prst="round2SameRect">
          <a:avLst/>
        </a:prstGeom>
        <a:noFill/>
        <a:ln w="25400">
          <a:noFill/>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ln>
                <a:noFill/>
              </a:ln>
              <a:noFill/>
              <a:latin typeface="Arial" panose="020B0604020202020204" pitchFamily="34" charset="0"/>
              <a:cs typeface="Arial" panose="020B0604020202020204" pitchFamily="34" charset="0"/>
            </a:rPr>
            <a:pPr algn="ctr"/>
            <a:t>FORM4</a:t>
          </a:fld>
          <a:endParaRPr lang="en-US" sz="1100">
            <a:ln>
              <a:noFill/>
            </a:ln>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0900-00000A000000}"/>
            </a:ext>
          </a:extLst>
        </xdr:cNvPr>
        <xdr:cNvSpPr/>
      </xdr:nvSpPr>
      <xdr:spPr>
        <a:xfrm>
          <a:off x="314325" y="800101"/>
          <a:ext cx="13515975" cy="600074"/>
        </a:xfrm>
        <a:prstGeom prst="round2SameRect">
          <a:avLst/>
        </a:prstGeom>
        <a:solidFill>
          <a:srgbClr val="F390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chemeClr val="bg1"/>
            </a:solidFill>
          </a:endParaRPr>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6"/>
          <a:extLst>
            <a:ext uri="{FF2B5EF4-FFF2-40B4-BE49-F238E27FC236}">
              <a16:creationId xmlns:a16="http://schemas.microsoft.com/office/drawing/2014/main" id="{00000000-0008-0000-0900-00000B000000}"/>
            </a:ext>
          </a:extLst>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Welcome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51480</xdr:rowOff>
    </xdr:from>
    <xdr:to>
      <xdr:col>12</xdr:col>
      <xdr:colOff>2550</xdr:colOff>
      <xdr:row>7</xdr:row>
      <xdr:rowOff>50800</xdr:rowOff>
    </xdr:to>
    <xdr:sp macro="" textlink="M1S2">
      <xdr:nvSpPr>
        <xdr:cNvPr id="12" name="SUBMENU2">
          <a:hlinkClick xmlns:r="http://schemas.openxmlformats.org/officeDocument/2006/relationships" r:id="rId11"/>
          <a:extLst>
            <a:ext uri="{FF2B5EF4-FFF2-40B4-BE49-F238E27FC236}">
              <a16:creationId xmlns:a16="http://schemas.microsoft.com/office/drawing/2014/main" id="{00000000-0008-0000-0900-00000C000000}"/>
            </a:ext>
          </a:extLst>
        </xdr:cNvPr>
        <xdr:cNvSpPr/>
      </xdr:nvSpPr>
      <xdr:spPr>
        <a:xfrm>
          <a:off x="2202826"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Construction Handbook</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13754</xdr:colOff>
      <xdr:row>4</xdr:row>
      <xdr:rowOff>200705</xdr:rowOff>
    </xdr:from>
    <xdr:to>
      <xdr:col>17</xdr:col>
      <xdr:colOff>13753</xdr:colOff>
      <xdr:row>7</xdr:row>
      <xdr:rowOff>0</xdr:rowOff>
    </xdr:to>
    <xdr:sp macro="" textlink="M1S3">
      <xdr:nvSpPr>
        <xdr:cNvPr id="14" name="SUBMENU4">
          <a:hlinkClick xmlns:r="http://schemas.openxmlformats.org/officeDocument/2006/relationships" r:id="rId1"/>
          <a:extLst>
            <a:ext uri="{FF2B5EF4-FFF2-40B4-BE49-F238E27FC236}">
              <a16:creationId xmlns:a16="http://schemas.microsoft.com/office/drawing/2014/main" id="{00000000-0008-0000-0900-00000E000000}"/>
            </a:ext>
          </a:extLst>
        </xdr:cNvPr>
        <xdr:cNvSpPr/>
      </xdr:nvSpPr>
      <xdr:spPr>
        <a:xfrm>
          <a:off x="3778930" y="1007529"/>
          <a:ext cx="1568823" cy="40441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2FF01F1-A68A-4C61-B311-E22F7799D54E}" type="TxLink">
            <a:rPr lang="en-US" sz="1100" b="0" i="0" u="none" strike="noStrike">
              <a:solidFill>
                <a:schemeClr val="bg1"/>
              </a:solidFill>
              <a:latin typeface="Arial" panose="020B0604020202020204" pitchFamily="34" charset="0"/>
              <a:cs typeface="Arial" panose="020B0604020202020204" pitchFamily="34" charset="0"/>
            </a:rPr>
            <a:pPr algn="ctr"/>
            <a:t>Information Links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13754</xdr:colOff>
      <xdr:row>4</xdr:row>
      <xdr:rowOff>200705</xdr:rowOff>
    </xdr:from>
    <xdr:to>
      <xdr:col>22</xdr:col>
      <xdr:colOff>13751</xdr:colOff>
      <xdr:row>7</xdr:row>
      <xdr:rowOff>0</xdr:rowOff>
    </xdr:to>
    <xdr:sp macro="" textlink="M1S4">
      <xdr:nvSpPr>
        <xdr:cNvPr id="15" name="SUBMENU5">
          <a:hlinkClick xmlns:r="http://schemas.openxmlformats.org/officeDocument/2006/relationships" r:id="rId12"/>
          <a:extLst>
            <a:ext uri="{FF2B5EF4-FFF2-40B4-BE49-F238E27FC236}">
              <a16:creationId xmlns:a16="http://schemas.microsoft.com/office/drawing/2014/main" id="{00000000-0008-0000-0900-00000F000000}"/>
            </a:ext>
          </a:extLst>
        </xdr:cNvPr>
        <xdr:cNvSpPr/>
      </xdr:nvSpPr>
      <xdr:spPr>
        <a:xfrm>
          <a:off x="5347754" y="1007529"/>
          <a:ext cx="1568821" cy="40441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2EEC931-56BF-49C3-B564-51D9719C3841}" type="TxLink">
            <a:rPr lang="en-US" sz="1100" b="0" i="0" u="none" strike="noStrike">
              <a:solidFill>
                <a:schemeClr val="bg1"/>
              </a:solidFill>
              <a:latin typeface="Arial" panose="020B0604020202020204" pitchFamily="34" charset="0"/>
              <a:cs typeface="Arial" panose="020B0604020202020204" pitchFamily="34" charset="0"/>
            </a:rPr>
            <a:pPr algn="ctr"/>
            <a:t>Operating Hours Calculator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900-000013000000}"/>
            </a:ext>
          </a:extLst>
        </xdr:cNvPr>
        <xdr:cNvSpPr>
          <a:spLocks noChangeAspect="1"/>
        </xdr:cNvSpPr>
      </xdr:nvSpPr>
      <xdr:spPr>
        <a:xfrm>
          <a:off x="314323" y="1611965"/>
          <a:ext cx="13491324" cy="38325800"/>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6"/>
          <a:extLst>
            <a:ext uri="{FF2B5EF4-FFF2-40B4-BE49-F238E27FC236}">
              <a16:creationId xmlns:a16="http://schemas.microsoft.com/office/drawing/2014/main" id="{00000000-0008-0000-09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9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5" name="LOGO">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xdr:from>
      <xdr:col>37</xdr:col>
      <xdr:colOff>13926</xdr:colOff>
      <xdr:row>9</xdr:row>
      <xdr:rowOff>1207</xdr:rowOff>
    </xdr:from>
    <xdr:to>
      <xdr:col>40</xdr:col>
      <xdr:colOff>13926</xdr:colOff>
      <xdr:row>11</xdr:row>
      <xdr:rowOff>1207</xdr:rowOff>
    </xdr:to>
    <xdr:sp macro="" textlink="">
      <xdr:nvSpPr>
        <xdr:cNvPr id="25" name="Rounded Rectangle 24">
          <a:hlinkClick xmlns:r="http://schemas.openxmlformats.org/officeDocument/2006/relationships" r:id="rId14"/>
          <a:extLst>
            <a:ext uri="{FF2B5EF4-FFF2-40B4-BE49-F238E27FC236}">
              <a16:creationId xmlns:a16="http://schemas.microsoft.com/office/drawing/2014/main" id="{00000000-0008-0000-0900-000019000000}"/>
            </a:ext>
          </a:extLst>
        </xdr:cNvPr>
        <xdr:cNvSpPr/>
      </xdr:nvSpPr>
      <xdr:spPr>
        <a:xfrm>
          <a:off x="11643951" y="1801432"/>
          <a:ext cx="942975" cy="400050"/>
        </a:xfrm>
        <a:prstGeom prst="roundRect">
          <a:avLst/>
        </a:prstGeom>
        <a:solidFill>
          <a:srgbClr val="1B6CB5"/>
        </a:solidFill>
        <a:ln>
          <a:noFill/>
        </a:ln>
        <a:scene3d>
          <a:camera prst="orthographicFront"/>
          <a:lightRig rig="threePt" dir="t"/>
        </a:scene3d>
        <a:sp3d>
          <a:bevelT w="508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100"/>
            <a:t>Download PDF Version</a:t>
          </a:r>
        </a:p>
      </xdr:txBody>
    </xdr:sp>
    <xdr:clientData fPrintsWithSheet="0"/>
  </xdr:twoCellAnchor>
  <xdr:twoCellAnchor>
    <xdr:from>
      <xdr:col>5</xdr:col>
      <xdr:colOff>115114</xdr:colOff>
      <xdr:row>82</xdr:row>
      <xdr:rowOff>133452</xdr:rowOff>
    </xdr:from>
    <xdr:to>
      <xdr:col>39</xdr:col>
      <xdr:colOff>187151</xdr:colOff>
      <xdr:row>103</xdr:row>
      <xdr:rowOff>0</xdr:rowOff>
    </xdr:to>
    <xdr:pic>
      <xdr:nvPicPr>
        <xdr:cNvPr id="26" name="Picture">
          <a:extLst>
            <a:ext uri="{FF2B5EF4-FFF2-40B4-BE49-F238E27FC236}">
              <a16:creationId xmlns:a16="http://schemas.microsoft.com/office/drawing/2014/main" id="{00000000-0008-0000-0900-00001A000000}"/>
            </a:ext>
          </a:extLst>
        </xdr:cNvPr>
        <xdr:cNvPicPr preferRelativeResize="0"/>
      </xdr:nvPicPr>
      <xdr:blipFill>
        <a:blip xmlns:r="http://schemas.openxmlformats.org/officeDocument/2006/relationships" r:embed="rId15"/>
        <a:stretch>
          <a:fillRect/>
        </a:stretch>
      </xdr:blipFill>
      <xdr:spPr>
        <a:xfrm>
          <a:off x="1686739" y="16535502"/>
          <a:ext cx="10759087" cy="406707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1"/>
          <a:extLst>
            <a:ext uri="{FF2B5EF4-FFF2-40B4-BE49-F238E27FC236}">
              <a16:creationId xmlns:a16="http://schemas.microsoft.com/office/drawing/2014/main" id="{00000000-0008-0000-1B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1B00-000003000000}"/>
            </a:ext>
          </a:extLst>
        </xdr:cNvPr>
        <xdr:cNvSpPr/>
      </xdr:nvSpPr>
      <xdr:spPr>
        <a:xfrm>
          <a:off x="2200732" y="200025"/>
          <a:ext cx="1571168"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1B00-000004000000}"/>
            </a:ext>
          </a:extLst>
        </xdr:cNvPr>
        <xdr:cNvSpPr/>
      </xdr:nvSpPr>
      <xdr:spPr>
        <a:xfrm>
          <a:off x="377190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hidden="1">
          <a:hlinkClick xmlns:r="http://schemas.openxmlformats.org/officeDocument/2006/relationships" r:id="rId4"/>
          <a:extLst>
            <a:ext uri="{FF2B5EF4-FFF2-40B4-BE49-F238E27FC236}">
              <a16:creationId xmlns:a16="http://schemas.microsoft.com/office/drawing/2014/main" id="{00000000-0008-0000-1B00-000005000000}"/>
            </a:ext>
          </a:extLst>
        </xdr:cNvPr>
        <xdr:cNvSpPr/>
      </xdr:nvSpPr>
      <xdr:spPr>
        <a:xfrm>
          <a:off x="534352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CODE-BASELINE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133350</xdr:rowOff>
    </xdr:from>
    <xdr:to>
      <xdr:col>27</xdr:col>
      <xdr:colOff>0</xdr:colOff>
      <xdr:row>4</xdr:row>
      <xdr:rowOff>133350</xdr:rowOff>
    </xdr:to>
    <xdr:sp macro="" textlink="MAIN4">
      <xdr:nvSpPr>
        <xdr:cNvPr id="6" name="MENU4" hidden="1">
          <a:hlinkClick xmlns:r="http://schemas.openxmlformats.org/officeDocument/2006/relationships" r:id="rId5"/>
          <a:extLst>
            <a:ext uri="{FF2B5EF4-FFF2-40B4-BE49-F238E27FC236}">
              <a16:creationId xmlns:a16="http://schemas.microsoft.com/office/drawing/2014/main" id="{00000000-0008-0000-1B00-000006000000}"/>
            </a:ext>
          </a:extLst>
        </xdr:cNvPr>
        <xdr:cNvSpPr/>
      </xdr:nvSpPr>
      <xdr:spPr>
        <a:xfrm>
          <a:off x="6915150" y="333375"/>
          <a:ext cx="1571625" cy="600075"/>
        </a:xfrm>
        <a:prstGeom prst="round2SameRect">
          <a:avLst/>
        </a:prstGeom>
        <a:solidFill>
          <a:srgbClr val="F3901D"/>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PRE-APPROVAL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hidden="1">
          <a:hlinkClick xmlns:r="http://schemas.openxmlformats.org/officeDocument/2006/relationships" r:id="rId6"/>
          <a:extLst>
            <a:ext uri="{FF2B5EF4-FFF2-40B4-BE49-F238E27FC236}">
              <a16:creationId xmlns:a16="http://schemas.microsoft.com/office/drawing/2014/main" id="{00000000-0008-0000-1B00-000007000000}"/>
            </a:ext>
          </a:extLst>
        </xdr:cNvPr>
        <xdr:cNvSpPr/>
      </xdr:nvSpPr>
      <xdr:spPr>
        <a:xfrm>
          <a:off x="848677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B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NEXT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B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1B00-00000A000000}"/>
            </a:ext>
          </a:extLst>
        </xdr:cNvPr>
        <xdr:cNvSpPr/>
      </xdr:nvSpPr>
      <xdr:spPr>
        <a:xfrm>
          <a:off x="314325" y="800101"/>
          <a:ext cx="13515975" cy="600074"/>
        </a:xfrm>
        <a:prstGeom prst="round2SameRect">
          <a:avLst/>
        </a:prstGeom>
        <a:solidFill>
          <a:srgbClr val="F390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B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2</xdr:col>
      <xdr:colOff>2720</xdr:colOff>
      <xdr:row>5</xdr:row>
      <xdr:rowOff>50800</xdr:rowOff>
    </xdr:from>
    <xdr:to>
      <xdr:col>7</xdr:col>
      <xdr:colOff>457</xdr:colOff>
      <xdr:row>7</xdr:row>
      <xdr:rowOff>48602</xdr:rowOff>
    </xdr:to>
    <xdr:sp macro="" textlink="M4S1">
      <xdr:nvSpPr>
        <xdr:cNvPr id="11" name="SUBMENU1">
          <a:hlinkClick xmlns:r="http://schemas.openxmlformats.org/officeDocument/2006/relationships" r:id="rId5"/>
          <a:extLst>
            <a:ext uri="{FF2B5EF4-FFF2-40B4-BE49-F238E27FC236}">
              <a16:creationId xmlns:a16="http://schemas.microsoft.com/office/drawing/2014/main" id="{00000000-0008-0000-1B00-00000B000000}"/>
            </a:ext>
          </a:extLst>
        </xdr:cNvPr>
        <xdr:cNvSpPr/>
      </xdr:nvSpPr>
      <xdr:spPr>
        <a:xfrm>
          <a:off x="631370" y="1050925"/>
          <a:ext cx="1569362" cy="39785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9" name="LOGO">
          <a:extLst>
            <a:ext uri="{FF2B5EF4-FFF2-40B4-BE49-F238E27FC236}">
              <a16:creationId xmlns:a16="http://schemas.microsoft.com/office/drawing/2014/main" id="{00000000-0008-0000-1B00-00001D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xdr:from>
      <xdr:col>7</xdr:col>
      <xdr:colOff>2552</xdr:colOff>
      <xdr:row>5</xdr:row>
      <xdr:rowOff>680</xdr:rowOff>
    </xdr:from>
    <xdr:to>
      <xdr:col>12</xdr:col>
      <xdr:colOff>1</xdr:colOff>
      <xdr:row>7</xdr:row>
      <xdr:rowOff>0</xdr:rowOff>
    </xdr:to>
    <xdr:sp macro="" textlink="M4S2">
      <xdr:nvSpPr>
        <xdr:cNvPr id="12" name="SUBMENU2">
          <a:hlinkClick xmlns:r="http://schemas.openxmlformats.org/officeDocument/2006/relationships" r:id="rId1"/>
          <a:extLst>
            <a:ext uri="{FF2B5EF4-FFF2-40B4-BE49-F238E27FC236}">
              <a16:creationId xmlns:a16="http://schemas.microsoft.com/office/drawing/2014/main" id="{00000000-0008-0000-1B00-00000C000000}"/>
            </a:ext>
          </a:extLst>
        </xdr:cNvPr>
        <xdr:cNvSpPr/>
      </xdr:nvSpPr>
      <xdr:spPr>
        <a:xfrm>
          <a:off x="2202827" y="1000805"/>
          <a:ext cx="1569074" cy="399370"/>
        </a:xfrm>
        <a:prstGeom prst="round2SameRect">
          <a:avLst/>
        </a:prstGeom>
        <a:solidFill>
          <a:srgbClr val="555555"/>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LPD-Exempt Interior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4S3">
      <xdr:nvSpPr>
        <xdr:cNvPr id="13" name="SUBMENU3">
          <a:hlinkClick xmlns:r="http://schemas.openxmlformats.org/officeDocument/2006/relationships" r:id="rId8"/>
          <a:extLst>
            <a:ext uri="{FF2B5EF4-FFF2-40B4-BE49-F238E27FC236}">
              <a16:creationId xmlns:a16="http://schemas.microsoft.com/office/drawing/2014/main" id="{00000000-0008-0000-1B00-00000D000000}"/>
            </a:ext>
          </a:extLst>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680</xdr:rowOff>
    </xdr:from>
    <xdr:to>
      <xdr:col>22</xdr:col>
      <xdr:colOff>2551</xdr:colOff>
      <xdr:row>7</xdr:row>
      <xdr:rowOff>0</xdr:rowOff>
    </xdr:to>
    <xdr:sp macro="" textlink="M4S4">
      <xdr:nvSpPr>
        <xdr:cNvPr id="14" name="SUBMENU4">
          <a:hlinkClick xmlns:r="http://schemas.openxmlformats.org/officeDocument/2006/relationships" r:id="rId9"/>
          <a:extLst>
            <a:ext uri="{FF2B5EF4-FFF2-40B4-BE49-F238E27FC236}">
              <a16:creationId xmlns:a16="http://schemas.microsoft.com/office/drawing/2014/main" id="{00000000-0008-0000-1B00-00000E000000}"/>
            </a:ext>
          </a:extLst>
        </xdr:cNvPr>
        <xdr:cNvSpPr/>
      </xdr:nvSpPr>
      <xdr:spPr>
        <a:xfrm>
          <a:off x="5346076" y="1000805"/>
          <a:ext cx="157162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Motor / VFD / Pump</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4S5">
      <xdr:nvSpPr>
        <xdr:cNvPr id="15" name="SUBMENU5">
          <a:hlinkClick xmlns:r="http://schemas.openxmlformats.org/officeDocument/2006/relationships" r:id="rId10"/>
          <a:extLst>
            <a:ext uri="{FF2B5EF4-FFF2-40B4-BE49-F238E27FC236}">
              <a16:creationId xmlns:a16="http://schemas.microsoft.com/office/drawing/2014/main" id="{00000000-0008-0000-1B00-00000F000000}"/>
            </a:ext>
          </a:extLst>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Compressed Air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11"/>
          <a:extLst>
            <a:ext uri="{FF2B5EF4-FFF2-40B4-BE49-F238E27FC236}">
              <a16:creationId xmlns:a16="http://schemas.microsoft.com/office/drawing/2014/main" id="{00000000-0008-0000-1B00-000010000000}"/>
            </a:ext>
          </a:extLst>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12"/>
          <a:extLst>
            <a:ext uri="{FF2B5EF4-FFF2-40B4-BE49-F238E27FC236}">
              <a16:creationId xmlns:a16="http://schemas.microsoft.com/office/drawing/2014/main" id="{00000000-0008-0000-1B00-000011000000}"/>
            </a:ext>
          </a:extLst>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13"/>
          <a:extLst>
            <a:ext uri="{FF2B5EF4-FFF2-40B4-BE49-F238E27FC236}">
              <a16:creationId xmlns:a16="http://schemas.microsoft.com/office/drawing/2014/main" id="{00000000-0008-0000-1B00-000012000000}"/>
            </a:ext>
          </a:extLst>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Exterior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B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457</xdr:colOff>
      <xdr:row>1</xdr:row>
      <xdr:rowOff>0</xdr:rowOff>
    </xdr:from>
    <xdr:to>
      <xdr:col>12</xdr:col>
      <xdr:colOff>0</xdr:colOff>
      <xdr:row>4</xdr:row>
      <xdr:rowOff>0</xdr:rowOff>
    </xdr:to>
    <xdr:sp macro="" textlink="MAIN1">
      <xdr:nvSpPr>
        <xdr:cNvPr id="9" name="MENU1">
          <a:hlinkClick xmlns:r="http://schemas.openxmlformats.org/officeDocument/2006/relationships" r:id="rId1"/>
          <a:extLst>
            <a:ext uri="{FF2B5EF4-FFF2-40B4-BE49-F238E27FC236}">
              <a16:creationId xmlns:a16="http://schemas.microsoft.com/office/drawing/2014/main" id="{00000000-0008-0000-1C00-000009000000}"/>
            </a:ext>
          </a:extLst>
        </xdr:cNvPr>
        <xdr:cNvSpPr/>
      </xdr:nvSpPr>
      <xdr:spPr>
        <a:xfrm>
          <a:off x="2200732" y="200025"/>
          <a:ext cx="1571168"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10" name="MENU2">
          <a:hlinkClick xmlns:r="http://schemas.openxmlformats.org/officeDocument/2006/relationships" r:id="rId2"/>
          <a:extLst>
            <a:ext uri="{FF2B5EF4-FFF2-40B4-BE49-F238E27FC236}">
              <a16:creationId xmlns:a16="http://schemas.microsoft.com/office/drawing/2014/main" id="{00000000-0008-0000-1C00-00000A000000}"/>
            </a:ext>
          </a:extLst>
        </xdr:cNvPr>
        <xdr:cNvSpPr/>
      </xdr:nvSpPr>
      <xdr:spPr>
        <a:xfrm>
          <a:off x="377190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133350</xdr:rowOff>
    </xdr:to>
    <xdr:sp macro="" textlink="MAIN3">
      <xdr:nvSpPr>
        <xdr:cNvPr id="11" name="MENU3" hidden="1">
          <a:hlinkClick xmlns:r="http://schemas.openxmlformats.org/officeDocument/2006/relationships" r:id="rId3"/>
          <a:extLst>
            <a:ext uri="{FF2B5EF4-FFF2-40B4-BE49-F238E27FC236}">
              <a16:creationId xmlns:a16="http://schemas.microsoft.com/office/drawing/2014/main" id="{00000000-0008-0000-1C00-00000B000000}"/>
            </a:ext>
          </a:extLst>
        </xdr:cNvPr>
        <xdr:cNvSpPr/>
      </xdr:nvSpPr>
      <xdr:spPr>
        <a:xfrm>
          <a:off x="5334000" y="201706"/>
          <a:ext cx="1568824" cy="738468"/>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CODE-BASELINE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133350</xdr:rowOff>
    </xdr:from>
    <xdr:to>
      <xdr:col>27</xdr:col>
      <xdr:colOff>0</xdr:colOff>
      <xdr:row>4</xdr:row>
      <xdr:rowOff>0</xdr:rowOff>
    </xdr:to>
    <xdr:sp macro="" textlink="MAIN4">
      <xdr:nvSpPr>
        <xdr:cNvPr id="12" name="MENU4" hidden="1">
          <a:hlinkClick xmlns:r="http://schemas.openxmlformats.org/officeDocument/2006/relationships" r:id="rId4"/>
          <a:extLst>
            <a:ext uri="{FF2B5EF4-FFF2-40B4-BE49-F238E27FC236}">
              <a16:creationId xmlns:a16="http://schemas.microsoft.com/office/drawing/2014/main" id="{00000000-0008-0000-1C00-00000C000000}"/>
            </a:ext>
          </a:extLst>
        </xdr:cNvPr>
        <xdr:cNvSpPr/>
      </xdr:nvSpPr>
      <xdr:spPr>
        <a:xfrm>
          <a:off x="6902824" y="335056"/>
          <a:ext cx="1568823" cy="471768"/>
        </a:xfrm>
        <a:prstGeom prst="round2SameRect">
          <a:avLst/>
        </a:prstGeom>
        <a:solidFill>
          <a:srgbClr val="F3901D"/>
        </a:solidFill>
        <a:ln w="12700">
          <a:solidFill>
            <a:srgbClr val="7F7F7F"/>
          </a:solidFill>
        </a:ln>
        <a:effectLst>
          <a:outerShdw blurRad="25400" dist="50800" dir="18900000"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PRE-APPROVAL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13" name="MENU5" hidden="1">
          <a:hlinkClick xmlns:r="http://schemas.openxmlformats.org/officeDocument/2006/relationships" r:id="rId5"/>
          <a:extLst>
            <a:ext uri="{FF2B5EF4-FFF2-40B4-BE49-F238E27FC236}">
              <a16:creationId xmlns:a16="http://schemas.microsoft.com/office/drawing/2014/main" id="{00000000-0008-0000-1C00-00000D000000}"/>
            </a:ext>
          </a:extLst>
        </xdr:cNvPr>
        <xdr:cNvSpPr/>
      </xdr:nvSpPr>
      <xdr:spPr>
        <a:xfrm>
          <a:off x="848677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14" name="MENU6">
          <a:extLst>
            <a:ext uri="{FF2B5EF4-FFF2-40B4-BE49-F238E27FC236}">
              <a16:creationId xmlns:a16="http://schemas.microsoft.com/office/drawing/2014/main" id="{00000000-0008-0000-1C00-00000E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NEXT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5" name="MENU7">
          <a:extLst>
            <a:ext uri="{FF2B5EF4-FFF2-40B4-BE49-F238E27FC236}">
              <a16:creationId xmlns:a16="http://schemas.microsoft.com/office/drawing/2014/main" id="{00000000-0008-0000-1C00-00000F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6" name="TOPRIBBON">
          <a:extLst>
            <a:ext uri="{FF2B5EF4-FFF2-40B4-BE49-F238E27FC236}">
              <a16:creationId xmlns:a16="http://schemas.microsoft.com/office/drawing/2014/main" id="{00000000-0008-0000-1C00-000010000000}"/>
            </a:ext>
          </a:extLst>
        </xdr:cNvPr>
        <xdr:cNvSpPr/>
      </xdr:nvSpPr>
      <xdr:spPr>
        <a:xfrm>
          <a:off x="314325" y="800101"/>
          <a:ext cx="13515975" cy="600074"/>
        </a:xfrm>
        <a:prstGeom prst="round2SameRect">
          <a:avLst/>
        </a:prstGeom>
        <a:solidFill>
          <a:srgbClr val="F390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xdr:col>
      <xdr:colOff>558</xdr:colOff>
      <xdr:row>7</xdr:row>
      <xdr:rowOff>200024</xdr:rowOff>
    </xdr:from>
    <xdr:to>
      <xdr:col>44</xdr:col>
      <xdr:colOff>0</xdr:colOff>
      <xdr:row>199</xdr:row>
      <xdr:rowOff>0</xdr:rowOff>
    </xdr:to>
    <xdr:sp macro="" textlink="">
      <xdr:nvSpPr>
        <xdr:cNvPr id="17" name="BORDER">
          <a:extLst>
            <a:ext uri="{FF2B5EF4-FFF2-40B4-BE49-F238E27FC236}">
              <a16:creationId xmlns:a16="http://schemas.microsoft.com/office/drawing/2014/main" id="{00000000-0008-0000-1C00-000011000000}"/>
            </a:ext>
          </a:extLst>
        </xdr:cNvPr>
        <xdr:cNvSpPr/>
      </xdr:nvSpPr>
      <xdr:spPr>
        <a:xfrm>
          <a:off x="314323" y="1611965"/>
          <a:ext cx="13491324" cy="3852750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0</xdr:colOff>
      <xdr:row>1</xdr:row>
      <xdr:rowOff>0</xdr:rowOff>
    </xdr:from>
    <xdr:to>
      <xdr:col>5</xdr:col>
      <xdr:colOff>213880</xdr:colOff>
      <xdr:row>3</xdr:row>
      <xdr:rowOff>138631</xdr:rowOff>
    </xdr:to>
    <xdr:pic>
      <xdr:nvPicPr>
        <xdr:cNvPr id="18" name="LOGO">
          <a:extLst>
            <a:ext uri="{FF2B5EF4-FFF2-40B4-BE49-F238E27FC236}">
              <a16:creationId xmlns:a16="http://schemas.microsoft.com/office/drawing/2014/main" id="{00000000-0008-0000-1C00-000012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xdr:from>
      <xdr:col>37</xdr:col>
      <xdr:colOff>2720</xdr:colOff>
      <xdr:row>4</xdr:row>
      <xdr:rowOff>200705</xdr:rowOff>
    </xdr:from>
    <xdr:to>
      <xdr:col>42</xdr:col>
      <xdr:colOff>0</xdr:colOff>
      <xdr:row>7</xdr:row>
      <xdr:rowOff>0</xdr:rowOff>
    </xdr:to>
    <xdr:sp macro="" textlink="M4S8">
      <xdr:nvSpPr>
        <xdr:cNvPr id="8" name="SUBMENU8">
          <a:hlinkClick xmlns:r="http://schemas.openxmlformats.org/officeDocument/2006/relationships" r:id="rId7"/>
          <a:extLst>
            <a:ext uri="{FF2B5EF4-FFF2-40B4-BE49-F238E27FC236}">
              <a16:creationId xmlns:a16="http://schemas.microsoft.com/office/drawing/2014/main" id="{00000000-0008-0000-1C00-000008000000}"/>
            </a:ext>
          </a:extLst>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815F59F-4E83-4D62-8C5B-923969F7735C}" type="TxLink">
            <a:rPr lang="en-US" sz="1100" b="0" i="0" u="none" strike="noStrike">
              <a:solidFill>
                <a:schemeClr val="bg1"/>
              </a:solidFill>
              <a:latin typeface="Arial" panose="020B0604020202020204" pitchFamily="34" charset="0"/>
              <a:cs typeface="Arial" panose="020B0604020202020204" pitchFamily="34" charset="0"/>
            </a:rPr>
            <a:pPr algn="ctr"/>
            <a:t>Exterior Lighting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7" name="SUBMENU7">
          <a:hlinkClick xmlns:r="http://schemas.openxmlformats.org/officeDocument/2006/relationships" r:id="rId8"/>
          <a:extLst>
            <a:ext uri="{FF2B5EF4-FFF2-40B4-BE49-F238E27FC236}">
              <a16:creationId xmlns:a16="http://schemas.microsoft.com/office/drawing/2014/main" id="{00000000-0008-0000-1C00-000007000000}"/>
            </a:ext>
          </a:extLst>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C068452-747E-4DAF-87C9-16D0D17BD025}" type="TxLink">
            <a:rPr lang="en-US" sz="1100" b="0" i="0" u="none" strike="noStrike">
              <a:solidFill>
                <a:schemeClr val="bg1"/>
              </a:solidFill>
              <a:latin typeface="Arial" panose="020B0604020202020204" pitchFamily="34" charset="0"/>
              <a:cs typeface="Arial" panose="020B0604020202020204" pitchFamily="34" charset="0"/>
            </a:rPr>
            <a:pPr algn="ctr"/>
            <a:t>Miscellaneous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6" name="SUBMENU6">
          <a:hlinkClick xmlns:r="http://schemas.openxmlformats.org/officeDocument/2006/relationships" r:id="rId9"/>
          <a:extLst>
            <a:ext uri="{FF2B5EF4-FFF2-40B4-BE49-F238E27FC236}">
              <a16:creationId xmlns:a16="http://schemas.microsoft.com/office/drawing/2014/main" id="{00000000-0008-0000-1C00-000006000000}"/>
            </a:ext>
          </a:extLst>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CAB0E43-8C32-406E-9180-FD8010E31BC9}"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4S5">
      <xdr:nvSpPr>
        <xdr:cNvPr id="5" name="SUBMENU5">
          <a:hlinkClick xmlns:r="http://schemas.openxmlformats.org/officeDocument/2006/relationships" r:id="rId10"/>
          <a:extLst>
            <a:ext uri="{FF2B5EF4-FFF2-40B4-BE49-F238E27FC236}">
              <a16:creationId xmlns:a16="http://schemas.microsoft.com/office/drawing/2014/main" id="{00000000-0008-0000-1C00-000005000000}"/>
            </a:ext>
          </a:extLst>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8B54B95-4E9E-4796-B68A-E603956158BB}"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4S4">
      <xdr:nvSpPr>
        <xdr:cNvPr id="4" name="SUBMENU4">
          <a:hlinkClick xmlns:r="http://schemas.openxmlformats.org/officeDocument/2006/relationships" r:id="rId11"/>
          <a:extLst>
            <a:ext uri="{FF2B5EF4-FFF2-40B4-BE49-F238E27FC236}">
              <a16:creationId xmlns:a16="http://schemas.microsoft.com/office/drawing/2014/main" id="{00000000-0008-0000-1C00-000004000000}"/>
            </a:ext>
          </a:extLst>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D438F95-8DA8-4A5F-B9DA-186329204A92}" type="TxLink">
            <a:rPr lang="en-US" sz="1100" b="0" i="0" u="none" strike="noStrike">
              <a:solidFill>
                <a:schemeClr val="bg1"/>
              </a:solidFill>
              <a:latin typeface="Arial" panose="020B0604020202020204" pitchFamily="34" charset="0"/>
              <a:cs typeface="Arial" panose="020B0604020202020204" pitchFamily="34" charset="0"/>
            </a:rPr>
            <a:pPr algn="ctr"/>
            <a:t>Motor / VFD / Pump</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699</xdr:rowOff>
    </xdr:to>
    <xdr:sp macro="" textlink="M4S3">
      <xdr:nvSpPr>
        <xdr:cNvPr id="2" name="SUBMENU3">
          <a:hlinkClick xmlns:r="http://schemas.openxmlformats.org/officeDocument/2006/relationships" r:id="rId12"/>
          <a:extLst>
            <a:ext uri="{FF2B5EF4-FFF2-40B4-BE49-F238E27FC236}">
              <a16:creationId xmlns:a16="http://schemas.microsoft.com/office/drawing/2014/main" id="{00000000-0008-0000-1C00-000002000000}"/>
            </a:ext>
          </a:extLst>
        </xdr:cNvPr>
        <xdr:cNvSpPr/>
      </xdr:nvSpPr>
      <xdr:spPr>
        <a:xfrm>
          <a:off x="3767727" y="1007529"/>
          <a:ext cx="1568823" cy="405111"/>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B5A42E7-735C-4C4F-811A-523CF4FBB763}" type="TxLink">
            <a:rPr lang="en-US" sz="1100" b="0" i="0" u="none" strike="noStrike">
              <a:solidFill>
                <a:schemeClr val="bg1"/>
              </a:solidFill>
              <a:latin typeface="Arial" panose="020B0604020202020204" pitchFamily="34" charset="0"/>
              <a:cs typeface="Arial" panose="020B0604020202020204" pitchFamily="34" charset="0"/>
            </a:rPr>
            <a:pPr algn="ctr"/>
            <a:t>Commercial Cooking / 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51479</xdr:rowOff>
    </xdr:from>
    <xdr:to>
      <xdr:col>12</xdr:col>
      <xdr:colOff>2550</xdr:colOff>
      <xdr:row>6</xdr:row>
      <xdr:rowOff>197827</xdr:rowOff>
    </xdr:to>
    <xdr:sp macro="" textlink="M4S2">
      <xdr:nvSpPr>
        <xdr:cNvPr id="19" name="SUBMENU2">
          <a:hlinkClick xmlns:r="http://schemas.openxmlformats.org/officeDocument/2006/relationships" r:id="rId3"/>
          <a:extLst>
            <a:ext uri="{FF2B5EF4-FFF2-40B4-BE49-F238E27FC236}">
              <a16:creationId xmlns:a16="http://schemas.microsoft.com/office/drawing/2014/main" id="{00000000-0008-0000-1C00-000013000000}"/>
            </a:ext>
          </a:extLst>
        </xdr:cNvPr>
        <xdr:cNvSpPr/>
      </xdr:nvSpPr>
      <xdr:spPr>
        <a:xfrm>
          <a:off x="2198904" y="1060008"/>
          <a:ext cx="1568822" cy="348054"/>
        </a:xfrm>
        <a:prstGeom prst="round2SameRect">
          <a:avLst/>
        </a:prstGeom>
        <a:solidFill>
          <a:srgbClr val="1B6CB5"/>
        </a:solidFill>
        <a:ln w="12700">
          <a:solidFill>
            <a:srgbClr val="7F7F7F"/>
          </a:solidFill>
        </a:ln>
        <a:effectLst>
          <a:outerShdw blurRad="25400" dist="50800" dir="18900000"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F2AC696-02EE-4BB1-B64B-EF80CFD862EB}" type="TxLink">
            <a:rPr lang="en-US" sz="1100" b="0" i="0" u="none" strike="noStrike">
              <a:solidFill>
                <a:schemeClr val="bg1"/>
              </a:solidFill>
              <a:latin typeface="Arial" panose="020B0604020202020204" pitchFamily="34" charset="0"/>
              <a:cs typeface="Arial" panose="020B0604020202020204" pitchFamily="34" charset="0"/>
            </a:rPr>
            <a:pPr algn="ctr"/>
            <a:t>LPD-Exempt Interior Lighting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3" name="SUBMENU1">
          <a:hlinkClick xmlns:r="http://schemas.openxmlformats.org/officeDocument/2006/relationships" r:id="rId4"/>
          <a:extLst>
            <a:ext uri="{FF2B5EF4-FFF2-40B4-BE49-F238E27FC236}">
              <a16:creationId xmlns:a16="http://schemas.microsoft.com/office/drawing/2014/main" id="{00000000-0008-0000-1C00-000003000000}"/>
            </a:ext>
          </a:extLst>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DCFA96-C41C-4162-B021-8400E8603652}" type="TxLink">
            <a:rPr lang="en-US" sz="1100" b="0" i="0" u="none" strike="noStrike">
              <a:solidFill>
                <a:schemeClr val="bg1"/>
              </a:solidFill>
              <a:latin typeface="Arial" panose="020B0604020202020204" pitchFamily="34" charset="0"/>
              <a:cs typeface="Arial" panose="020B0604020202020204" pitchFamily="34" charset="0"/>
            </a:rPr>
            <a:pPr algn="ctr"/>
            <a:t>HVAC</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6</xdr:row>
      <xdr:rowOff>197827</xdr:rowOff>
    </xdr:from>
    <xdr:to>
      <xdr:col>44</xdr:col>
      <xdr:colOff>558</xdr:colOff>
      <xdr:row>7</xdr:row>
      <xdr:rowOff>197827</xdr:rowOff>
    </xdr:to>
    <xdr:sp macro="" textlink="">
      <xdr:nvSpPr>
        <xdr:cNvPr id="20" name="BOTTOMRIBBON">
          <a:extLst>
            <a:ext uri="{FF2B5EF4-FFF2-40B4-BE49-F238E27FC236}">
              <a16:creationId xmlns:a16="http://schemas.microsoft.com/office/drawing/2014/main" id="{00000000-0008-0000-1C00-000014000000}"/>
            </a:ext>
          </a:extLst>
        </xdr:cNvPr>
        <xdr:cNvSpPr/>
      </xdr:nvSpPr>
      <xdr:spPr>
        <a:xfrm>
          <a:off x="314323" y="1408062"/>
          <a:ext cx="13491882" cy="201706"/>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absolute">
    <xdr:from>
      <xdr:col>2</xdr:col>
      <xdr:colOff>0</xdr:colOff>
      <xdr:row>9</xdr:row>
      <xdr:rowOff>11206</xdr:rowOff>
    </xdr:from>
    <xdr:to>
      <xdr:col>3</xdr:col>
      <xdr:colOff>312005</xdr:colOff>
      <xdr:row>11</xdr:row>
      <xdr:rowOff>11206</xdr:rowOff>
    </xdr:to>
    <xdr:sp macro="" textlink="">
      <xdr:nvSpPr>
        <xdr:cNvPr id="21" name="BACK">
          <a:hlinkClick xmlns:r="http://schemas.openxmlformats.org/officeDocument/2006/relationships" r:id="rId4"/>
          <a:extLst>
            <a:ext uri="{FF2B5EF4-FFF2-40B4-BE49-F238E27FC236}">
              <a16:creationId xmlns:a16="http://schemas.microsoft.com/office/drawing/2014/main" id="{00000000-0008-0000-1C00-000015000000}"/>
            </a:ext>
          </a:extLst>
        </xdr:cNvPr>
        <xdr:cNvSpPr/>
      </xdr:nvSpPr>
      <xdr:spPr>
        <a:xfrm>
          <a:off x="627529" y="1826559"/>
          <a:ext cx="625770" cy="403412"/>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41</xdr:col>
      <xdr:colOff>1759</xdr:colOff>
      <xdr:row>9</xdr:row>
      <xdr:rowOff>0</xdr:rowOff>
    </xdr:from>
    <xdr:to>
      <xdr:col>43</xdr:col>
      <xdr:colOff>0</xdr:colOff>
      <xdr:row>11</xdr:row>
      <xdr:rowOff>0</xdr:rowOff>
    </xdr:to>
    <xdr:sp macro="" textlink="">
      <xdr:nvSpPr>
        <xdr:cNvPr id="22" name="BACK">
          <a:hlinkClick xmlns:r="http://schemas.openxmlformats.org/officeDocument/2006/relationships" r:id="rId12"/>
          <a:extLst>
            <a:ext uri="{FF2B5EF4-FFF2-40B4-BE49-F238E27FC236}">
              <a16:creationId xmlns:a16="http://schemas.microsoft.com/office/drawing/2014/main" id="{00000000-0008-0000-1C00-000016000000}"/>
            </a:ext>
          </a:extLst>
        </xdr:cNvPr>
        <xdr:cNvSpPr/>
      </xdr:nvSpPr>
      <xdr:spPr>
        <a:xfrm rot="10800000">
          <a:off x="12866112" y="1815353"/>
          <a:ext cx="625770" cy="403412"/>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1D00-000003000000}"/>
            </a:ext>
          </a:extLst>
        </xdr:cNvPr>
        <xdr:cNvSpPr/>
      </xdr:nvSpPr>
      <xdr:spPr>
        <a:xfrm>
          <a:off x="2200732" y="200025"/>
          <a:ext cx="1571168"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1D00-000004000000}"/>
            </a:ext>
          </a:extLst>
        </xdr:cNvPr>
        <xdr:cNvSpPr/>
      </xdr:nvSpPr>
      <xdr:spPr>
        <a:xfrm>
          <a:off x="377190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hidden="1">
          <a:hlinkClick xmlns:r="http://schemas.openxmlformats.org/officeDocument/2006/relationships" r:id="rId4"/>
          <a:extLst>
            <a:ext uri="{FF2B5EF4-FFF2-40B4-BE49-F238E27FC236}">
              <a16:creationId xmlns:a16="http://schemas.microsoft.com/office/drawing/2014/main" id="{00000000-0008-0000-1D00-000005000000}"/>
            </a:ext>
          </a:extLst>
        </xdr:cNvPr>
        <xdr:cNvSpPr/>
      </xdr:nvSpPr>
      <xdr:spPr>
        <a:xfrm>
          <a:off x="534352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CODE-BASELINE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133350</xdr:rowOff>
    </xdr:from>
    <xdr:to>
      <xdr:col>27</xdr:col>
      <xdr:colOff>0</xdr:colOff>
      <xdr:row>4</xdr:row>
      <xdr:rowOff>133350</xdr:rowOff>
    </xdr:to>
    <xdr:sp macro="" textlink="MAIN4">
      <xdr:nvSpPr>
        <xdr:cNvPr id="6" name="MENU4" hidden="1">
          <a:hlinkClick xmlns:r="http://schemas.openxmlformats.org/officeDocument/2006/relationships" r:id="rId5"/>
          <a:extLst>
            <a:ext uri="{FF2B5EF4-FFF2-40B4-BE49-F238E27FC236}">
              <a16:creationId xmlns:a16="http://schemas.microsoft.com/office/drawing/2014/main" id="{00000000-0008-0000-1D00-000006000000}"/>
            </a:ext>
          </a:extLst>
        </xdr:cNvPr>
        <xdr:cNvSpPr/>
      </xdr:nvSpPr>
      <xdr:spPr>
        <a:xfrm>
          <a:off x="6915150" y="333375"/>
          <a:ext cx="1571625" cy="600075"/>
        </a:xfrm>
        <a:prstGeom prst="round2SameRect">
          <a:avLst/>
        </a:prstGeom>
        <a:solidFill>
          <a:srgbClr val="F3901D"/>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PRE-APPROVAL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hidden="1">
          <a:hlinkClick xmlns:r="http://schemas.openxmlformats.org/officeDocument/2006/relationships" r:id="rId6"/>
          <a:extLst>
            <a:ext uri="{FF2B5EF4-FFF2-40B4-BE49-F238E27FC236}">
              <a16:creationId xmlns:a16="http://schemas.microsoft.com/office/drawing/2014/main" id="{00000000-0008-0000-1D00-000007000000}"/>
            </a:ext>
          </a:extLst>
        </xdr:cNvPr>
        <xdr:cNvSpPr/>
      </xdr:nvSpPr>
      <xdr:spPr>
        <a:xfrm>
          <a:off x="848677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1D00-000008000000}"/>
            </a:ext>
          </a:extLst>
        </xdr:cNvPr>
        <xdr:cNvSpPr/>
      </xdr:nvSpPr>
      <xdr:spPr>
        <a:xfrm>
          <a:off x="10058400" y="200025"/>
          <a:ext cx="1571626" cy="600075"/>
        </a:xfrm>
        <a:prstGeom prst="round2SameRect">
          <a:avLst/>
        </a:prstGeom>
        <a:noFill/>
        <a:ln w="12700" cap="flat" cmpd="sng" algn="ctr">
          <a:noFill/>
          <a:prstDash val="solid"/>
          <a:miter lim="800000"/>
        </a:ln>
        <a:effectLst/>
        <a:extLst>
          <a:ext uri="{909E8E84-426E-40DD-AFC4-6F175D3DCCD1}">
            <a14:hiddenFill xmlns:a14="http://schemas.microsoft.com/office/drawing/2010/main">
              <a:solidFill>
                <a:srgbClr val="17375E"/>
              </a:solidFill>
            </a14:hiddenFill>
          </a:ex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NEXT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8"/>
          <a:extLst>
            <a:ext uri="{FF2B5EF4-FFF2-40B4-BE49-F238E27FC236}">
              <a16:creationId xmlns:a16="http://schemas.microsoft.com/office/drawing/2014/main" id="{00000000-0008-0000-1D00-000009000000}"/>
            </a:ext>
          </a:extLst>
        </xdr:cNvPr>
        <xdr:cNvSpPr/>
      </xdr:nvSpPr>
      <xdr:spPr>
        <a:xfrm>
          <a:off x="11630024" y="200025"/>
          <a:ext cx="1571625" cy="600075"/>
        </a:xfrm>
        <a:prstGeom prst="round2SameRect">
          <a:avLst/>
        </a:prstGeom>
        <a:noFill/>
        <a:ln w="12700" cap="flat" cmpd="sng" algn="ctr">
          <a:noFill/>
          <a:prstDash val="solid"/>
          <a:miter lim="800000"/>
        </a:ln>
        <a:effectLst/>
        <a:extLs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1D00-00000A000000}"/>
            </a:ext>
          </a:extLst>
        </xdr:cNvPr>
        <xdr:cNvSpPr/>
      </xdr:nvSpPr>
      <xdr:spPr>
        <a:xfrm>
          <a:off x="314325" y="800101"/>
          <a:ext cx="13515975" cy="600074"/>
        </a:xfrm>
        <a:prstGeom prst="round2SameRect">
          <a:avLst/>
        </a:prstGeom>
        <a:solidFill>
          <a:srgbClr val="F390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5"/>
          <a:extLst>
            <a:ext uri="{FF2B5EF4-FFF2-40B4-BE49-F238E27FC236}">
              <a16:creationId xmlns:a16="http://schemas.microsoft.com/office/drawing/2014/main" id="{00000000-0008-0000-1D00-00000B000000}"/>
            </a:ext>
          </a:extLst>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4S2">
      <xdr:nvSpPr>
        <xdr:cNvPr id="12" name="SUBMENU2">
          <a:hlinkClick xmlns:r="http://schemas.openxmlformats.org/officeDocument/2006/relationships" r:id="rId9"/>
          <a:extLst>
            <a:ext uri="{FF2B5EF4-FFF2-40B4-BE49-F238E27FC236}">
              <a16:creationId xmlns:a16="http://schemas.microsoft.com/office/drawing/2014/main" id="{00000000-0008-0000-1D00-00000C000000}"/>
            </a:ext>
          </a:extLst>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LPD-Exempt Interior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5</xdr:row>
      <xdr:rowOff>83230</xdr:rowOff>
    </xdr:from>
    <xdr:to>
      <xdr:col>17</xdr:col>
      <xdr:colOff>2550</xdr:colOff>
      <xdr:row>7</xdr:row>
      <xdr:rowOff>82550</xdr:rowOff>
    </xdr:to>
    <xdr:sp macro="" textlink="M4S3">
      <xdr:nvSpPr>
        <xdr:cNvPr id="13" name="SUBMENU3">
          <a:hlinkClick xmlns:r="http://schemas.openxmlformats.org/officeDocument/2006/relationships" r:id="rId10"/>
          <a:extLst>
            <a:ext uri="{FF2B5EF4-FFF2-40B4-BE49-F238E27FC236}">
              <a16:creationId xmlns:a16="http://schemas.microsoft.com/office/drawing/2014/main" id="{00000000-0008-0000-1D00-00000D000000}"/>
            </a:ext>
          </a:extLst>
        </xdr:cNvPr>
        <xdr:cNvSpPr/>
      </xdr:nvSpPr>
      <xdr:spPr>
        <a:xfrm>
          <a:off x="3774451" y="108335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4S4">
      <xdr:nvSpPr>
        <xdr:cNvPr id="14" name="SUBMENU4">
          <a:hlinkClick xmlns:r="http://schemas.openxmlformats.org/officeDocument/2006/relationships" r:id="rId1"/>
          <a:extLst>
            <a:ext uri="{FF2B5EF4-FFF2-40B4-BE49-F238E27FC236}">
              <a16:creationId xmlns:a16="http://schemas.microsoft.com/office/drawing/2014/main" id="{00000000-0008-0000-1D00-00000E000000}"/>
            </a:ext>
          </a:extLst>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Motor / VFD / Pump</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4S5">
      <xdr:nvSpPr>
        <xdr:cNvPr id="15" name="SUBMENU5">
          <a:hlinkClick xmlns:r="http://schemas.openxmlformats.org/officeDocument/2006/relationships" r:id="rId11"/>
          <a:extLst>
            <a:ext uri="{FF2B5EF4-FFF2-40B4-BE49-F238E27FC236}">
              <a16:creationId xmlns:a16="http://schemas.microsoft.com/office/drawing/2014/main" id="{00000000-0008-0000-1D00-00000F000000}"/>
            </a:ext>
          </a:extLst>
        </xdr:cNvPr>
        <xdr:cNvSpPr/>
      </xdr:nvSpPr>
      <xdr:spPr>
        <a:xfrm>
          <a:off x="6917701" y="1000805"/>
          <a:ext cx="1571623"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Compressed Air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12"/>
          <a:extLst>
            <a:ext uri="{FF2B5EF4-FFF2-40B4-BE49-F238E27FC236}">
              <a16:creationId xmlns:a16="http://schemas.microsoft.com/office/drawing/2014/main" id="{00000000-0008-0000-1D00-000010000000}"/>
            </a:ext>
          </a:extLst>
        </xdr:cNvPr>
        <xdr:cNvSpPr/>
      </xdr:nvSpPr>
      <xdr:spPr>
        <a:xfrm>
          <a:off x="8486775" y="1000805"/>
          <a:ext cx="1574490"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13"/>
          <a:extLst>
            <a:ext uri="{FF2B5EF4-FFF2-40B4-BE49-F238E27FC236}">
              <a16:creationId xmlns:a16="http://schemas.microsoft.com/office/drawing/2014/main" id="{00000000-0008-0000-1D00-000011000000}"/>
            </a:ext>
          </a:extLst>
        </xdr:cNvPr>
        <xdr:cNvSpPr/>
      </xdr:nvSpPr>
      <xdr:spPr>
        <a:xfrm>
          <a:off x="10061265" y="1000805"/>
          <a:ext cx="1571480"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14"/>
          <a:extLst>
            <a:ext uri="{FF2B5EF4-FFF2-40B4-BE49-F238E27FC236}">
              <a16:creationId xmlns:a16="http://schemas.microsoft.com/office/drawing/2014/main" id="{00000000-0008-0000-1D00-000012000000}"/>
            </a:ext>
          </a:extLst>
        </xdr:cNvPr>
        <xdr:cNvSpPr/>
      </xdr:nvSpPr>
      <xdr:spPr>
        <a:xfrm>
          <a:off x="11632745" y="1000805"/>
          <a:ext cx="1568905"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Exterior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D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D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9"/>
          <a:extLst>
            <a:ext uri="{FF2B5EF4-FFF2-40B4-BE49-F238E27FC236}">
              <a16:creationId xmlns:a16="http://schemas.microsoft.com/office/drawing/2014/main" id="{00000000-0008-0000-1D00-000014000000}"/>
            </a:ext>
          </a:extLst>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0</xdr:colOff>
      <xdr:row>1</xdr:row>
      <xdr:rowOff>0</xdr:rowOff>
    </xdr:from>
    <xdr:to>
      <xdr:col>5</xdr:col>
      <xdr:colOff>209550</xdr:colOff>
      <xdr:row>3</xdr:row>
      <xdr:rowOff>154218</xdr:rowOff>
    </xdr:to>
    <xdr:pic>
      <xdr:nvPicPr>
        <xdr:cNvPr id="24" name="LOGO">
          <a:extLst>
            <a:ext uri="{FF2B5EF4-FFF2-40B4-BE49-F238E27FC236}">
              <a16:creationId xmlns:a16="http://schemas.microsoft.com/office/drawing/2014/main" id="{00000000-0008-0000-1D00-000018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a:extLst>
            <a:ext uri="{FF2B5EF4-FFF2-40B4-BE49-F238E27FC236}">
              <a16:creationId xmlns:a16="http://schemas.microsoft.com/office/drawing/2014/main" id="{00000000-0008-0000-1E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1E00-000003000000}"/>
            </a:ext>
          </a:extLst>
        </xdr:cNvPr>
        <xdr:cNvSpPr/>
      </xdr:nvSpPr>
      <xdr:spPr>
        <a:xfrm>
          <a:off x="2200732" y="200025"/>
          <a:ext cx="1571168"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1E00-000004000000}"/>
            </a:ext>
          </a:extLst>
        </xdr:cNvPr>
        <xdr:cNvSpPr/>
      </xdr:nvSpPr>
      <xdr:spPr>
        <a:xfrm>
          <a:off x="377190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hidden="1">
          <a:hlinkClick xmlns:r="http://schemas.openxmlformats.org/officeDocument/2006/relationships" r:id="rId4"/>
          <a:extLst>
            <a:ext uri="{FF2B5EF4-FFF2-40B4-BE49-F238E27FC236}">
              <a16:creationId xmlns:a16="http://schemas.microsoft.com/office/drawing/2014/main" id="{00000000-0008-0000-1E00-000005000000}"/>
            </a:ext>
          </a:extLst>
        </xdr:cNvPr>
        <xdr:cNvSpPr/>
      </xdr:nvSpPr>
      <xdr:spPr>
        <a:xfrm>
          <a:off x="534352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CODE-BASELINE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133350</xdr:rowOff>
    </xdr:from>
    <xdr:to>
      <xdr:col>27</xdr:col>
      <xdr:colOff>0</xdr:colOff>
      <xdr:row>4</xdr:row>
      <xdr:rowOff>133350</xdr:rowOff>
    </xdr:to>
    <xdr:sp macro="" textlink="MAIN4">
      <xdr:nvSpPr>
        <xdr:cNvPr id="6" name="MENU4" hidden="1">
          <a:hlinkClick xmlns:r="http://schemas.openxmlformats.org/officeDocument/2006/relationships" r:id="rId5"/>
          <a:extLst>
            <a:ext uri="{FF2B5EF4-FFF2-40B4-BE49-F238E27FC236}">
              <a16:creationId xmlns:a16="http://schemas.microsoft.com/office/drawing/2014/main" id="{00000000-0008-0000-1E00-000006000000}"/>
            </a:ext>
          </a:extLst>
        </xdr:cNvPr>
        <xdr:cNvSpPr/>
      </xdr:nvSpPr>
      <xdr:spPr>
        <a:xfrm>
          <a:off x="6915150" y="333375"/>
          <a:ext cx="1571625" cy="600075"/>
        </a:xfrm>
        <a:prstGeom prst="round2SameRect">
          <a:avLst/>
        </a:prstGeom>
        <a:solidFill>
          <a:srgbClr val="F3901D"/>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PRE-APPROVAL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hidden="1">
          <a:hlinkClick xmlns:r="http://schemas.openxmlformats.org/officeDocument/2006/relationships" r:id="rId6"/>
          <a:extLst>
            <a:ext uri="{FF2B5EF4-FFF2-40B4-BE49-F238E27FC236}">
              <a16:creationId xmlns:a16="http://schemas.microsoft.com/office/drawing/2014/main" id="{00000000-0008-0000-1E00-000007000000}"/>
            </a:ext>
          </a:extLst>
        </xdr:cNvPr>
        <xdr:cNvSpPr/>
      </xdr:nvSpPr>
      <xdr:spPr>
        <a:xfrm>
          <a:off x="848677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E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NEXT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E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1E00-00000A000000}"/>
            </a:ext>
          </a:extLst>
        </xdr:cNvPr>
        <xdr:cNvSpPr/>
      </xdr:nvSpPr>
      <xdr:spPr>
        <a:xfrm>
          <a:off x="314325" y="800101"/>
          <a:ext cx="13515975" cy="600074"/>
        </a:xfrm>
        <a:prstGeom prst="round2SameRect">
          <a:avLst/>
        </a:prstGeom>
        <a:solidFill>
          <a:srgbClr val="F390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5"/>
          <a:extLst>
            <a:ext uri="{FF2B5EF4-FFF2-40B4-BE49-F238E27FC236}">
              <a16:creationId xmlns:a16="http://schemas.microsoft.com/office/drawing/2014/main" id="{00000000-0008-0000-1E00-00000B000000}"/>
            </a:ext>
          </a:extLst>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680</xdr:rowOff>
    </xdr:from>
    <xdr:to>
      <xdr:col>12</xdr:col>
      <xdr:colOff>2551</xdr:colOff>
      <xdr:row>7</xdr:row>
      <xdr:rowOff>0</xdr:rowOff>
    </xdr:to>
    <xdr:sp macro="" textlink="M4S2">
      <xdr:nvSpPr>
        <xdr:cNvPr id="12" name="SUBMENU2">
          <a:hlinkClick xmlns:r="http://schemas.openxmlformats.org/officeDocument/2006/relationships" r:id="rId7"/>
          <a:extLst>
            <a:ext uri="{FF2B5EF4-FFF2-40B4-BE49-F238E27FC236}">
              <a16:creationId xmlns:a16="http://schemas.microsoft.com/office/drawing/2014/main" id="{00000000-0008-0000-1E00-00000C000000}"/>
            </a:ext>
          </a:extLst>
        </xdr:cNvPr>
        <xdr:cNvSpPr/>
      </xdr:nvSpPr>
      <xdr:spPr>
        <a:xfrm>
          <a:off x="2202826" y="1000805"/>
          <a:ext cx="157162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LPD-Exempt Interior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E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8"/>
          <a:extLst>
            <a:ext uri="{FF2B5EF4-FFF2-40B4-BE49-F238E27FC236}">
              <a16:creationId xmlns:a16="http://schemas.microsoft.com/office/drawing/2014/main" id="{00000000-0008-0000-1E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2551</xdr:colOff>
      <xdr:row>4</xdr:row>
      <xdr:rowOff>200705</xdr:rowOff>
    </xdr:from>
    <xdr:to>
      <xdr:col>17</xdr:col>
      <xdr:colOff>2550</xdr:colOff>
      <xdr:row>7</xdr:row>
      <xdr:rowOff>0</xdr:rowOff>
    </xdr:to>
    <xdr:sp macro="" textlink="M4S3">
      <xdr:nvSpPr>
        <xdr:cNvPr id="13" name="SUBMENU3">
          <a:hlinkClick xmlns:r="http://schemas.openxmlformats.org/officeDocument/2006/relationships" r:id="rId8"/>
          <a:extLst>
            <a:ext uri="{FF2B5EF4-FFF2-40B4-BE49-F238E27FC236}">
              <a16:creationId xmlns:a16="http://schemas.microsoft.com/office/drawing/2014/main" id="{00000000-0008-0000-1E00-00000D000000}"/>
            </a:ext>
          </a:extLst>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51480</xdr:rowOff>
    </xdr:from>
    <xdr:to>
      <xdr:col>22</xdr:col>
      <xdr:colOff>2551</xdr:colOff>
      <xdr:row>7</xdr:row>
      <xdr:rowOff>50800</xdr:rowOff>
    </xdr:to>
    <xdr:sp macro="" textlink="M4S4">
      <xdr:nvSpPr>
        <xdr:cNvPr id="14" name="SUBMENU4">
          <a:hlinkClick xmlns:r="http://schemas.openxmlformats.org/officeDocument/2006/relationships" r:id="rId9"/>
          <a:extLst>
            <a:ext uri="{FF2B5EF4-FFF2-40B4-BE49-F238E27FC236}">
              <a16:creationId xmlns:a16="http://schemas.microsoft.com/office/drawing/2014/main" id="{00000000-0008-0000-1E00-00000E000000}"/>
            </a:ext>
          </a:extLst>
        </xdr:cNvPr>
        <xdr:cNvSpPr/>
      </xdr:nvSpPr>
      <xdr:spPr>
        <a:xfrm>
          <a:off x="5346076" y="1051605"/>
          <a:ext cx="1571625"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Motor / VFD / Pump</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4S5">
      <xdr:nvSpPr>
        <xdr:cNvPr id="15" name="SUBMENU5">
          <a:hlinkClick xmlns:r="http://schemas.openxmlformats.org/officeDocument/2006/relationships" r:id="rId1"/>
          <a:extLst>
            <a:ext uri="{FF2B5EF4-FFF2-40B4-BE49-F238E27FC236}">
              <a16:creationId xmlns:a16="http://schemas.microsoft.com/office/drawing/2014/main" id="{00000000-0008-0000-1E00-00000F000000}"/>
            </a:ext>
          </a:extLst>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Compressed Air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10"/>
          <a:extLst>
            <a:ext uri="{FF2B5EF4-FFF2-40B4-BE49-F238E27FC236}">
              <a16:creationId xmlns:a16="http://schemas.microsoft.com/office/drawing/2014/main" id="{00000000-0008-0000-1E00-000010000000}"/>
            </a:ext>
          </a:extLst>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11"/>
          <a:extLst>
            <a:ext uri="{FF2B5EF4-FFF2-40B4-BE49-F238E27FC236}">
              <a16:creationId xmlns:a16="http://schemas.microsoft.com/office/drawing/2014/main" id="{00000000-0008-0000-1E00-000011000000}"/>
            </a:ext>
          </a:extLst>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12"/>
          <a:extLst>
            <a:ext uri="{FF2B5EF4-FFF2-40B4-BE49-F238E27FC236}">
              <a16:creationId xmlns:a16="http://schemas.microsoft.com/office/drawing/2014/main" id="{00000000-0008-0000-1E00-000012000000}"/>
            </a:ext>
          </a:extLst>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Exterior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E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8" name="LOGO">
          <a:extLst>
            <a:ext uri="{FF2B5EF4-FFF2-40B4-BE49-F238E27FC236}">
              <a16:creationId xmlns:a16="http://schemas.microsoft.com/office/drawing/2014/main" id="{00000000-0008-0000-1E00-000026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1F00-000003000000}"/>
            </a:ext>
          </a:extLst>
        </xdr:cNvPr>
        <xdr:cNvSpPr/>
      </xdr:nvSpPr>
      <xdr:spPr>
        <a:xfrm>
          <a:off x="2200732" y="200025"/>
          <a:ext cx="1571168"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1F00-000004000000}"/>
            </a:ext>
          </a:extLst>
        </xdr:cNvPr>
        <xdr:cNvSpPr/>
      </xdr:nvSpPr>
      <xdr:spPr>
        <a:xfrm>
          <a:off x="377190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hidden="1">
          <a:hlinkClick xmlns:r="http://schemas.openxmlformats.org/officeDocument/2006/relationships" r:id="rId4"/>
          <a:extLst>
            <a:ext uri="{FF2B5EF4-FFF2-40B4-BE49-F238E27FC236}">
              <a16:creationId xmlns:a16="http://schemas.microsoft.com/office/drawing/2014/main" id="{00000000-0008-0000-1F00-000005000000}"/>
            </a:ext>
          </a:extLst>
        </xdr:cNvPr>
        <xdr:cNvSpPr/>
      </xdr:nvSpPr>
      <xdr:spPr>
        <a:xfrm>
          <a:off x="534352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CODE-BASELINE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133350</xdr:rowOff>
    </xdr:from>
    <xdr:to>
      <xdr:col>27</xdr:col>
      <xdr:colOff>0</xdr:colOff>
      <xdr:row>4</xdr:row>
      <xdr:rowOff>133350</xdr:rowOff>
    </xdr:to>
    <xdr:sp macro="" textlink="MAIN4">
      <xdr:nvSpPr>
        <xdr:cNvPr id="6" name="MENU4" hidden="1">
          <a:hlinkClick xmlns:r="http://schemas.openxmlformats.org/officeDocument/2006/relationships" r:id="rId5"/>
          <a:extLst>
            <a:ext uri="{FF2B5EF4-FFF2-40B4-BE49-F238E27FC236}">
              <a16:creationId xmlns:a16="http://schemas.microsoft.com/office/drawing/2014/main" id="{00000000-0008-0000-1F00-000006000000}"/>
            </a:ext>
          </a:extLst>
        </xdr:cNvPr>
        <xdr:cNvSpPr/>
      </xdr:nvSpPr>
      <xdr:spPr>
        <a:xfrm>
          <a:off x="6915150" y="333375"/>
          <a:ext cx="1571625" cy="600075"/>
        </a:xfrm>
        <a:prstGeom prst="round2SameRect">
          <a:avLst/>
        </a:prstGeom>
        <a:solidFill>
          <a:srgbClr val="F3901D"/>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PRE-APPROVAL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hidden="1">
          <a:hlinkClick xmlns:r="http://schemas.openxmlformats.org/officeDocument/2006/relationships" r:id="rId6"/>
          <a:extLst>
            <a:ext uri="{FF2B5EF4-FFF2-40B4-BE49-F238E27FC236}">
              <a16:creationId xmlns:a16="http://schemas.microsoft.com/office/drawing/2014/main" id="{00000000-0008-0000-1F00-000007000000}"/>
            </a:ext>
          </a:extLst>
        </xdr:cNvPr>
        <xdr:cNvSpPr/>
      </xdr:nvSpPr>
      <xdr:spPr>
        <a:xfrm>
          <a:off x="848677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1F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NEXT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8"/>
          <a:extLst>
            <a:ext uri="{FF2B5EF4-FFF2-40B4-BE49-F238E27FC236}">
              <a16:creationId xmlns:a16="http://schemas.microsoft.com/office/drawing/2014/main" id="{00000000-0008-0000-1F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1F00-00000A000000}"/>
            </a:ext>
          </a:extLst>
        </xdr:cNvPr>
        <xdr:cNvSpPr/>
      </xdr:nvSpPr>
      <xdr:spPr>
        <a:xfrm>
          <a:off x="314325" y="800101"/>
          <a:ext cx="13515975" cy="600074"/>
        </a:xfrm>
        <a:prstGeom prst="round2SameRect">
          <a:avLst/>
        </a:prstGeom>
        <a:solidFill>
          <a:srgbClr val="F390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5"/>
          <a:extLst>
            <a:ext uri="{FF2B5EF4-FFF2-40B4-BE49-F238E27FC236}">
              <a16:creationId xmlns:a16="http://schemas.microsoft.com/office/drawing/2014/main" id="{00000000-0008-0000-1F00-00000B000000}"/>
            </a:ext>
          </a:extLst>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4S2">
      <xdr:nvSpPr>
        <xdr:cNvPr id="12" name="SUBMENU2">
          <a:hlinkClick xmlns:r="http://schemas.openxmlformats.org/officeDocument/2006/relationships" r:id="rId9"/>
          <a:extLst>
            <a:ext uri="{FF2B5EF4-FFF2-40B4-BE49-F238E27FC236}">
              <a16:creationId xmlns:a16="http://schemas.microsoft.com/office/drawing/2014/main" id="{00000000-0008-0000-1F00-00000C000000}"/>
            </a:ext>
          </a:extLst>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LPD-Exempt Interior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4S3">
      <xdr:nvSpPr>
        <xdr:cNvPr id="13" name="SUBMENU3">
          <a:hlinkClick xmlns:r="http://schemas.openxmlformats.org/officeDocument/2006/relationships" r:id="rId10"/>
          <a:extLst>
            <a:ext uri="{FF2B5EF4-FFF2-40B4-BE49-F238E27FC236}">
              <a16:creationId xmlns:a16="http://schemas.microsoft.com/office/drawing/2014/main" id="{00000000-0008-0000-1F00-00000D000000}"/>
            </a:ext>
          </a:extLst>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4S4">
      <xdr:nvSpPr>
        <xdr:cNvPr id="14" name="SUBMENU4">
          <a:hlinkClick xmlns:r="http://schemas.openxmlformats.org/officeDocument/2006/relationships" r:id="rId11"/>
          <a:extLst>
            <a:ext uri="{FF2B5EF4-FFF2-40B4-BE49-F238E27FC236}">
              <a16:creationId xmlns:a16="http://schemas.microsoft.com/office/drawing/2014/main" id="{00000000-0008-0000-1F00-00000E000000}"/>
            </a:ext>
          </a:extLst>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Motor / VFD / Pump</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83230</xdr:rowOff>
    </xdr:from>
    <xdr:to>
      <xdr:col>27</xdr:col>
      <xdr:colOff>2549</xdr:colOff>
      <xdr:row>7</xdr:row>
      <xdr:rowOff>82550</xdr:rowOff>
    </xdr:to>
    <xdr:sp macro="" textlink="M4S5">
      <xdr:nvSpPr>
        <xdr:cNvPr id="15" name="SUBMENU5">
          <a:hlinkClick xmlns:r="http://schemas.openxmlformats.org/officeDocument/2006/relationships" r:id="rId12"/>
          <a:extLst>
            <a:ext uri="{FF2B5EF4-FFF2-40B4-BE49-F238E27FC236}">
              <a16:creationId xmlns:a16="http://schemas.microsoft.com/office/drawing/2014/main" id="{00000000-0008-0000-1F00-00000F000000}"/>
            </a:ext>
          </a:extLst>
        </xdr:cNvPr>
        <xdr:cNvSpPr/>
      </xdr:nvSpPr>
      <xdr:spPr>
        <a:xfrm>
          <a:off x="6917701" y="1083355"/>
          <a:ext cx="1571623"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Compressed Air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1"/>
          <a:extLst>
            <a:ext uri="{FF2B5EF4-FFF2-40B4-BE49-F238E27FC236}">
              <a16:creationId xmlns:a16="http://schemas.microsoft.com/office/drawing/2014/main" id="{00000000-0008-0000-1F00-000010000000}"/>
            </a:ext>
          </a:extLst>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13"/>
          <a:extLst>
            <a:ext uri="{FF2B5EF4-FFF2-40B4-BE49-F238E27FC236}">
              <a16:creationId xmlns:a16="http://schemas.microsoft.com/office/drawing/2014/main" id="{00000000-0008-0000-1F00-000011000000}"/>
            </a:ext>
          </a:extLst>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14"/>
          <a:extLst>
            <a:ext uri="{FF2B5EF4-FFF2-40B4-BE49-F238E27FC236}">
              <a16:creationId xmlns:a16="http://schemas.microsoft.com/office/drawing/2014/main" id="{00000000-0008-0000-1F00-000012000000}"/>
            </a:ext>
          </a:extLst>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Exterior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F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11"/>
          <a:extLst>
            <a:ext uri="{FF2B5EF4-FFF2-40B4-BE49-F238E27FC236}">
              <a16:creationId xmlns:a16="http://schemas.microsoft.com/office/drawing/2014/main" id="{00000000-0008-0000-1F00-000014000000}"/>
            </a:ext>
          </a:extLst>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F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a:extLst>
            <a:ext uri="{FF2B5EF4-FFF2-40B4-BE49-F238E27FC236}">
              <a16:creationId xmlns:a16="http://schemas.microsoft.com/office/drawing/2014/main" id="{00000000-0008-0000-1F00-00001F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2000-000003000000}"/>
            </a:ext>
          </a:extLst>
        </xdr:cNvPr>
        <xdr:cNvSpPr/>
      </xdr:nvSpPr>
      <xdr:spPr>
        <a:xfrm>
          <a:off x="2200732" y="200025"/>
          <a:ext cx="1571168"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2000-000004000000}"/>
            </a:ext>
          </a:extLst>
        </xdr:cNvPr>
        <xdr:cNvSpPr/>
      </xdr:nvSpPr>
      <xdr:spPr>
        <a:xfrm>
          <a:off x="377190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hidden="1">
          <a:hlinkClick xmlns:r="http://schemas.openxmlformats.org/officeDocument/2006/relationships" r:id="rId4"/>
          <a:extLst>
            <a:ext uri="{FF2B5EF4-FFF2-40B4-BE49-F238E27FC236}">
              <a16:creationId xmlns:a16="http://schemas.microsoft.com/office/drawing/2014/main" id="{00000000-0008-0000-2000-000005000000}"/>
            </a:ext>
          </a:extLst>
        </xdr:cNvPr>
        <xdr:cNvSpPr/>
      </xdr:nvSpPr>
      <xdr:spPr>
        <a:xfrm>
          <a:off x="534352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CODE-BASELINE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133350</xdr:rowOff>
    </xdr:from>
    <xdr:to>
      <xdr:col>27</xdr:col>
      <xdr:colOff>0</xdr:colOff>
      <xdr:row>4</xdr:row>
      <xdr:rowOff>133350</xdr:rowOff>
    </xdr:to>
    <xdr:sp macro="" textlink="MAIN4">
      <xdr:nvSpPr>
        <xdr:cNvPr id="6" name="MENU4" hidden="1">
          <a:hlinkClick xmlns:r="http://schemas.openxmlformats.org/officeDocument/2006/relationships" r:id="rId5"/>
          <a:extLst>
            <a:ext uri="{FF2B5EF4-FFF2-40B4-BE49-F238E27FC236}">
              <a16:creationId xmlns:a16="http://schemas.microsoft.com/office/drawing/2014/main" id="{00000000-0008-0000-2000-000006000000}"/>
            </a:ext>
          </a:extLst>
        </xdr:cNvPr>
        <xdr:cNvSpPr/>
      </xdr:nvSpPr>
      <xdr:spPr>
        <a:xfrm>
          <a:off x="6915150" y="333375"/>
          <a:ext cx="1571625" cy="600075"/>
        </a:xfrm>
        <a:prstGeom prst="round2SameRect">
          <a:avLst/>
        </a:prstGeom>
        <a:solidFill>
          <a:srgbClr val="F3901D"/>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PRE-APPROVAL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hidden="1">
          <a:hlinkClick xmlns:r="http://schemas.openxmlformats.org/officeDocument/2006/relationships" r:id="rId6"/>
          <a:extLst>
            <a:ext uri="{FF2B5EF4-FFF2-40B4-BE49-F238E27FC236}">
              <a16:creationId xmlns:a16="http://schemas.microsoft.com/office/drawing/2014/main" id="{00000000-0008-0000-2000-000007000000}"/>
            </a:ext>
          </a:extLst>
        </xdr:cNvPr>
        <xdr:cNvSpPr/>
      </xdr:nvSpPr>
      <xdr:spPr>
        <a:xfrm>
          <a:off x="848677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20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NEXT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8"/>
          <a:extLst>
            <a:ext uri="{FF2B5EF4-FFF2-40B4-BE49-F238E27FC236}">
              <a16:creationId xmlns:a16="http://schemas.microsoft.com/office/drawing/2014/main" id="{00000000-0008-0000-20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2000-00000A000000}"/>
            </a:ext>
          </a:extLst>
        </xdr:cNvPr>
        <xdr:cNvSpPr/>
      </xdr:nvSpPr>
      <xdr:spPr>
        <a:xfrm>
          <a:off x="314325" y="800101"/>
          <a:ext cx="13515975" cy="600074"/>
        </a:xfrm>
        <a:prstGeom prst="round2SameRect">
          <a:avLst/>
        </a:prstGeom>
        <a:solidFill>
          <a:srgbClr val="F390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5"/>
          <a:extLst>
            <a:ext uri="{FF2B5EF4-FFF2-40B4-BE49-F238E27FC236}">
              <a16:creationId xmlns:a16="http://schemas.microsoft.com/office/drawing/2014/main" id="{00000000-0008-0000-2000-00000B000000}"/>
            </a:ext>
          </a:extLst>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4S2">
      <xdr:nvSpPr>
        <xdr:cNvPr id="12" name="SUBMENU2">
          <a:hlinkClick xmlns:r="http://schemas.openxmlformats.org/officeDocument/2006/relationships" r:id="rId9"/>
          <a:extLst>
            <a:ext uri="{FF2B5EF4-FFF2-40B4-BE49-F238E27FC236}">
              <a16:creationId xmlns:a16="http://schemas.microsoft.com/office/drawing/2014/main" id="{00000000-0008-0000-2000-00000C000000}"/>
            </a:ext>
          </a:extLst>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LPD-Exempt Interior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4S3">
      <xdr:nvSpPr>
        <xdr:cNvPr id="13" name="SUBMENU3">
          <a:hlinkClick xmlns:r="http://schemas.openxmlformats.org/officeDocument/2006/relationships" r:id="rId10"/>
          <a:extLst>
            <a:ext uri="{FF2B5EF4-FFF2-40B4-BE49-F238E27FC236}">
              <a16:creationId xmlns:a16="http://schemas.microsoft.com/office/drawing/2014/main" id="{00000000-0008-0000-2000-00000D000000}"/>
            </a:ext>
          </a:extLst>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4S4">
      <xdr:nvSpPr>
        <xdr:cNvPr id="14" name="SUBMENU4">
          <a:hlinkClick xmlns:r="http://schemas.openxmlformats.org/officeDocument/2006/relationships" r:id="rId11"/>
          <a:extLst>
            <a:ext uri="{FF2B5EF4-FFF2-40B4-BE49-F238E27FC236}">
              <a16:creationId xmlns:a16="http://schemas.microsoft.com/office/drawing/2014/main" id="{00000000-0008-0000-2000-00000E000000}"/>
            </a:ext>
          </a:extLst>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Motor / VFD / Pump</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4S5">
      <xdr:nvSpPr>
        <xdr:cNvPr id="15" name="SUBMENU5">
          <a:hlinkClick xmlns:r="http://schemas.openxmlformats.org/officeDocument/2006/relationships" r:id="rId12"/>
          <a:extLst>
            <a:ext uri="{FF2B5EF4-FFF2-40B4-BE49-F238E27FC236}">
              <a16:creationId xmlns:a16="http://schemas.microsoft.com/office/drawing/2014/main" id="{00000000-0008-0000-2000-00000F000000}"/>
            </a:ext>
          </a:extLst>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Compressed Air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5</xdr:row>
      <xdr:rowOff>83230</xdr:rowOff>
    </xdr:from>
    <xdr:to>
      <xdr:col>32</xdr:col>
      <xdr:colOff>2865</xdr:colOff>
      <xdr:row>7</xdr:row>
      <xdr:rowOff>82550</xdr:rowOff>
    </xdr:to>
    <xdr:sp macro="" textlink="M4S6">
      <xdr:nvSpPr>
        <xdr:cNvPr id="16" name="SUBMENU6">
          <a:hlinkClick xmlns:r="http://schemas.openxmlformats.org/officeDocument/2006/relationships" r:id="rId13"/>
          <a:extLst>
            <a:ext uri="{FF2B5EF4-FFF2-40B4-BE49-F238E27FC236}">
              <a16:creationId xmlns:a16="http://schemas.microsoft.com/office/drawing/2014/main" id="{00000000-0008-0000-2000-000010000000}"/>
            </a:ext>
          </a:extLst>
        </xdr:cNvPr>
        <xdr:cNvSpPr/>
      </xdr:nvSpPr>
      <xdr:spPr>
        <a:xfrm>
          <a:off x="8486775" y="1083355"/>
          <a:ext cx="1574490"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1"/>
          <a:extLst>
            <a:ext uri="{FF2B5EF4-FFF2-40B4-BE49-F238E27FC236}">
              <a16:creationId xmlns:a16="http://schemas.microsoft.com/office/drawing/2014/main" id="{00000000-0008-0000-2000-000011000000}"/>
            </a:ext>
          </a:extLst>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14"/>
          <a:extLst>
            <a:ext uri="{FF2B5EF4-FFF2-40B4-BE49-F238E27FC236}">
              <a16:creationId xmlns:a16="http://schemas.microsoft.com/office/drawing/2014/main" id="{00000000-0008-0000-2000-000012000000}"/>
            </a:ext>
          </a:extLst>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Exterior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0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12"/>
          <a:extLst>
            <a:ext uri="{FF2B5EF4-FFF2-40B4-BE49-F238E27FC236}">
              <a16:creationId xmlns:a16="http://schemas.microsoft.com/office/drawing/2014/main" id="{00000000-0008-0000-2000-000014000000}"/>
            </a:ext>
          </a:extLst>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0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a:extLst>
            <a:ext uri="{FF2B5EF4-FFF2-40B4-BE49-F238E27FC236}">
              <a16:creationId xmlns:a16="http://schemas.microsoft.com/office/drawing/2014/main" id="{00000000-0008-0000-2000-00001F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2100-000003000000}"/>
            </a:ext>
          </a:extLst>
        </xdr:cNvPr>
        <xdr:cNvSpPr/>
      </xdr:nvSpPr>
      <xdr:spPr>
        <a:xfrm>
          <a:off x="2200732" y="200025"/>
          <a:ext cx="1571168"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2100-000004000000}"/>
            </a:ext>
          </a:extLst>
        </xdr:cNvPr>
        <xdr:cNvSpPr/>
      </xdr:nvSpPr>
      <xdr:spPr>
        <a:xfrm>
          <a:off x="377190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hidden="1">
          <a:hlinkClick xmlns:r="http://schemas.openxmlformats.org/officeDocument/2006/relationships" r:id="rId4"/>
          <a:extLst>
            <a:ext uri="{FF2B5EF4-FFF2-40B4-BE49-F238E27FC236}">
              <a16:creationId xmlns:a16="http://schemas.microsoft.com/office/drawing/2014/main" id="{00000000-0008-0000-2100-000005000000}"/>
            </a:ext>
          </a:extLst>
        </xdr:cNvPr>
        <xdr:cNvSpPr/>
      </xdr:nvSpPr>
      <xdr:spPr>
        <a:xfrm>
          <a:off x="534352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CODE-BASELINE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133350</xdr:rowOff>
    </xdr:from>
    <xdr:to>
      <xdr:col>27</xdr:col>
      <xdr:colOff>0</xdr:colOff>
      <xdr:row>4</xdr:row>
      <xdr:rowOff>133350</xdr:rowOff>
    </xdr:to>
    <xdr:sp macro="" textlink="MAIN4">
      <xdr:nvSpPr>
        <xdr:cNvPr id="6" name="MENU4" hidden="1">
          <a:hlinkClick xmlns:r="http://schemas.openxmlformats.org/officeDocument/2006/relationships" r:id="rId5"/>
          <a:extLst>
            <a:ext uri="{FF2B5EF4-FFF2-40B4-BE49-F238E27FC236}">
              <a16:creationId xmlns:a16="http://schemas.microsoft.com/office/drawing/2014/main" id="{00000000-0008-0000-2100-000006000000}"/>
            </a:ext>
          </a:extLst>
        </xdr:cNvPr>
        <xdr:cNvSpPr/>
      </xdr:nvSpPr>
      <xdr:spPr>
        <a:xfrm>
          <a:off x="6915150" y="333375"/>
          <a:ext cx="1571625" cy="600075"/>
        </a:xfrm>
        <a:prstGeom prst="round2SameRect">
          <a:avLst/>
        </a:prstGeom>
        <a:solidFill>
          <a:srgbClr val="F3901D"/>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PRE-APPROVAL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hidden="1">
          <a:hlinkClick xmlns:r="http://schemas.openxmlformats.org/officeDocument/2006/relationships" r:id="rId6"/>
          <a:extLst>
            <a:ext uri="{FF2B5EF4-FFF2-40B4-BE49-F238E27FC236}">
              <a16:creationId xmlns:a16="http://schemas.microsoft.com/office/drawing/2014/main" id="{00000000-0008-0000-2100-000007000000}"/>
            </a:ext>
          </a:extLst>
        </xdr:cNvPr>
        <xdr:cNvSpPr/>
      </xdr:nvSpPr>
      <xdr:spPr>
        <a:xfrm>
          <a:off x="848677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21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NEXT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8"/>
          <a:extLst>
            <a:ext uri="{FF2B5EF4-FFF2-40B4-BE49-F238E27FC236}">
              <a16:creationId xmlns:a16="http://schemas.microsoft.com/office/drawing/2014/main" id="{00000000-0008-0000-21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2100-00000A000000}"/>
            </a:ext>
          </a:extLst>
        </xdr:cNvPr>
        <xdr:cNvSpPr/>
      </xdr:nvSpPr>
      <xdr:spPr>
        <a:xfrm>
          <a:off x="314325" y="800101"/>
          <a:ext cx="13515975" cy="600074"/>
        </a:xfrm>
        <a:prstGeom prst="round2SameRect">
          <a:avLst/>
        </a:prstGeom>
        <a:solidFill>
          <a:srgbClr val="F390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5"/>
          <a:extLst>
            <a:ext uri="{FF2B5EF4-FFF2-40B4-BE49-F238E27FC236}">
              <a16:creationId xmlns:a16="http://schemas.microsoft.com/office/drawing/2014/main" id="{00000000-0008-0000-2100-00000B000000}"/>
            </a:ext>
          </a:extLst>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4S2">
      <xdr:nvSpPr>
        <xdr:cNvPr id="12" name="SUBMENU2">
          <a:hlinkClick xmlns:r="http://schemas.openxmlformats.org/officeDocument/2006/relationships" r:id="rId9"/>
          <a:extLst>
            <a:ext uri="{FF2B5EF4-FFF2-40B4-BE49-F238E27FC236}">
              <a16:creationId xmlns:a16="http://schemas.microsoft.com/office/drawing/2014/main" id="{00000000-0008-0000-2100-00000C000000}"/>
            </a:ext>
          </a:extLst>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LPD-Exempt Interior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4S3">
      <xdr:nvSpPr>
        <xdr:cNvPr id="13" name="SUBMENU3">
          <a:hlinkClick xmlns:r="http://schemas.openxmlformats.org/officeDocument/2006/relationships" r:id="rId10"/>
          <a:extLst>
            <a:ext uri="{FF2B5EF4-FFF2-40B4-BE49-F238E27FC236}">
              <a16:creationId xmlns:a16="http://schemas.microsoft.com/office/drawing/2014/main" id="{00000000-0008-0000-2100-00000D000000}"/>
            </a:ext>
          </a:extLst>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4S4">
      <xdr:nvSpPr>
        <xdr:cNvPr id="14" name="SUBMENU4">
          <a:hlinkClick xmlns:r="http://schemas.openxmlformats.org/officeDocument/2006/relationships" r:id="rId11"/>
          <a:extLst>
            <a:ext uri="{FF2B5EF4-FFF2-40B4-BE49-F238E27FC236}">
              <a16:creationId xmlns:a16="http://schemas.microsoft.com/office/drawing/2014/main" id="{00000000-0008-0000-2100-00000E000000}"/>
            </a:ext>
          </a:extLst>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Motor / VFD / Pump</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4S5">
      <xdr:nvSpPr>
        <xdr:cNvPr id="15" name="SUBMENU5">
          <a:hlinkClick xmlns:r="http://schemas.openxmlformats.org/officeDocument/2006/relationships" r:id="rId12"/>
          <a:extLst>
            <a:ext uri="{FF2B5EF4-FFF2-40B4-BE49-F238E27FC236}">
              <a16:creationId xmlns:a16="http://schemas.microsoft.com/office/drawing/2014/main" id="{00000000-0008-0000-2100-00000F000000}"/>
            </a:ext>
          </a:extLst>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Compressed Air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13"/>
          <a:extLst>
            <a:ext uri="{FF2B5EF4-FFF2-40B4-BE49-F238E27FC236}">
              <a16:creationId xmlns:a16="http://schemas.microsoft.com/office/drawing/2014/main" id="{00000000-0008-0000-2100-000010000000}"/>
            </a:ext>
          </a:extLst>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5</xdr:row>
      <xdr:rowOff>83230</xdr:rowOff>
    </xdr:from>
    <xdr:to>
      <xdr:col>37</xdr:col>
      <xdr:colOff>2720</xdr:colOff>
      <xdr:row>7</xdr:row>
      <xdr:rowOff>82550</xdr:rowOff>
    </xdr:to>
    <xdr:sp macro="" textlink="M4S7">
      <xdr:nvSpPr>
        <xdr:cNvPr id="17" name="SUBMENU7">
          <a:hlinkClick xmlns:r="http://schemas.openxmlformats.org/officeDocument/2006/relationships" r:id="rId14"/>
          <a:extLst>
            <a:ext uri="{FF2B5EF4-FFF2-40B4-BE49-F238E27FC236}">
              <a16:creationId xmlns:a16="http://schemas.microsoft.com/office/drawing/2014/main" id="{00000000-0008-0000-2100-000011000000}"/>
            </a:ext>
          </a:extLst>
        </xdr:cNvPr>
        <xdr:cNvSpPr/>
      </xdr:nvSpPr>
      <xdr:spPr>
        <a:xfrm>
          <a:off x="10061265" y="1083355"/>
          <a:ext cx="1571480"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1"/>
          <a:extLst>
            <a:ext uri="{FF2B5EF4-FFF2-40B4-BE49-F238E27FC236}">
              <a16:creationId xmlns:a16="http://schemas.microsoft.com/office/drawing/2014/main" id="{00000000-0008-0000-2100-000012000000}"/>
            </a:ext>
          </a:extLst>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Exterior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1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13"/>
          <a:extLst>
            <a:ext uri="{FF2B5EF4-FFF2-40B4-BE49-F238E27FC236}">
              <a16:creationId xmlns:a16="http://schemas.microsoft.com/office/drawing/2014/main" id="{00000000-0008-0000-2100-000014000000}"/>
            </a:ext>
          </a:extLst>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1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a:extLst>
            <a:ext uri="{FF2B5EF4-FFF2-40B4-BE49-F238E27FC236}">
              <a16:creationId xmlns:a16="http://schemas.microsoft.com/office/drawing/2014/main" id="{00000000-0008-0000-2100-00001F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2200-000003000000}"/>
            </a:ext>
          </a:extLst>
        </xdr:cNvPr>
        <xdr:cNvSpPr/>
      </xdr:nvSpPr>
      <xdr:spPr>
        <a:xfrm>
          <a:off x="2200732" y="200025"/>
          <a:ext cx="1571168"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2200-000004000000}"/>
            </a:ext>
          </a:extLst>
        </xdr:cNvPr>
        <xdr:cNvSpPr/>
      </xdr:nvSpPr>
      <xdr:spPr>
        <a:xfrm>
          <a:off x="377190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hidden="1">
          <a:hlinkClick xmlns:r="http://schemas.openxmlformats.org/officeDocument/2006/relationships" r:id="rId4"/>
          <a:extLst>
            <a:ext uri="{FF2B5EF4-FFF2-40B4-BE49-F238E27FC236}">
              <a16:creationId xmlns:a16="http://schemas.microsoft.com/office/drawing/2014/main" id="{00000000-0008-0000-2200-000005000000}"/>
            </a:ext>
          </a:extLst>
        </xdr:cNvPr>
        <xdr:cNvSpPr/>
      </xdr:nvSpPr>
      <xdr:spPr>
        <a:xfrm>
          <a:off x="534352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CODE-BASELINE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133350</xdr:rowOff>
    </xdr:from>
    <xdr:to>
      <xdr:col>27</xdr:col>
      <xdr:colOff>0</xdr:colOff>
      <xdr:row>4</xdr:row>
      <xdr:rowOff>133350</xdr:rowOff>
    </xdr:to>
    <xdr:sp macro="" textlink="MAIN4">
      <xdr:nvSpPr>
        <xdr:cNvPr id="6" name="MENU4" hidden="1">
          <a:hlinkClick xmlns:r="http://schemas.openxmlformats.org/officeDocument/2006/relationships" r:id="rId5"/>
          <a:extLst>
            <a:ext uri="{FF2B5EF4-FFF2-40B4-BE49-F238E27FC236}">
              <a16:creationId xmlns:a16="http://schemas.microsoft.com/office/drawing/2014/main" id="{00000000-0008-0000-2200-000006000000}"/>
            </a:ext>
          </a:extLst>
        </xdr:cNvPr>
        <xdr:cNvSpPr/>
      </xdr:nvSpPr>
      <xdr:spPr>
        <a:xfrm>
          <a:off x="6915150" y="333375"/>
          <a:ext cx="1571625" cy="600075"/>
        </a:xfrm>
        <a:prstGeom prst="round2SameRect">
          <a:avLst/>
        </a:prstGeom>
        <a:solidFill>
          <a:srgbClr val="F3901D"/>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PRE-APPROVAL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hidden="1">
          <a:hlinkClick xmlns:r="http://schemas.openxmlformats.org/officeDocument/2006/relationships" r:id="rId1"/>
          <a:extLst>
            <a:ext uri="{FF2B5EF4-FFF2-40B4-BE49-F238E27FC236}">
              <a16:creationId xmlns:a16="http://schemas.microsoft.com/office/drawing/2014/main" id="{00000000-0008-0000-2200-000007000000}"/>
            </a:ext>
          </a:extLst>
        </xdr:cNvPr>
        <xdr:cNvSpPr/>
      </xdr:nvSpPr>
      <xdr:spPr>
        <a:xfrm>
          <a:off x="848677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hlinkClick xmlns:r="http://schemas.openxmlformats.org/officeDocument/2006/relationships" r:id="rId6"/>
          <a:extLst>
            <a:ext uri="{FF2B5EF4-FFF2-40B4-BE49-F238E27FC236}">
              <a16:creationId xmlns:a16="http://schemas.microsoft.com/office/drawing/2014/main" id="{00000000-0008-0000-22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NEXT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7"/>
          <a:extLst>
            <a:ext uri="{FF2B5EF4-FFF2-40B4-BE49-F238E27FC236}">
              <a16:creationId xmlns:a16="http://schemas.microsoft.com/office/drawing/2014/main" id="{00000000-0008-0000-22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2200-00000A000000}"/>
            </a:ext>
          </a:extLst>
        </xdr:cNvPr>
        <xdr:cNvSpPr/>
      </xdr:nvSpPr>
      <xdr:spPr>
        <a:xfrm>
          <a:off x="314325" y="800101"/>
          <a:ext cx="13515975" cy="600074"/>
        </a:xfrm>
        <a:prstGeom prst="round2SameRect">
          <a:avLst/>
        </a:prstGeom>
        <a:solidFill>
          <a:srgbClr val="F390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5"/>
          <a:extLst>
            <a:ext uri="{FF2B5EF4-FFF2-40B4-BE49-F238E27FC236}">
              <a16:creationId xmlns:a16="http://schemas.microsoft.com/office/drawing/2014/main" id="{00000000-0008-0000-2200-00000B000000}"/>
            </a:ext>
          </a:extLst>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4S2">
      <xdr:nvSpPr>
        <xdr:cNvPr id="12" name="SUBMENU2">
          <a:hlinkClick xmlns:r="http://schemas.openxmlformats.org/officeDocument/2006/relationships" r:id="rId8"/>
          <a:extLst>
            <a:ext uri="{FF2B5EF4-FFF2-40B4-BE49-F238E27FC236}">
              <a16:creationId xmlns:a16="http://schemas.microsoft.com/office/drawing/2014/main" id="{00000000-0008-0000-2200-00000C000000}"/>
            </a:ext>
          </a:extLst>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LPD-Exempt Interior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4S3">
      <xdr:nvSpPr>
        <xdr:cNvPr id="13" name="SUBMENU3">
          <a:hlinkClick xmlns:r="http://schemas.openxmlformats.org/officeDocument/2006/relationships" r:id="rId9"/>
          <a:extLst>
            <a:ext uri="{FF2B5EF4-FFF2-40B4-BE49-F238E27FC236}">
              <a16:creationId xmlns:a16="http://schemas.microsoft.com/office/drawing/2014/main" id="{00000000-0008-0000-2200-00000D000000}"/>
            </a:ext>
          </a:extLst>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4S4">
      <xdr:nvSpPr>
        <xdr:cNvPr id="14" name="SUBMENU4">
          <a:hlinkClick xmlns:r="http://schemas.openxmlformats.org/officeDocument/2006/relationships" r:id="rId10"/>
          <a:extLst>
            <a:ext uri="{FF2B5EF4-FFF2-40B4-BE49-F238E27FC236}">
              <a16:creationId xmlns:a16="http://schemas.microsoft.com/office/drawing/2014/main" id="{00000000-0008-0000-2200-00000E000000}"/>
            </a:ext>
          </a:extLst>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Motor / VFD / Pump</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4S5">
      <xdr:nvSpPr>
        <xdr:cNvPr id="15" name="SUBMENU5">
          <a:hlinkClick xmlns:r="http://schemas.openxmlformats.org/officeDocument/2006/relationships" r:id="rId11"/>
          <a:extLst>
            <a:ext uri="{FF2B5EF4-FFF2-40B4-BE49-F238E27FC236}">
              <a16:creationId xmlns:a16="http://schemas.microsoft.com/office/drawing/2014/main" id="{00000000-0008-0000-2200-00000F000000}"/>
            </a:ext>
          </a:extLst>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Compressed Air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12"/>
          <a:extLst>
            <a:ext uri="{FF2B5EF4-FFF2-40B4-BE49-F238E27FC236}">
              <a16:creationId xmlns:a16="http://schemas.microsoft.com/office/drawing/2014/main" id="{00000000-0008-0000-2200-000010000000}"/>
            </a:ext>
          </a:extLst>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13"/>
          <a:extLst>
            <a:ext uri="{FF2B5EF4-FFF2-40B4-BE49-F238E27FC236}">
              <a16:creationId xmlns:a16="http://schemas.microsoft.com/office/drawing/2014/main" id="{00000000-0008-0000-2200-000011000000}"/>
            </a:ext>
          </a:extLst>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5</xdr:row>
      <xdr:rowOff>83230</xdr:rowOff>
    </xdr:from>
    <xdr:to>
      <xdr:col>42</xdr:col>
      <xdr:colOff>0</xdr:colOff>
      <xdr:row>7</xdr:row>
      <xdr:rowOff>82550</xdr:rowOff>
    </xdr:to>
    <xdr:sp macro="" textlink="M4S8">
      <xdr:nvSpPr>
        <xdr:cNvPr id="18" name="SUBMENU8">
          <a:hlinkClick xmlns:r="http://schemas.openxmlformats.org/officeDocument/2006/relationships" r:id="rId14"/>
          <a:extLst>
            <a:ext uri="{FF2B5EF4-FFF2-40B4-BE49-F238E27FC236}">
              <a16:creationId xmlns:a16="http://schemas.microsoft.com/office/drawing/2014/main" id="{00000000-0008-0000-2200-000012000000}"/>
            </a:ext>
          </a:extLst>
        </xdr:cNvPr>
        <xdr:cNvSpPr/>
      </xdr:nvSpPr>
      <xdr:spPr>
        <a:xfrm>
          <a:off x="11632745" y="1083355"/>
          <a:ext cx="1568905"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Exterior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2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13"/>
          <a:extLst>
            <a:ext uri="{FF2B5EF4-FFF2-40B4-BE49-F238E27FC236}">
              <a16:creationId xmlns:a16="http://schemas.microsoft.com/office/drawing/2014/main" id="{00000000-0008-0000-2200-000014000000}"/>
            </a:ext>
          </a:extLst>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2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3" name="MENU7">
          <a:extLst>
            <a:ext uri="{FF2B5EF4-FFF2-40B4-BE49-F238E27FC236}">
              <a16:creationId xmlns:a16="http://schemas.microsoft.com/office/drawing/2014/main" id="{00000000-0008-0000-2200-000017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FORM4</a:t>
          </a:fld>
          <a:endParaRPr lang="en-US" sz="1100">
            <a:noFill/>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22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FORM4</a:t>
          </a:fld>
          <a:endParaRPr lang="en-US" sz="1100">
            <a:noFill/>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6" name="MENU7">
          <a:extLst>
            <a:ext uri="{FF2B5EF4-FFF2-40B4-BE49-F238E27FC236}">
              <a16:creationId xmlns:a16="http://schemas.microsoft.com/office/drawing/2014/main" id="{00000000-0008-0000-2200-00001A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FORM4</a:t>
          </a:fld>
          <a:endParaRPr lang="en-US" sz="1100">
            <a:noFill/>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30" name="MENU7">
          <a:extLst>
            <a:ext uri="{FF2B5EF4-FFF2-40B4-BE49-F238E27FC236}">
              <a16:creationId xmlns:a16="http://schemas.microsoft.com/office/drawing/2014/main" id="{00000000-0008-0000-2200-00001E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FORM4</a:t>
          </a:fld>
          <a:endParaRPr lang="en-US" sz="1100">
            <a:no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a:extLst>
            <a:ext uri="{FF2B5EF4-FFF2-40B4-BE49-F238E27FC236}">
              <a16:creationId xmlns:a16="http://schemas.microsoft.com/office/drawing/2014/main" id="{00000000-0008-0000-2200-00001F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a:extLst>
            <a:ext uri="{FF2B5EF4-FFF2-40B4-BE49-F238E27FC236}">
              <a16:creationId xmlns:a16="http://schemas.microsoft.com/office/drawing/2014/main" id="{00000000-0008-0000-2300-00000E000000}"/>
            </a:ext>
          </a:extLst>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Offer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2"/>
          <a:extLst>
            <a:ext uri="{FF2B5EF4-FFF2-40B4-BE49-F238E27FC236}">
              <a16:creationId xmlns:a16="http://schemas.microsoft.com/office/drawing/2014/main" id="{00000000-0008-0000-2300-00000F000000}"/>
            </a:ext>
          </a:extLst>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Completion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3"/>
          <a:extLst>
            <a:ext uri="{FF2B5EF4-FFF2-40B4-BE49-F238E27FC236}">
              <a16:creationId xmlns:a16="http://schemas.microsoft.com/office/drawing/2014/main" id="{00000000-0008-0000-2300-00000D000000}"/>
            </a:ext>
          </a:extLst>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Payment Info and Submittals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4"/>
          <a:extLst>
            <a:ext uri="{FF2B5EF4-FFF2-40B4-BE49-F238E27FC236}">
              <a16:creationId xmlns:a16="http://schemas.microsoft.com/office/drawing/2014/main" id="{00000000-0008-0000-2300-00000C000000}"/>
            </a:ext>
          </a:extLst>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Completion Checklist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5"/>
          <a:extLst>
            <a:ext uri="{FF2B5EF4-FFF2-40B4-BE49-F238E27FC236}">
              <a16:creationId xmlns:a16="http://schemas.microsoft.com/office/drawing/2014/main" id="{00000000-0008-0000-2300-000010000000}"/>
            </a:ext>
          </a:extLst>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Inspection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6"/>
          <a:extLst>
            <a:ext uri="{FF2B5EF4-FFF2-40B4-BE49-F238E27FC236}">
              <a16:creationId xmlns:a16="http://schemas.microsoft.com/office/drawing/2014/main" id="{00000000-0008-0000-2300-000011000000}"/>
            </a:ext>
          </a:extLst>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Summary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7"/>
          <a:extLst>
            <a:ext uri="{FF2B5EF4-FFF2-40B4-BE49-F238E27FC236}">
              <a16:creationId xmlns:a16="http://schemas.microsoft.com/office/drawing/2014/main" id="{00000000-0008-0000-2300-000012000000}"/>
            </a:ext>
          </a:extLst>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M6S8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8"/>
          <a:extLst>
            <a:ext uri="{FF2B5EF4-FFF2-40B4-BE49-F238E27FC236}">
              <a16:creationId xmlns:a16="http://schemas.microsoft.com/office/drawing/2014/main" id="{00000000-0008-0000-2300-000003000000}"/>
            </a:ext>
          </a:extLst>
        </xdr:cNvPr>
        <xdr:cNvSpPr/>
      </xdr:nvSpPr>
      <xdr:spPr>
        <a:xfrm>
          <a:off x="2200732" y="200025"/>
          <a:ext cx="1571168"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9"/>
          <a:extLst>
            <a:ext uri="{FF2B5EF4-FFF2-40B4-BE49-F238E27FC236}">
              <a16:creationId xmlns:a16="http://schemas.microsoft.com/office/drawing/2014/main" id="{00000000-0008-0000-2300-000004000000}"/>
            </a:ext>
          </a:extLst>
        </xdr:cNvPr>
        <xdr:cNvSpPr/>
      </xdr:nvSpPr>
      <xdr:spPr>
        <a:xfrm>
          <a:off x="377190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hidden="1">
          <a:hlinkClick xmlns:r="http://schemas.openxmlformats.org/officeDocument/2006/relationships" r:id="rId10"/>
          <a:extLst>
            <a:ext uri="{FF2B5EF4-FFF2-40B4-BE49-F238E27FC236}">
              <a16:creationId xmlns:a16="http://schemas.microsoft.com/office/drawing/2014/main" id="{00000000-0008-0000-2300-000005000000}"/>
            </a:ext>
          </a:extLst>
        </xdr:cNvPr>
        <xdr:cNvSpPr/>
      </xdr:nvSpPr>
      <xdr:spPr>
        <a:xfrm>
          <a:off x="534352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CODE-BASELINE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11"/>
          <a:extLst>
            <a:ext uri="{FF2B5EF4-FFF2-40B4-BE49-F238E27FC236}">
              <a16:creationId xmlns:a16="http://schemas.microsoft.com/office/drawing/2014/main" id="{00000000-0008-0000-2300-000006000000}"/>
            </a:ext>
          </a:extLst>
        </xdr:cNvPr>
        <xdr:cNvSpPr/>
      </xdr:nvSpPr>
      <xdr:spPr>
        <a:xfrm>
          <a:off x="691515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PRE-APPROVAL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hidden="1">
          <a:hlinkClick xmlns:r="http://schemas.openxmlformats.org/officeDocument/2006/relationships" r:id="rId12"/>
          <a:extLst>
            <a:ext uri="{FF2B5EF4-FFF2-40B4-BE49-F238E27FC236}">
              <a16:creationId xmlns:a16="http://schemas.microsoft.com/office/drawing/2014/main" id="{00000000-0008-0000-2300-000007000000}"/>
            </a:ext>
          </a:extLst>
        </xdr:cNvPr>
        <xdr:cNvSpPr/>
      </xdr:nvSpPr>
      <xdr:spPr>
        <a:xfrm>
          <a:off x="8486775" y="333375"/>
          <a:ext cx="1571625" cy="600075"/>
        </a:xfrm>
        <a:prstGeom prst="round2SameRect">
          <a:avLst/>
        </a:prstGeom>
        <a:solidFill>
          <a:srgbClr val="F3901D"/>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3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NEXT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3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2300-00000A000000}"/>
            </a:ext>
          </a:extLst>
        </xdr:cNvPr>
        <xdr:cNvSpPr/>
      </xdr:nvSpPr>
      <xdr:spPr>
        <a:xfrm>
          <a:off x="314325" y="800101"/>
          <a:ext cx="13515975" cy="600074"/>
        </a:xfrm>
        <a:prstGeom prst="round2SameRect">
          <a:avLst/>
        </a:prstGeom>
        <a:solidFill>
          <a:srgbClr val="F390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5S1">
      <xdr:nvSpPr>
        <xdr:cNvPr id="11" name="SUBMENU1">
          <a:hlinkClick xmlns:r="http://schemas.openxmlformats.org/officeDocument/2006/relationships" r:id="rId12"/>
          <a:extLst>
            <a:ext uri="{FF2B5EF4-FFF2-40B4-BE49-F238E27FC236}">
              <a16:creationId xmlns:a16="http://schemas.microsoft.com/office/drawing/2014/main" id="{00000000-0008-0000-2300-00000B000000}"/>
            </a:ext>
          </a:extLst>
        </xdr:cNvPr>
        <xdr:cNvSpPr/>
      </xdr:nvSpPr>
      <xdr:spPr>
        <a:xfrm>
          <a:off x="631370" y="1050925"/>
          <a:ext cx="1569362" cy="39785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Summary and Submittal Info</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3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3"/>
          <a:extLst>
            <a:ext uri="{FF2B5EF4-FFF2-40B4-BE49-F238E27FC236}">
              <a16:creationId xmlns:a16="http://schemas.microsoft.com/office/drawing/2014/main" id="{00000000-0008-0000-23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0</xdr:colOff>
      <xdr:row>1</xdr:row>
      <xdr:rowOff>0</xdr:rowOff>
    </xdr:from>
    <xdr:to>
      <xdr:col>5</xdr:col>
      <xdr:colOff>209550</xdr:colOff>
      <xdr:row>3</xdr:row>
      <xdr:rowOff>154218</xdr:rowOff>
    </xdr:to>
    <xdr:pic>
      <xdr:nvPicPr>
        <xdr:cNvPr id="30" name="LOGO">
          <a:extLst>
            <a:ext uri="{FF2B5EF4-FFF2-40B4-BE49-F238E27FC236}">
              <a16:creationId xmlns:a16="http://schemas.microsoft.com/office/drawing/2014/main" id="{00000000-0008-0000-2300-00001E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3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a:extLst>
            <a:ext uri="{FF2B5EF4-FFF2-40B4-BE49-F238E27FC236}">
              <a16:creationId xmlns:a16="http://schemas.microsoft.com/office/drawing/2014/main" id="{00000000-0008-0000-2400-00000E000000}"/>
            </a:ext>
          </a:extLst>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Offer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2"/>
          <a:extLst>
            <a:ext uri="{FF2B5EF4-FFF2-40B4-BE49-F238E27FC236}">
              <a16:creationId xmlns:a16="http://schemas.microsoft.com/office/drawing/2014/main" id="{00000000-0008-0000-2400-00000F000000}"/>
            </a:ext>
          </a:extLst>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Completion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3"/>
          <a:extLst>
            <a:ext uri="{FF2B5EF4-FFF2-40B4-BE49-F238E27FC236}">
              <a16:creationId xmlns:a16="http://schemas.microsoft.com/office/drawing/2014/main" id="{00000000-0008-0000-2400-00000D000000}"/>
            </a:ext>
          </a:extLst>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Payment Info and Submittals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51480</xdr:rowOff>
    </xdr:from>
    <xdr:to>
      <xdr:col>12</xdr:col>
      <xdr:colOff>2550</xdr:colOff>
      <xdr:row>7</xdr:row>
      <xdr:rowOff>50800</xdr:rowOff>
    </xdr:to>
    <xdr:sp macro="" textlink="M5S2">
      <xdr:nvSpPr>
        <xdr:cNvPr id="12" name="SUBMENU2">
          <a:hlinkClick xmlns:r="http://schemas.openxmlformats.org/officeDocument/2006/relationships" r:id="rId4"/>
          <a:extLst>
            <a:ext uri="{FF2B5EF4-FFF2-40B4-BE49-F238E27FC236}">
              <a16:creationId xmlns:a16="http://schemas.microsoft.com/office/drawing/2014/main" id="{00000000-0008-0000-2400-00000C000000}"/>
            </a:ext>
          </a:extLst>
        </xdr:cNvPr>
        <xdr:cNvSpPr/>
      </xdr:nvSpPr>
      <xdr:spPr>
        <a:xfrm>
          <a:off x="2202826"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Completion Checklist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5"/>
          <a:extLst>
            <a:ext uri="{FF2B5EF4-FFF2-40B4-BE49-F238E27FC236}">
              <a16:creationId xmlns:a16="http://schemas.microsoft.com/office/drawing/2014/main" id="{00000000-0008-0000-2400-000010000000}"/>
            </a:ext>
          </a:extLst>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Inspection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6"/>
          <a:extLst>
            <a:ext uri="{FF2B5EF4-FFF2-40B4-BE49-F238E27FC236}">
              <a16:creationId xmlns:a16="http://schemas.microsoft.com/office/drawing/2014/main" id="{00000000-0008-0000-2400-000011000000}"/>
            </a:ext>
          </a:extLst>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Summary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7"/>
          <a:extLst>
            <a:ext uri="{FF2B5EF4-FFF2-40B4-BE49-F238E27FC236}">
              <a16:creationId xmlns:a16="http://schemas.microsoft.com/office/drawing/2014/main" id="{00000000-0008-0000-2400-000012000000}"/>
            </a:ext>
          </a:extLst>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M6S8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8"/>
          <a:extLst>
            <a:ext uri="{FF2B5EF4-FFF2-40B4-BE49-F238E27FC236}">
              <a16:creationId xmlns:a16="http://schemas.microsoft.com/office/drawing/2014/main" id="{00000000-0008-0000-2400-000003000000}"/>
            </a:ext>
          </a:extLst>
        </xdr:cNvPr>
        <xdr:cNvSpPr/>
      </xdr:nvSpPr>
      <xdr:spPr>
        <a:xfrm>
          <a:off x="2200732" y="200025"/>
          <a:ext cx="1571168"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9"/>
          <a:extLst>
            <a:ext uri="{FF2B5EF4-FFF2-40B4-BE49-F238E27FC236}">
              <a16:creationId xmlns:a16="http://schemas.microsoft.com/office/drawing/2014/main" id="{00000000-0008-0000-2400-000004000000}"/>
            </a:ext>
          </a:extLst>
        </xdr:cNvPr>
        <xdr:cNvSpPr/>
      </xdr:nvSpPr>
      <xdr:spPr>
        <a:xfrm>
          <a:off x="377190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hidden="1">
          <a:hlinkClick xmlns:r="http://schemas.openxmlformats.org/officeDocument/2006/relationships" r:id="rId10"/>
          <a:extLst>
            <a:ext uri="{FF2B5EF4-FFF2-40B4-BE49-F238E27FC236}">
              <a16:creationId xmlns:a16="http://schemas.microsoft.com/office/drawing/2014/main" id="{00000000-0008-0000-2400-000005000000}"/>
            </a:ext>
          </a:extLst>
        </xdr:cNvPr>
        <xdr:cNvSpPr/>
      </xdr:nvSpPr>
      <xdr:spPr>
        <a:xfrm>
          <a:off x="534352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CODE-BASELINE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11"/>
          <a:extLst>
            <a:ext uri="{FF2B5EF4-FFF2-40B4-BE49-F238E27FC236}">
              <a16:creationId xmlns:a16="http://schemas.microsoft.com/office/drawing/2014/main" id="{00000000-0008-0000-2400-000006000000}"/>
            </a:ext>
          </a:extLst>
        </xdr:cNvPr>
        <xdr:cNvSpPr/>
      </xdr:nvSpPr>
      <xdr:spPr>
        <a:xfrm>
          <a:off x="691515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PRE-APPROVAL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hidden="1">
          <a:hlinkClick xmlns:r="http://schemas.openxmlformats.org/officeDocument/2006/relationships" r:id="rId12"/>
          <a:extLst>
            <a:ext uri="{FF2B5EF4-FFF2-40B4-BE49-F238E27FC236}">
              <a16:creationId xmlns:a16="http://schemas.microsoft.com/office/drawing/2014/main" id="{00000000-0008-0000-2400-000007000000}"/>
            </a:ext>
          </a:extLst>
        </xdr:cNvPr>
        <xdr:cNvSpPr/>
      </xdr:nvSpPr>
      <xdr:spPr>
        <a:xfrm>
          <a:off x="8486775" y="333375"/>
          <a:ext cx="1571625" cy="600075"/>
        </a:xfrm>
        <a:prstGeom prst="round2SameRect">
          <a:avLst/>
        </a:prstGeom>
        <a:solidFill>
          <a:srgbClr val="F3901D"/>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4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NEXT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4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2400-00000A000000}"/>
            </a:ext>
          </a:extLst>
        </xdr:cNvPr>
        <xdr:cNvSpPr/>
      </xdr:nvSpPr>
      <xdr:spPr>
        <a:xfrm>
          <a:off x="314325" y="800101"/>
          <a:ext cx="13515975" cy="600074"/>
        </a:xfrm>
        <a:prstGeom prst="round2SameRect">
          <a:avLst/>
        </a:prstGeom>
        <a:solidFill>
          <a:srgbClr val="F390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12"/>
          <a:extLst>
            <a:ext uri="{FF2B5EF4-FFF2-40B4-BE49-F238E27FC236}">
              <a16:creationId xmlns:a16="http://schemas.microsoft.com/office/drawing/2014/main" id="{00000000-0008-0000-2400-00000B000000}"/>
            </a:ext>
          </a:extLst>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Summary and Submittal Info</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4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0</xdr:colOff>
      <xdr:row>1</xdr:row>
      <xdr:rowOff>0</xdr:rowOff>
    </xdr:from>
    <xdr:to>
      <xdr:col>5</xdr:col>
      <xdr:colOff>209550</xdr:colOff>
      <xdr:row>3</xdr:row>
      <xdr:rowOff>154218</xdr:rowOff>
    </xdr:to>
    <xdr:pic>
      <xdr:nvPicPr>
        <xdr:cNvPr id="29" name="LOGO">
          <a:extLst>
            <a:ext uri="{FF2B5EF4-FFF2-40B4-BE49-F238E27FC236}">
              <a16:creationId xmlns:a16="http://schemas.microsoft.com/office/drawing/2014/main" id="{00000000-0008-0000-2400-00001D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25</xdr:row>
          <xdr:rowOff>9525</xdr:rowOff>
        </xdr:from>
        <xdr:to>
          <xdr:col>10</xdr:col>
          <xdr:colOff>304800</xdr:colOff>
          <xdr:row>26</xdr:row>
          <xdr:rowOff>0</xdr:rowOff>
        </xdr:to>
        <xdr:sp macro="" textlink="">
          <xdr:nvSpPr>
            <xdr:cNvPr id="220161" name="M05S02TB1" hidden="1">
              <a:extLst>
                <a:ext uri="{63B3BB69-23CF-44E3-9099-C40C66FF867C}">
                  <a14:compatExt spid="_x0000_s220161"/>
                </a:ext>
                <a:ext uri="{FF2B5EF4-FFF2-40B4-BE49-F238E27FC236}">
                  <a16:creationId xmlns:a16="http://schemas.microsoft.com/office/drawing/2014/main" id="{00000000-0008-0000-2400-0000015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9525</xdr:rowOff>
        </xdr:from>
        <xdr:to>
          <xdr:col>11</xdr:col>
          <xdr:colOff>304800</xdr:colOff>
          <xdr:row>29</xdr:row>
          <xdr:rowOff>0</xdr:rowOff>
        </xdr:to>
        <xdr:sp macro="" textlink="">
          <xdr:nvSpPr>
            <xdr:cNvPr id="220162" name="M05S02TB1" hidden="1">
              <a:extLst>
                <a:ext uri="{63B3BB69-23CF-44E3-9099-C40C66FF867C}">
                  <a14:compatExt spid="_x0000_s220162"/>
                </a:ext>
                <a:ext uri="{FF2B5EF4-FFF2-40B4-BE49-F238E27FC236}">
                  <a16:creationId xmlns:a16="http://schemas.microsoft.com/office/drawing/2014/main" id="{00000000-0008-0000-2400-0000025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29</xdr:row>
          <xdr:rowOff>9525</xdr:rowOff>
        </xdr:from>
        <xdr:to>
          <xdr:col>11</xdr:col>
          <xdr:colOff>304800</xdr:colOff>
          <xdr:row>30</xdr:row>
          <xdr:rowOff>0</xdr:rowOff>
        </xdr:to>
        <xdr:sp macro="" textlink="">
          <xdr:nvSpPr>
            <xdr:cNvPr id="220163" name="M05S02TB1" hidden="1">
              <a:extLst>
                <a:ext uri="{63B3BB69-23CF-44E3-9099-C40C66FF867C}">
                  <a14:compatExt spid="_x0000_s220163"/>
                </a:ext>
                <a:ext uri="{FF2B5EF4-FFF2-40B4-BE49-F238E27FC236}">
                  <a16:creationId xmlns:a16="http://schemas.microsoft.com/office/drawing/2014/main" id="{00000000-0008-0000-2400-0000035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30</xdr:row>
          <xdr:rowOff>9525</xdr:rowOff>
        </xdr:from>
        <xdr:to>
          <xdr:col>11</xdr:col>
          <xdr:colOff>304800</xdr:colOff>
          <xdr:row>31</xdr:row>
          <xdr:rowOff>0</xdr:rowOff>
        </xdr:to>
        <xdr:sp macro="" textlink="">
          <xdr:nvSpPr>
            <xdr:cNvPr id="220164" name="M05S02TB1" hidden="1">
              <a:extLst>
                <a:ext uri="{63B3BB69-23CF-44E3-9099-C40C66FF867C}">
                  <a14:compatExt spid="_x0000_s220164"/>
                </a:ext>
                <a:ext uri="{FF2B5EF4-FFF2-40B4-BE49-F238E27FC236}">
                  <a16:creationId xmlns:a16="http://schemas.microsoft.com/office/drawing/2014/main" id="{00000000-0008-0000-2400-0000045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32</xdr:row>
          <xdr:rowOff>9525</xdr:rowOff>
        </xdr:from>
        <xdr:to>
          <xdr:col>10</xdr:col>
          <xdr:colOff>304800</xdr:colOff>
          <xdr:row>33</xdr:row>
          <xdr:rowOff>0</xdr:rowOff>
        </xdr:to>
        <xdr:sp macro="" textlink="">
          <xdr:nvSpPr>
            <xdr:cNvPr id="220165" name="M05S02TB1" hidden="1">
              <a:extLst>
                <a:ext uri="{63B3BB69-23CF-44E3-9099-C40C66FF867C}">
                  <a14:compatExt spid="_x0000_s220165"/>
                </a:ext>
                <a:ext uri="{FF2B5EF4-FFF2-40B4-BE49-F238E27FC236}">
                  <a16:creationId xmlns:a16="http://schemas.microsoft.com/office/drawing/2014/main" id="{00000000-0008-0000-2400-0000055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36</xdr:row>
          <xdr:rowOff>0</xdr:rowOff>
        </xdr:from>
        <xdr:to>
          <xdr:col>10</xdr:col>
          <xdr:colOff>304800</xdr:colOff>
          <xdr:row>36</xdr:row>
          <xdr:rowOff>190500</xdr:rowOff>
        </xdr:to>
        <xdr:sp macro="" textlink="">
          <xdr:nvSpPr>
            <xdr:cNvPr id="220166" name="Check Box 6" hidden="1">
              <a:extLst>
                <a:ext uri="{63B3BB69-23CF-44E3-9099-C40C66FF867C}">
                  <a14:compatExt spid="_x0000_s220166"/>
                </a:ext>
                <a:ext uri="{FF2B5EF4-FFF2-40B4-BE49-F238E27FC236}">
                  <a16:creationId xmlns:a16="http://schemas.microsoft.com/office/drawing/2014/main" id="{00000000-0008-0000-2400-0000065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38</xdr:row>
          <xdr:rowOff>0</xdr:rowOff>
        </xdr:from>
        <xdr:to>
          <xdr:col>10</xdr:col>
          <xdr:colOff>304800</xdr:colOff>
          <xdr:row>38</xdr:row>
          <xdr:rowOff>190500</xdr:rowOff>
        </xdr:to>
        <xdr:sp macro="" textlink="">
          <xdr:nvSpPr>
            <xdr:cNvPr id="220167" name="Check Box 7" hidden="1">
              <a:extLst>
                <a:ext uri="{63B3BB69-23CF-44E3-9099-C40C66FF867C}">
                  <a14:compatExt spid="_x0000_s220167"/>
                </a:ext>
                <a:ext uri="{FF2B5EF4-FFF2-40B4-BE49-F238E27FC236}">
                  <a16:creationId xmlns:a16="http://schemas.microsoft.com/office/drawing/2014/main" id="{00000000-0008-0000-2400-0000075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11</xdr:col>
          <xdr:colOff>304800</xdr:colOff>
          <xdr:row>39</xdr:row>
          <xdr:rowOff>190500</xdr:rowOff>
        </xdr:to>
        <xdr:sp macro="" textlink="">
          <xdr:nvSpPr>
            <xdr:cNvPr id="220168" name="Check Box 8" hidden="1">
              <a:extLst>
                <a:ext uri="{63B3BB69-23CF-44E3-9099-C40C66FF867C}">
                  <a14:compatExt spid="_x0000_s220168"/>
                </a:ext>
                <a:ext uri="{FF2B5EF4-FFF2-40B4-BE49-F238E27FC236}">
                  <a16:creationId xmlns:a16="http://schemas.microsoft.com/office/drawing/2014/main" id="{00000000-0008-0000-2400-0000085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41</xdr:row>
          <xdr:rowOff>0</xdr:rowOff>
        </xdr:from>
        <xdr:to>
          <xdr:col>11</xdr:col>
          <xdr:colOff>304800</xdr:colOff>
          <xdr:row>41</xdr:row>
          <xdr:rowOff>190500</xdr:rowOff>
        </xdr:to>
        <xdr:sp macro="" textlink="">
          <xdr:nvSpPr>
            <xdr:cNvPr id="220169" name="Check Box 9" hidden="1">
              <a:extLst>
                <a:ext uri="{63B3BB69-23CF-44E3-9099-C40C66FF867C}">
                  <a14:compatExt spid="_x0000_s220169"/>
                </a:ext>
                <a:ext uri="{FF2B5EF4-FFF2-40B4-BE49-F238E27FC236}">
                  <a16:creationId xmlns:a16="http://schemas.microsoft.com/office/drawing/2014/main" id="{00000000-0008-0000-2400-0000095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44</xdr:row>
          <xdr:rowOff>0</xdr:rowOff>
        </xdr:from>
        <xdr:to>
          <xdr:col>10</xdr:col>
          <xdr:colOff>304800</xdr:colOff>
          <xdr:row>44</xdr:row>
          <xdr:rowOff>190500</xdr:rowOff>
        </xdr:to>
        <xdr:sp macro="" textlink="">
          <xdr:nvSpPr>
            <xdr:cNvPr id="220170" name="Check Box 10" hidden="1">
              <a:extLst>
                <a:ext uri="{63B3BB69-23CF-44E3-9099-C40C66FF867C}">
                  <a14:compatExt spid="_x0000_s220170"/>
                </a:ext>
                <a:ext uri="{FF2B5EF4-FFF2-40B4-BE49-F238E27FC236}">
                  <a16:creationId xmlns:a16="http://schemas.microsoft.com/office/drawing/2014/main" id="{00000000-0008-0000-2400-00000A5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45</xdr:row>
          <xdr:rowOff>0</xdr:rowOff>
        </xdr:from>
        <xdr:to>
          <xdr:col>11</xdr:col>
          <xdr:colOff>304800</xdr:colOff>
          <xdr:row>45</xdr:row>
          <xdr:rowOff>190500</xdr:rowOff>
        </xdr:to>
        <xdr:sp macro="" textlink="">
          <xdr:nvSpPr>
            <xdr:cNvPr id="220171" name="Check Box 11" hidden="1">
              <a:extLst>
                <a:ext uri="{63B3BB69-23CF-44E3-9099-C40C66FF867C}">
                  <a14:compatExt spid="_x0000_s220171"/>
                </a:ext>
                <a:ext uri="{FF2B5EF4-FFF2-40B4-BE49-F238E27FC236}">
                  <a16:creationId xmlns:a16="http://schemas.microsoft.com/office/drawing/2014/main" id="{00000000-0008-0000-2400-00000B5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46</xdr:row>
          <xdr:rowOff>0</xdr:rowOff>
        </xdr:from>
        <xdr:to>
          <xdr:col>11</xdr:col>
          <xdr:colOff>304800</xdr:colOff>
          <xdr:row>46</xdr:row>
          <xdr:rowOff>190500</xdr:rowOff>
        </xdr:to>
        <xdr:sp macro="" textlink="">
          <xdr:nvSpPr>
            <xdr:cNvPr id="220172" name="Check Box 12" hidden="1">
              <a:extLst>
                <a:ext uri="{63B3BB69-23CF-44E3-9099-C40C66FF867C}">
                  <a14:compatExt spid="_x0000_s220172"/>
                </a:ext>
                <a:ext uri="{FF2B5EF4-FFF2-40B4-BE49-F238E27FC236}">
                  <a16:creationId xmlns:a16="http://schemas.microsoft.com/office/drawing/2014/main" id="{00000000-0008-0000-2400-00000C5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11</xdr:col>
          <xdr:colOff>304800</xdr:colOff>
          <xdr:row>47</xdr:row>
          <xdr:rowOff>190500</xdr:rowOff>
        </xdr:to>
        <xdr:sp macro="" textlink="">
          <xdr:nvSpPr>
            <xdr:cNvPr id="220173" name="Check Box 13" hidden="1">
              <a:extLst>
                <a:ext uri="{63B3BB69-23CF-44E3-9099-C40C66FF867C}">
                  <a14:compatExt spid="_x0000_s220173"/>
                </a:ext>
                <a:ext uri="{FF2B5EF4-FFF2-40B4-BE49-F238E27FC236}">
                  <a16:creationId xmlns:a16="http://schemas.microsoft.com/office/drawing/2014/main" id="{00000000-0008-0000-2400-00000D5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51</xdr:row>
          <xdr:rowOff>0</xdr:rowOff>
        </xdr:from>
        <xdr:to>
          <xdr:col>10</xdr:col>
          <xdr:colOff>304800</xdr:colOff>
          <xdr:row>51</xdr:row>
          <xdr:rowOff>190500</xdr:rowOff>
        </xdr:to>
        <xdr:sp macro="" textlink="">
          <xdr:nvSpPr>
            <xdr:cNvPr id="220174" name="Check Box 14" hidden="1">
              <a:extLst>
                <a:ext uri="{63B3BB69-23CF-44E3-9099-C40C66FF867C}">
                  <a14:compatExt spid="_x0000_s220174"/>
                </a:ext>
                <a:ext uri="{FF2B5EF4-FFF2-40B4-BE49-F238E27FC236}">
                  <a16:creationId xmlns:a16="http://schemas.microsoft.com/office/drawing/2014/main" id="{00000000-0008-0000-2400-00000E5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11</xdr:col>
          <xdr:colOff>304800</xdr:colOff>
          <xdr:row>52</xdr:row>
          <xdr:rowOff>190500</xdr:rowOff>
        </xdr:to>
        <xdr:sp macro="" textlink="">
          <xdr:nvSpPr>
            <xdr:cNvPr id="220175" name="Check Box 15" hidden="1">
              <a:extLst>
                <a:ext uri="{63B3BB69-23CF-44E3-9099-C40C66FF867C}">
                  <a14:compatExt spid="_x0000_s220175"/>
                </a:ext>
                <a:ext uri="{FF2B5EF4-FFF2-40B4-BE49-F238E27FC236}">
                  <a16:creationId xmlns:a16="http://schemas.microsoft.com/office/drawing/2014/main" id="{00000000-0008-0000-2400-00000F5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53</xdr:row>
          <xdr:rowOff>0</xdr:rowOff>
        </xdr:from>
        <xdr:to>
          <xdr:col>11</xdr:col>
          <xdr:colOff>304800</xdr:colOff>
          <xdr:row>53</xdr:row>
          <xdr:rowOff>190500</xdr:rowOff>
        </xdr:to>
        <xdr:sp macro="" textlink="">
          <xdr:nvSpPr>
            <xdr:cNvPr id="220176" name="Check Box 16" hidden="1">
              <a:extLst>
                <a:ext uri="{63B3BB69-23CF-44E3-9099-C40C66FF867C}">
                  <a14:compatExt spid="_x0000_s220176"/>
                </a:ext>
                <a:ext uri="{FF2B5EF4-FFF2-40B4-BE49-F238E27FC236}">
                  <a16:creationId xmlns:a16="http://schemas.microsoft.com/office/drawing/2014/main" id="{00000000-0008-0000-2400-0000105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55</xdr:row>
          <xdr:rowOff>0</xdr:rowOff>
        </xdr:from>
        <xdr:to>
          <xdr:col>10</xdr:col>
          <xdr:colOff>304800</xdr:colOff>
          <xdr:row>55</xdr:row>
          <xdr:rowOff>190500</xdr:rowOff>
        </xdr:to>
        <xdr:sp macro="" textlink="">
          <xdr:nvSpPr>
            <xdr:cNvPr id="220177" name="Check Box 17" hidden="1">
              <a:extLst>
                <a:ext uri="{63B3BB69-23CF-44E3-9099-C40C66FF867C}">
                  <a14:compatExt spid="_x0000_s220177"/>
                </a:ext>
                <a:ext uri="{FF2B5EF4-FFF2-40B4-BE49-F238E27FC236}">
                  <a16:creationId xmlns:a16="http://schemas.microsoft.com/office/drawing/2014/main" id="{00000000-0008-0000-2400-0000115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xdr:row>
          <xdr:rowOff>0</xdr:rowOff>
        </xdr:from>
        <xdr:to>
          <xdr:col>10</xdr:col>
          <xdr:colOff>304800</xdr:colOff>
          <xdr:row>57</xdr:row>
          <xdr:rowOff>190500</xdr:rowOff>
        </xdr:to>
        <xdr:sp macro="" textlink="">
          <xdr:nvSpPr>
            <xdr:cNvPr id="220178" name="Check Box 18" hidden="1">
              <a:extLst>
                <a:ext uri="{63B3BB69-23CF-44E3-9099-C40C66FF867C}">
                  <a14:compatExt spid="_x0000_s220178"/>
                </a:ext>
                <a:ext uri="{FF2B5EF4-FFF2-40B4-BE49-F238E27FC236}">
                  <a16:creationId xmlns:a16="http://schemas.microsoft.com/office/drawing/2014/main" id="{00000000-0008-0000-2400-0000125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59</xdr:row>
          <xdr:rowOff>0</xdr:rowOff>
        </xdr:from>
        <xdr:to>
          <xdr:col>10</xdr:col>
          <xdr:colOff>304800</xdr:colOff>
          <xdr:row>59</xdr:row>
          <xdr:rowOff>190500</xdr:rowOff>
        </xdr:to>
        <xdr:sp macro="" textlink="">
          <xdr:nvSpPr>
            <xdr:cNvPr id="220179" name="Check Box 19" hidden="1">
              <a:extLst>
                <a:ext uri="{63B3BB69-23CF-44E3-9099-C40C66FF867C}">
                  <a14:compatExt spid="_x0000_s220179"/>
                </a:ext>
                <a:ext uri="{FF2B5EF4-FFF2-40B4-BE49-F238E27FC236}">
                  <a16:creationId xmlns:a16="http://schemas.microsoft.com/office/drawing/2014/main" id="{00000000-0008-0000-2400-0000135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63</xdr:row>
          <xdr:rowOff>0</xdr:rowOff>
        </xdr:from>
        <xdr:to>
          <xdr:col>10</xdr:col>
          <xdr:colOff>304800</xdr:colOff>
          <xdr:row>63</xdr:row>
          <xdr:rowOff>190500</xdr:rowOff>
        </xdr:to>
        <xdr:sp macro="" textlink="">
          <xdr:nvSpPr>
            <xdr:cNvPr id="220183" name="Check Box 23" hidden="1">
              <a:extLst>
                <a:ext uri="{63B3BB69-23CF-44E3-9099-C40C66FF867C}">
                  <a14:compatExt spid="_x0000_s220183"/>
                </a:ext>
                <a:ext uri="{FF2B5EF4-FFF2-40B4-BE49-F238E27FC236}">
                  <a16:creationId xmlns:a16="http://schemas.microsoft.com/office/drawing/2014/main" id="{00000000-0008-0000-2400-0000175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66</xdr:row>
          <xdr:rowOff>0</xdr:rowOff>
        </xdr:from>
        <xdr:to>
          <xdr:col>10</xdr:col>
          <xdr:colOff>304800</xdr:colOff>
          <xdr:row>66</xdr:row>
          <xdr:rowOff>190500</xdr:rowOff>
        </xdr:to>
        <xdr:sp macro="" textlink="">
          <xdr:nvSpPr>
            <xdr:cNvPr id="220184" name="Check Box 24" hidden="1">
              <a:extLst>
                <a:ext uri="{63B3BB69-23CF-44E3-9099-C40C66FF867C}">
                  <a14:compatExt spid="_x0000_s220184"/>
                </a:ext>
                <a:ext uri="{FF2B5EF4-FFF2-40B4-BE49-F238E27FC236}">
                  <a16:creationId xmlns:a16="http://schemas.microsoft.com/office/drawing/2014/main" id="{00000000-0008-0000-2400-0000185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69</xdr:row>
          <xdr:rowOff>0</xdr:rowOff>
        </xdr:from>
        <xdr:to>
          <xdr:col>10</xdr:col>
          <xdr:colOff>304800</xdr:colOff>
          <xdr:row>69</xdr:row>
          <xdr:rowOff>190500</xdr:rowOff>
        </xdr:to>
        <xdr:sp macro="" textlink="">
          <xdr:nvSpPr>
            <xdr:cNvPr id="220185" name="Check Box 25" hidden="1">
              <a:extLst>
                <a:ext uri="{63B3BB69-23CF-44E3-9099-C40C66FF867C}">
                  <a14:compatExt spid="_x0000_s220185"/>
                </a:ext>
                <a:ext uri="{FF2B5EF4-FFF2-40B4-BE49-F238E27FC236}">
                  <a16:creationId xmlns:a16="http://schemas.microsoft.com/office/drawing/2014/main" id="{00000000-0008-0000-2400-0000195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67</xdr:row>
          <xdr:rowOff>0</xdr:rowOff>
        </xdr:from>
        <xdr:to>
          <xdr:col>11</xdr:col>
          <xdr:colOff>304800</xdr:colOff>
          <xdr:row>67</xdr:row>
          <xdr:rowOff>190500</xdr:rowOff>
        </xdr:to>
        <xdr:sp macro="" textlink="">
          <xdr:nvSpPr>
            <xdr:cNvPr id="220186" name="Check Box 26" hidden="1">
              <a:extLst>
                <a:ext uri="{63B3BB69-23CF-44E3-9099-C40C66FF867C}">
                  <a14:compatExt spid="_x0000_s220186"/>
                </a:ext>
                <a:ext uri="{FF2B5EF4-FFF2-40B4-BE49-F238E27FC236}">
                  <a16:creationId xmlns:a16="http://schemas.microsoft.com/office/drawing/2014/main" id="{00000000-0008-0000-2400-00001A5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9525</xdr:rowOff>
        </xdr:from>
        <xdr:to>
          <xdr:col>10</xdr:col>
          <xdr:colOff>304800</xdr:colOff>
          <xdr:row>28</xdr:row>
          <xdr:rowOff>0</xdr:rowOff>
        </xdr:to>
        <xdr:sp macro="" textlink="">
          <xdr:nvSpPr>
            <xdr:cNvPr id="220187" name="M05S02TB1" hidden="1">
              <a:extLst>
                <a:ext uri="{63B3BB69-23CF-44E3-9099-C40C66FF867C}">
                  <a14:compatExt spid="_x0000_s220187"/>
                </a:ext>
                <a:ext uri="{FF2B5EF4-FFF2-40B4-BE49-F238E27FC236}">
                  <a16:creationId xmlns:a16="http://schemas.microsoft.com/office/drawing/2014/main" id="{00000000-0008-0000-2400-00001B5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0</xdr:colOff>
      <xdr:row>25</xdr:row>
      <xdr:rowOff>0</xdr:rowOff>
    </xdr:from>
    <xdr:to>
      <xdr:col>19</xdr:col>
      <xdr:colOff>0</xdr:colOff>
      <xdr:row>26</xdr:row>
      <xdr:rowOff>0</xdr:rowOff>
    </xdr:to>
    <xdr:sp macro="" textlink="">
      <xdr:nvSpPr>
        <xdr:cNvPr id="57" name="Rectangle 56">
          <a:hlinkClick xmlns:r="http://schemas.openxmlformats.org/officeDocument/2006/relationships" r:id="rId14"/>
          <a:extLst>
            <a:ext uri="{FF2B5EF4-FFF2-40B4-BE49-F238E27FC236}">
              <a16:creationId xmlns:a16="http://schemas.microsoft.com/office/drawing/2014/main" id="{00000000-0008-0000-2400-000039000000}"/>
            </a:ext>
          </a:extLst>
        </xdr:cNvPr>
        <xdr:cNvSpPr/>
      </xdr:nvSpPr>
      <xdr:spPr>
        <a:xfrm>
          <a:off x="1885950" y="3800475"/>
          <a:ext cx="25146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27</xdr:row>
      <xdr:rowOff>0</xdr:rowOff>
    </xdr:from>
    <xdr:to>
      <xdr:col>19</xdr:col>
      <xdr:colOff>0</xdr:colOff>
      <xdr:row>28</xdr:row>
      <xdr:rowOff>0</xdr:rowOff>
    </xdr:to>
    <xdr:sp macro="" textlink="">
      <xdr:nvSpPr>
        <xdr:cNvPr id="58" name="Rectangle 57">
          <a:hlinkClick xmlns:r="http://schemas.openxmlformats.org/officeDocument/2006/relationships" r:id="rId3"/>
          <a:extLst>
            <a:ext uri="{FF2B5EF4-FFF2-40B4-BE49-F238E27FC236}">
              <a16:creationId xmlns:a16="http://schemas.microsoft.com/office/drawing/2014/main" id="{00000000-0008-0000-2400-00003A000000}"/>
            </a:ext>
          </a:extLst>
        </xdr:cNvPr>
        <xdr:cNvSpPr/>
      </xdr:nvSpPr>
      <xdr:spPr>
        <a:xfrm>
          <a:off x="1885950" y="4200525"/>
          <a:ext cx="25146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313764</xdr:colOff>
      <xdr:row>28</xdr:row>
      <xdr:rowOff>0</xdr:rowOff>
    </xdr:from>
    <xdr:to>
      <xdr:col>24</xdr:col>
      <xdr:colOff>313764</xdr:colOff>
      <xdr:row>29</xdr:row>
      <xdr:rowOff>0</xdr:rowOff>
    </xdr:to>
    <xdr:sp macro="" textlink="">
      <xdr:nvSpPr>
        <xdr:cNvPr id="59" name="Rectangle 58">
          <a:hlinkClick xmlns:r="http://schemas.openxmlformats.org/officeDocument/2006/relationships" r:id="rId15"/>
          <a:extLst>
            <a:ext uri="{FF2B5EF4-FFF2-40B4-BE49-F238E27FC236}">
              <a16:creationId xmlns:a16="http://schemas.microsoft.com/office/drawing/2014/main" id="{00000000-0008-0000-2400-00003B000000}"/>
            </a:ext>
          </a:extLst>
        </xdr:cNvPr>
        <xdr:cNvSpPr/>
      </xdr:nvSpPr>
      <xdr:spPr>
        <a:xfrm>
          <a:off x="2199714" y="4400550"/>
          <a:ext cx="408622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0</xdr:colOff>
      <xdr:row>29</xdr:row>
      <xdr:rowOff>0</xdr:rowOff>
    </xdr:from>
    <xdr:to>
      <xdr:col>27</xdr:col>
      <xdr:colOff>0</xdr:colOff>
      <xdr:row>30</xdr:row>
      <xdr:rowOff>0</xdr:rowOff>
    </xdr:to>
    <xdr:sp macro="" textlink="">
      <xdr:nvSpPr>
        <xdr:cNvPr id="60" name="Rectangle 59">
          <a:hlinkClick xmlns:r="http://schemas.openxmlformats.org/officeDocument/2006/relationships" r:id="rId16"/>
          <a:extLst>
            <a:ext uri="{FF2B5EF4-FFF2-40B4-BE49-F238E27FC236}">
              <a16:creationId xmlns:a16="http://schemas.microsoft.com/office/drawing/2014/main" id="{00000000-0008-0000-2400-00003C000000}"/>
            </a:ext>
          </a:extLst>
        </xdr:cNvPr>
        <xdr:cNvSpPr/>
      </xdr:nvSpPr>
      <xdr:spPr>
        <a:xfrm>
          <a:off x="2200275" y="4600575"/>
          <a:ext cx="471487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xdr:colOff>
      <xdr:row>30</xdr:row>
      <xdr:rowOff>-1</xdr:rowOff>
    </xdr:from>
    <xdr:to>
      <xdr:col>23</xdr:col>
      <xdr:colOff>1</xdr:colOff>
      <xdr:row>31</xdr:row>
      <xdr:rowOff>0</xdr:rowOff>
    </xdr:to>
    <xdr:sp macro="" textlink="">
      <xdr:nvSpPr>
        <xdr:cNvPr id="61" name="Rectangle 60">
          <a:hlinkClick xmlns:r="http://schemas.openxmlformats.org/officeDocument/2006/relationships" r:id="rId17"/>
          <a:extLst>
            <a:ext uri="{FF2B5EF4-FFF2-40B4-BE49-F238E27FC236}">
              <a16:creationId xmlns:a16="http://schemas.microsoft.com/office/drawing/2014/main" id="{00000000-0008-0000-2400-00003D000000}"/>
            </a:ext>
          </a:extLst>
        </xdr:cNvPr>
        <xdr:cNvSpPr/>
      </xdr:nvSpPr>
      <xdr:spPr>
        <a:xfrm>
          <a:off x="2200276" y="4800599"/>
          <a:ext cx="3457575" cy="2000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xdr:colOff>
      <xdr:row>32</xdr:row>
      <xdr:rowOff>11205</xdr:rowOff>
    </xdr:from>
    <xdr:to>
      <xdr:col>22</xdr:col>
      <xdr:colOff>1</xdr:colOff>
      <xdr:row>33</xdr:row>
      <xdr:rowOff>0</xdr:rowOff>
    </xdr:to>
    <xdr:sp macro="" textlink="">
      <xdr:nvSpPr>
        <xdr:cNvPr id="62" name="Rectangle 61">
          <a:hlinkClick xmlns:r="http://schemas.openxmlformats.org/officeDocument/2006/relationships" r:id="rId18"/>
          <a:extLst>
            <a:ext uri="{FF2B5EF4-FFF2-40B4-BE49-F238E27FC236}">
              <a16:creationId xmlns:a16="http://schemas.microsoft.com/office/drawing/2014/main" id="{00000000-0008-0000-2400-00003E000000}"/>
            </a:ext>
          </a:extLst>
        </xdr:cNvPr>
        <xdr:cNvSpPr/>
      </xdr:nvSpPr>
      <xdr:spPr>
        <a:xfrm>
          <a:off x="1885951" y="5211855"/>
          <a:ext cx="3457575" cy="1888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36</xdr:row>
      <xdr:rowOff>0</xdr:rowOff>
    </xdr:from>
    <xdr:to>
      <xdr:col>22</xdr:col>
      <xdr:colOff>0</xdr:colOff>
      <xdr:row>37</xdr:row>
      <xdr:rowOff>0</xdr:rowOff>
    </xdr:to>
    <xdr:sp macro="" textlink="">
      <xdr:nvSpPr>
        <xdr:cNvPr id="63" name="Rectangle 62">
          <a:hlinkClick xmlns:r="http://schemas.openxmlformats.org/officeDocument/2006/relationships" r:id="rId19"/>
          <a:extLst>
            <a:ext uri="{FF2B5EF4-FFF2-40B4-BE49-F238E27FC236}">
              <a16:creationId xmlns:a16="http://schemas.microsoft.com/office/drawing/2014/main" id="{00000000-0008-0000-2400-00003F000000}"/>
            </a:ext>
          </a:extLst>
        </xdr:cNvPr>
        <xdr:cNvSpPr/>
      </xdr:nvSpPr>
      <xdr:spPr>
        <a:xfrm>
          <a:off x="1885950" y="6200775"/>
          <a:ext cx="345757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51</xdr:row>
      <xdr:rowOff>0</xdr:rowOff>
    </xdr:from>
    <xdr:to>
      <xdr:col>21</xdr:col>
      <xdr:colOff>0</xdr:colOff>
      <xdr:row>52</xdr:row>
      <xdr:rowOff>0</xdr:rowOff>
    </xdr:to>
    <xdr:sp macro="" textlink="">
      <xdr:nvSpPr>
        <xdr:cNvPr id="64" name="Rectangle 63">
          <a:hlinkClick xmlns:r="http://schemas.openxmlformats.org/officeDocument/2006/relationships" r:id="rId10"/>
          <a:extLst>
            <a:ext uri="{FF2B5EF4-FFF2-40B4-BE49-F238E27FC236}">
              <a16:creationId xmlns:a16="http://schemas.microsoft.com/office/drawing/2014/main" id="{00000000-0008-0000-2400-000040000000}"/>
            </a:ext>
          </a:extLst>
        </xdr:cNvPr>
        <xdr:cNvSpPr/>
      </xdr:nvSpPr>
      <xdr:spPr>
        <a:xfrm>
          <a:off x="1885950" y="9201150"/>
          <a:ext cx="314325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313763</xdr:colOff>
      <xdr:row>63</xdr:row>
      <xdr:rowOff>0</xdr:rowOff>
    </xdr:from>
    <xdr:to>
      <xdr:col>20</xdr:col>
      <xdr:colOff>-1</xdr:colOff>
      <xdr:row>64</xdr:row>
      <xdr:rowOff>0</xdr:rowOff>
    </xdr:to>
    <xdr:sp macro="" textlink="">
      <xdr:nvSpPr>
        <xdr:cNvPr id="66" name="Rectangle 65">
          <a:hlinkClick xmlns:r="http://schemas.openxmlformats.org/officeDocument/2006/relationships" r:id="rId11"/>
          <a:extLst>
            <a:ext uri="{FF2B5EF4-FFF2-40B4-BE49-F238E27FC236}">
              <a16:creationId xmlns:a16="http://schemas.microsoft.com/office/drawing/2014/main" id="{00000000-0008-0000-2400-000042000000}"/>
            </a:ext>
          </a:extLst>
        </xdr:cNvPr>
        <xdr:cNvSpPr/>
      </xdr:nvSpPr>
      <xdr:spPr>
        <a:xfrm>
          <a:off x="1885388" y="13601700"/>
          <a:ext cx="2829486"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0</xdr:colOff>
      <xdr:row>52</xdr:row>
      <xdr:rowOff>0</xdr:rowOff>
    </xdr:from>
    <xdr:to>
      <xdr:col>19</xdr:col>
      <xdr:colOff>0</xdr:colOff>
      <xdr:row>53</xdr:row>
      <xdr:rowOff>0</xdr:rowOff>
    </xdr:to>
    <xdr:sp macro="" textlink="">
      <xdr:nvSpPr>
        <xdr:cNvPr id="67" name="Rectangle 66">
          <a:hlinkClick xmlns:r="http://schemas.openxmlformats.org/officeDocument/2006/relationships" r:id="rId20"/>
          <a:extLst>
            <a:ext uri="{FF2B5EF4-FFF2-40B4-BE49-F238E27FC236}">
              <a16:creationId xmlns:a16="http://schemas.microsoft.com/office/drawing/2014/main" id="{00000000-0008-0000-2400-000043000000}"/>
            </a:ext>
          </a:extLst>
        </xdr:cNvPr>
        <xdr:cNvSpPr/>
      </xdr:nvSpPr>
      <xdr:spPr>
        <a:xfrm>
          <a:off x="2200275" y="9401175"/>
          <a:ext cx="220027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0</xdr:colOff>
      <xdr:row>53</xdr:row>
      <xdr:rowOff>0</xdr:rowOff>
    </xdr:from>
    <xdr:to>
      <xdr:col>28</xdr:col>
      <xdr:colOff>0</xdr:colOff>
      <xdr:row>54</xdr:row>
      <xdr:rowOff>0</xdr:rowOff>
    </xdr:to>
    <xdr:sp macro="" textlink="">
      <xdr:nvSpPr>
        <xdr:cNvPr id="68" name="Rectangle 67">
          <a:hlinkClick xmlns:r="http://schemas.openxmlformats.org/officeDocument/2006/relationships" r:id="rId21"/>
          <a:extLst>
            <a:ext uri="{FF2B5EF4-FFF2-40B4-BE49-F238E27FC236}">
              <a16:creationId xmlns:a16="http://schemas.microsoft.com/office/drawing/2014/main" id="{00000000-0008-0000-2400-000044000000}"/>
            </a:ext>
          </a:extLst>
        </xdr:cNvPr>
        <xdr:cNvSpPr/>
      </xdr:nvSpPr>
      <xdr:spPr>
        <a:xfrm>
          <a:off x="2200275" y="9601200"/>
          <a:ext cx="50292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31</xdr:col>
      <xdr:colOff>0</xdr:colOff>
      <xdr:row>16</xdr:row>
      <xdr:rowOff>0</xdr:rowOff>
    </xdr:from>
    <xdr:to>
      <xdr:col>34</xdr:col>
      <xdr:colOff>194975</xdr:colOff>
      <xdr:row>18</xdr:row>
      <xdr:rowOff>201705</xdr:rowOff>
    </xdr:to>
    <xdr:pic>
      <xdr:nvPicPr>
        <xdr:cNvPr id="69" name="LOGO2">
          <a:extLst>
            <a:ext uri="{FF2B5EF4-FFF2-40B4-BE49-F238E27FC236}">
              <a16:creationId xmlns:a16="http://schemas.microsoft.com/office/drawing/2014/main" id="{00000000-0008-0000-2400-000045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726706" y="2823882"/>
          <a:ext cx="1136269" cy="605117"/>
        </a:xfrm>
        <a:prstGeom prst="rect">
          <a:avLst/>
        </a:prstGeom>
      </xdr:spPr>
    </xdr:pic>
    <xdr:clientData/>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4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305115</xdr:colOff>
      <xdr:row>4</xdr:row>
      <xdr:rowOff>200705</xdr:rowOff>
    </xdr:from>
    <xdr:to>
      <xdr:col>26</xdr:col>
      <xdr:colOff>305115</xdr:colOff>
      <xdr:row>7</xdr:row>
      <xdr:rowOff>0</xdr:rowOff>
    </xdr:to>
    <xdr:sp macro="" textlink="M1S3">
      <xdr:nvSpPr>
        <xdr:cNvPr id="16" name="SUBMENU3">
          <a:hlinkClick xmlns:r="http://schemas.openxmlformats.org/officeDocument/2006/relationships" r:id="rId1"/>
          <a:extLst>
            <a:ext uri="{FF2B5EF4-FFF2-40B4-BE49-F238E27FC236}">
              <a16:creationId xmlns:a16="http://schemas.microsoft.com/office/drawing/2014/main" id="{00000000-0008-0000-0A00-000010000000}"/>
            </a:ext>
          </a:extLst>
        </xdr:cNvPr>
        <xdr:cNvSpPr/>
      </xdr:nvSpPr>
      <xdr:spPr>
        <a:xfrm>
          <a:off x="6894174" y="1007529"/>
          <a:ext cx="1568823" cy="40441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Information Links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1S6">
      <xdr:nvSpPr>
        <xdr:cNvPr id="2" name="SUBMENU6">
          <a:hlinkClick xmlns:r="http://schemas.openxmlformats.org/officeDocument/2006/relationships" r:id="rId2"/>
          <a:extLst>
            <a:ext uri="{FF2B5EF4-FFF2-40B4-BE49-F238E27FC236}">
              <a16:creationId xmlns:a16="http://schemas.microsoft.com/office/drawing/2014/main" id="{00000000-0008-0000-0A00-000002000000}"/>
            </a:ext>
          </a:extLst>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3" name="SUBMENU7">
          <a:hlinkClick xmlns:r="http://schemas.openxmlformats.org/officeDocument/2006/relationships" r:id="rId3"/>
          <a:extLst>
            <a:ext uri="{FF2B5EF4-FFF2-40B4-BE49-F238E27FC236}">
              <a16:creationId xmlns:a16="http://schemas.microsoft.com/office/drawing/2014/main" id="{00000000-0008-0000-0A00-000003000000}"/>
            </a:ext>
          </a:extLst>
        </xdr:cNvPr>
        <xdr:cNvSpPr/>
      </xdr:nvSpPr>
      <xdr:spPr>
        <a:xfrm>
          <a:off x="10061265" y="1000805"/>
          <a:ext cx="1571480"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4" name="SUBMENU8">
          <a:hlinkClick xmlns:r="http://schemas.openxmlformats.org/officeDocument/2006/relationships" r:id="rId4"/>
          <a:extLst>
            <a:ext uri="{FF2B5EF4-FFF2-40B4-BE49-F238E27FC236}">
              <a16:creationId xmlns:a16="http://schemas.microsoft.com/office/drawing/2014/main" id="{00000000-0008-0000-0A00-000004000000}"/>
            </a:ext>
          </a:extLst>
        </xdr:cNvPr>
        <xdr:cNvSpPr/>
      </xdr:nvSpPr>
      <xdr:spPr>
        <a:xfrm>
          <a:off x="11632745" y="1000805"/>
          <a:ext cx="1568905"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5" name="NEXT">
          <a:hlinkClick xmlns:r="http://schemas.openxmlformats.org/officeDocument/2006/relationships" r:id="rId1"/>
          <a:extLst>
            <a:ext uri="{FF2B5EF4-FFF2-40B4-BE49-F238E27FC236}">
              <a16:creationId xmlns:a16="http://schemas.microsoft.com/office/drawing/2014/main" id="{00000000-0008-0000-0A00-000005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3008</xdr:colOff>
      <xdr:row>1</xdr:row>
      <xdr:rowOff>133351</xdr:rowOff>
    </xdr:from>
    <xdr:to>
      <xdr:col>12</xdr:col>
      <xdr:colOff>2551</xdr:colOff>
      <xdr:row>4</xdr:row>
      <xdr:rowOff>133351</xdr:rowOff>
    </xdr:to>
    <xdr:sp macro="" textlink="MAIN1">
      <xdr:nvSpPr>
        <xdr:cNvPr id="6" name="MENU1">
          <a:hlinkClick xmlns:r="http://schemas.openxmlformats.org/officeDocument/2006/relationships" r:id="rId5"/>
          <a:extLst>
            <a:ext uri="{FF2B5EF4-FFF2-40B4-BE49-F238E27FC236}">
              <a16:creationId xmlns:a16="http://schemas.microsoft.com/office/drawing/2014/main" id="{00000000-0008-0000-0A00-000006000000}"/>
            </a:ext>
          </a:extLst>
        </xdr:cNvPr>
        <xdr:cNvSpPr/>
      </xdr:nvSpPr>
      <xdr:spPr>
        <a:xfrm>
          <a:off x="2203283" y="333376"/>
          <a:ext cx="1571168" cy="600075"/>
        </a:xfrm>
        <a:prstGeom prst="round2SameRect">
          <a:avLst/>
        </a:prstGeom>
        <a:solidFill>
          <a:srgbClr val="F3901D"/>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START</a:t>
          </a:fld>
          <a:endParaRPr lang="en-US" sz="110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1</xdr:row>
      <xdr:rowOff>0</xdr:rowOff>
    </xdr:from>
    <xdr:to>
      <xdr:col>17</xdr:col>
      <xdr:colOff>2551</xdr:colOff>
      <xdr:row>4</xdr:row>
      <xdr:rowOff>0</xdr:rowOff>
    </xdr:to>
    <xdr:sp macro="" textlink="MAIN2">
      <xdr:nvSpPr>
        <xdr:cNvPr id="7" name="MENU2">
          <a:hlinkClick xmlns:r="http://schemas.openxmlformats.org/officeDocument/2006/relationships" r:id="rId6"/>
          <a:extLst>
            <a:ext uri="{FF2B5EF4-FFF2-40B4-BE49-F238E27FC236}">
              <a16:creationId xmlns:a16="http://schemas.microsoft.com/office/drawing/2014/main" id="{00000000-0008-0000-0A00-000007000000}"/>
            </a:ext>
          </a:extLst>
        </xdr:cNvPr>
        <xdr:cNvSpPr/>
      </xdr:nvSpPr>
      <xdr:spPr>
        <a:xfrm>
          <a:off x="3774451"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8" name="MENU3" hidden="1">
          <a:hlinkClick xmlns:r="http://schemas.openxmlformats.org/officeDocument/2006/relationships" r:id="rId7"/>
          <a:extLst>
            <a:ext uri="{FF2B5EF4-FFF2-40B4-BE49-F238E27FC236}">
              <a16:creationId xmlns:a16="http://schemas.microsoft.com/office/drawing/2014/main" id="{00000000-0008-0000-0A00-000008000000}"/>
            </a:ext>
          </a:extLst>
        </xdr:cNvPr>
        <xdr:cNvSpPr/>
      </xdr:nvSpPr>
      <xdr:spPr>
        <a:xfrm>
          <a:off x="534352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CODE-BASELINE MEASURES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9" name="MENU4" hidden="1">
          <a:hlinkClick xmlns:r="http://schemas.openxmlformats.org/officeDocument/2006/relationships" r:id="rId8"/>
          <a:extLst>
            <a:ext uri="{FF2B5EF4-FFF2-40B4-BE49-F238E27FC236}">
              <a16:creationId xmlns:a16="http://schemas.microsoft.com/office/drawing/2014/main" id="{00000000-0008-0000-0A00-000009000000}"/>
            </a:ext>
          </a:extLst>
        </xdr:cNvPr>
        <xdr:cNvSpPr/>
      </xdr:nvSpPr>
      <xdr:spPr>
        <a:xfrm>
          <a:off x="691515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PRE-APPROVAL MEASURES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10" name="MENU5" hidden="1">
          <a:hlinkClick xmlns:r="http://schemas.openxmlformats.org/officeDocument/2006/relationships" r:id="rId9"/>
          <a:extLst>
            <a:ext uri="{FF2B5EF4-FFF2-40B4-BE49-F238E27FC236}">
              <a16:creationId xmlns:a16="http://schemas.microsoft.com/office/drawing/2014/main" id="{00000000-0008-0000-0A00-00000A000000}"/>
            </a:ext>
          </a:extLst>
        </xdr:cNvPr>
        <xdr:cNvSpPr/>
      </xdr:nvSpPr>
      <xdr:spPr>
        <a:xfrm>
          <a:off x="848677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11" name="MENU6">
          <a:extLst>
            <a:ext uri="{FF2B5EF4-FFF2-40B4-BE49-F238E27FC236}">
              <a16:creationId xmlns:a16="http://schemas.microsoft.com/office/drawing/2014/main" id="{00000000-0008-0000-0A00-00000B000000}"/>
            </a:ext>
          </a:extLst>
        </xdr:cNvPr>
        <xdr:cNvSpPr/>
      </xdr:nvSpPr>
      <xdr:spPr>
        <a:xfrm>
          <a:off x="10058398" y="200026"/>
          <a:ext cx="1571626" cy="600075"/>
        </a:xfrm>
        <a:prstGeom prst="round2SameRect">
          <a:avLst/>
        </a:prstGeom>
        <a:noFill/>
        <a:ln w="25400">
          <a:noFill/>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ln>
                <a:noFill/>
              </a:ln>
              <a:noFill/>
              <a:latin typeface="Arial" panose="020B0604020202020204" pitchFamily="34" charset="0"/>
              <a:cs typeface="Arial" panose="020B0604020202020204" pitchFamily="34" charset="0"/>
            </a:rPr>
            <a:pPr algn="ctr"/>
            <a:t>NEXT STEPS</a:t>
          </a:fld>
          <a:endParaRPr lang="en-US" sz="1100">
            <a:ln>
              <a:noFill/>
            </a:ln>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2" name="MENU7">
          <a:extLst>
            <a:ext uri="{FF2B5EF4-FFF2-40B4-BE49-F238E27FC236}">
              <a16:creationId xmlns:a16="http://schemas.microsoft.com/office/drawing/2014/main" id="{00000000-0008-0000-0A00-00000C000000}"/>
            </a:ext>
          </a:extLst>
        </xdr:cNvPr>
        <xdr:cNvSpPr/>
      </xdr:nvSpPr>
      <xdr:spPr>
        <a:xfrm>
          <a:off x="11630024" y="200025"/>
          <a:ext cx="1571625" cy="600075"/>
        </a:xfrm>
        <a:prstGeom prst="round2SameRect">
          <a:avLst/>
        </a:prstGeom>
        <a:noFill/>
        <a:ln w="25400">
          <a:noFill/>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ln>
                <a:noFill/>
              </a:ln>
              <a:noFill/>
              <a:latin typeface="Arial" panose="020B0604020202020204" pitchFamily="34" charset="0"/>
              <a:cs typeface="Arial" panose="020B0604020202020204" pitchFamily="34" charset="0"/>
            </a:rPr>
            <a:pPr algn="ctr"/>
            <a:t>FORM4</a:t>
          </a:fld>
          <a:endParaRPr lang="en-US" sz="1100">
            <a:ln>
              <a:noFill/>
            </a:ln>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3" name="TOPRIBBON">
          <a:extLst>
            <a:ext uri="{FF2B5EF4-FFF2-40B4-BE49-F238E27FC236}">
              <a16:creationId xmlns:a16="http://schemas.microsoft.com/office/drawing/2014/main" id="{00000000-0008-0000-0A00-00000D000000}"/>
            </a:ext>
          </a:extLst>
        </xdr:cNvPr>
        <xdr:cNvSpPr/>
      </xdr:nvSpPr>
      <xdr:spPr>
        <a:xfrm>
          <a:off x="314325" y="800101"/>
          <a:ext cx="13515975" cy="600074"/>
        </a:xfrm>
        <a:prstGeom prst="round2SameRect">
          <a:avLst/>
        </a:prstGeom>
        <a:solidFill>
          <a:srgbClr val="F390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chemeClr val="bg1"/>
            </a:solidFill>
          </a:endParaRPr>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4" name="SUBMENU1">
          <a:hlinkClick xmlns:r="http://schemas.openxmlformats.org/officeDocument/2006/relationships" r:id="rId5"/>
          <a:extLst>
            <a:ext uri="{FF2B5EF4-FFF2-40B4-BE49-F238E27FC236}">
              <a16:creationId xmlns:a16="http://schemas.microsoft.com/office/drawing/2014/main" id="{00000000-0008-0000-0A00-00000E000000}"/>
            </a:ext>
          </a:extLst>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Welcome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51480</xdr:rowOff>
    </xdr:from>
    <xdr:to>
      <xdr:col>12</xdr:col>
      <xdr:colOff>2550</xdr:colOff>
      <xdr:row>7</xdr:row>
      <xdr:rowOff>50800</xdr:rowOff>
    </xdr:to>
    <xdr:sp macro="" textlink="M1S2">
      <xdr:nvSpPr>
        <xdr:cNvPr id="15" name="SUBMENU2">
          <a:hlinkClick xmlns:r="http://schemas.openxmlformats.org/officeDocument/2006/relationships" r:id="rId10"/>
          <a:extLst>
            <a:ext uri="{FF2B5EF4-FFF2-40B4-BE49-F238E27FC236}">
              <a16:creationId xmlns:a16="http://schemas.microsoft.com/office/drawing/2014/main" id="{00000000-0008-0000-0A00-00000F000000}"/>
            </a:ext>
          </a:extLst>
        </xdr:cNvPr>
        <xdr:cNvSpPr/>
      </xdr:nvSpPr>
      <xdr:spPr>
        <a:xfrm>
          <a:off x="2202826"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Construction Handbook</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13755</xdr:colOff>
      <xdr:row>4</xdr:row>
      <xdr:rowOff>200705</xdr:rowOff>
    </xdr:from>
    <xdr:to>
      <xdr:col>17</xdr:col>
      <xdr:colOff>13754</xdr:colOff>
      <xdr:row>7</xdr:row>
      <xdr:rowOff>0</xdr:rowOff>
    </xdr:to>
    <xdr:sp macro="" textlink="M1S3">
      <xdr:nvSpPr>
        <xdr:cNvPr id="17" name="SUBMENU4">
          <a:hlinkClick xmlns:r="http://schemas.openxmlformats.org/officeDocument/2006/relationships" r:id="rId1"/>
          <a:extLst>
            <a:ext uri="{FF2B5EF4-FFF2-40B4-BE49-F238E27FC236}">
              <a16:creationId xmlns:a16="http://schemas.microsoft.com/office/drawing/2014/main" id="{00000000-0008-0000-0A00-000011000000}"/>
            </a:ext>
          </a:extLst>
        </xdr:cNvPr>
        <xdr:cNvSpPr/>
      </xdr:nvSpPr>
      <xdr:spPr>
        <a:xfrm>
          <a:off x="3778931" y="1007529"/>
          <a:ext cx="1568823" cy="40441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9BF1FA0-E67A-460C-836E-B6DF70CD829C}" type="TxLink">
            <a:rPr lang="en-US" sz="1100" b="0" i="0" u="none" strike="noStrike">
              <a:solidFill>
                <a:schemeClr val="bg1"/>
              </a:solidFill>
              <a:latin typeface="Arial" panose="020B0604020202020204" pitchFamily="34" charset="0"/>
              <a:cs typeface="Arial" panose="020B0604020202020204" pitchFamily="34" charset="0"/>
            </a:rPr>
            <a:pPr algn="ctr"/>
            <a:t>Information Links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13755</xdr:colOff>
      <xdr:row>4</xdr:row>
      <xdr:rowOff>200705</xdr:rowOff>
    </xdr:from>
    <xdr:to>
      <xdr:col>22</xdr:col>
      <xdr:colOff>13752</xdr:colOff>
      <xdr:row>7</xdr:row>
      <xdr:rowOff>0</xdr:rowOff>
    </xdr:to>
    <xdr:sp macro="" textlink="M1S4">
      <xdr:nvSpPr>
        <xdr:cNvPr id="18" name="SUBMENU5">
          <a:hlinkClick xmlns:r="http://schemas.openxmlformats.org/officeDocument/2006/relationships" r:id="rId11"/>
          <a:extLst>
            <a:ext uri="{FF2B5EF4-FFF2-40B4-BE49-F238E27FC236}">
              <a16:creationId xmlns:a16="http://schemas.microsoft.com/office/drawing/2014/main" id="{00000000-0008-0000-0A00-000012000000}"/>
            </a:ext>
          </a:extLst>
        </xdr:cNvPr>
        <xdr:cNvSpPr/>
      </xdr:nvSpPr>
      <xdr:spPr>
        <a:xfrm>
          <a:off x="5347755" y="1007529"/>
          <a:ext cx="1568821" cy="40441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F354117-82F6-417B-A015-76BD92EF4EAE}" type="TxLink">
            <a:rPr lang="en-US" sz="1100" b="0" i="0" u="none" strike="noStrike">
              <a:solidFill>
                <a:schemeClr val="bg1"/>
              </a:solidFill>
              <a:latin typeface="Arial" panose="020B0604020202020204" pitchFamily="34" charset="0"/>
              <a:cs typeface="Arial" panose="020B0604020202020204" pitchFamily="34" charset="0"/>
            </a:rPr>
            <a:pPr algn="ctr"/>
            <a:t>Operating Hours Calculator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A00-000013000000}"/>
            </a:ext>
          </a:extLst>
        </xdr:cNvPr>
        <xdr:cNvSpPr>
          <a:spLocks noChangeAspect="1"/>
        </xdr:cNvSpPr>
      </xdr:nvSpPr>
      <xdr:spPr>
        <a:xfrm>
          <a:off x="314883" y="1600199"/>
          <a:ext cx="13515417" cy="3820477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0"/>
          <a:extLst>
            <a:ext uri="{FF2B5EF4-FFF2-40B4-BE49-F238E27FC236}">
              <a16:creationId xmlns:a16="http://schemas.microsoft.com/office/drawing/2014/main" id="{00000000-0008-0000-0A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A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2" name="LOGO">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xdr:from>
      <xdr:col>37</xdr:col>
      <xdr:colOff>13926</xdr:colOff>
      <xdr:row>9</xdr:row>
      <xdr:rowOff>1207</xdr:rowOff>
    </xdr:from>
    <xdr:to>
      <xdr:col>40</xdr:col>
      <xdr:colOff>13926</xdr:colOff>
      <xdr:row>11</xdr:row>
      <xdr:rowOff>1207</xdr:rowOff>
    </xdr:to>
    <xdr:sp macro="" textlink="">
      <xdr:nvSpPr>
        <xdr:cNvPr id="23" name="Rounded Rectangle 22">
          <a:hlinkClick xmlns:r="http://schemas.openxmlformats.org/officeDocument/2006/relationships" r:id="rId13"/>
          <a:extLst>
            <a:ext uri="{FF2B5EF4-FFF2-40B4-BE49-F238E27FC236}">
              <a16:creationId xmlns:a16="http://schemas.microsoft.com/office/drawing/2014/main" id="{00000000-0008-0000-0A00-000017000000}"/>
            </a:ext>
          </a:extLst>
        </xdr:cNvPr>
        <xdr:cNvSpPr/>
      </xdr:nvSpPr>
      <xdr:spPr>
        <a:xfrm>
          <a:off x="11643951" y="1801432"/>
          <a:ext cx="942975" cy="400050"/>
        </a:xfrm>
        <a:prstGeom prst="roundRect">
          <a:avLst/>
        </a:prstGeom>
        <a:solidFill>
          <a:srgbClr val="1B6CB5"/>
        </a:solidFill>
        <a:ln>
          <a:noFill/>
        </a:ln>
        <a:scene3d>
          <a:camera prst="orthographicFront"/>
          <a:lightRig rig="threePt" dir="t"/>
        </a:scene3d>
        <a:sp3d>
          <a:bevelT w="508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100"/>
            <a:t>Download PDF Version</a:t>
          </a:r>
        </a:p>
      </xdr:txBody>
    </xdr:sp>
    <xdr:clientData fPrintsWithSheet="0"/>
  </xdr:twoCellAnchor>
  <xdr:twoCellAnchor>
    <xdr:from>
      <xdr:col>23</xdr:col>
      <xdr:colOff>85726</xdr:colOff>
      <xdr:row>15</xdr:row>
      <xdr:rowOff>104775</xdr:rowOff>
    </xdr:from>
    <xdr:to>
      <xdr:col>24</xdr:col>
      <xdr:colOff>209551</xdr:colOff>
      <xdr:row>16</xdr:row>
      <xdr:rowOff>66675</xdr:rowOff>
    </xdr:to>
    <xdr:sp macro="" textlink="">
      <xdr:nvSpPr>
        <xdr:cNvPr id="25" name="TextBox 24">
          <a:hlinkClick xmlns:r="http://schemas.openxmlformats.org/officeDocument/2006/relationships" r:id="rId11"/>
          <a:extLst>
            <a:ext uri="{FF2B5EF4-FFF2-40B4-BE49-F238E27FC236}">
              <a16:creationId xmlns:a16="http://schemas.microsoft.com/office/drawing/2014/main" id="{00000000-0008-0000-0A00-000019000000}"/>
            </a:ext>
          </a:extLst>
        </xdr:cNvPr>
        <xdr:cNvSpPr txBox="1"/>
      </xdr:nvSpPr>
      <xdr:spPr>
        <a:xfrm>
          <a:off x="7315201" y="3105150"/>
          <a:ext cx="4381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89646</xdr:colOff>
      <xdr:row>134</xdr:row>
      <xdr:rowOff>33619</xdr:rowOff>
    </xdr:from>
    <xdr:to>
      <xdr:col>10</xdr:col>
      <xdr:colOff>168088</xdr:colOff>
      <xdr:row>135</xdr:row>
      <xdr:rowOff>0</xdr:rowOff>
    </xdr:to>
    <xdr:sp macro="" textlink="">
      <xdr:nvSpPr>
        <xdr:cNvPr id="26" name="Rectangle 25">
          <a:hlinkClick xmlns:r="http://schemas.openxmlformats.org/officeDocument/2006/relationships" r:id="rId14"/>
          <a:extLst>
            <a:ext uri="{FF2B5EF4-FFF2-40B4-BE49-F238E27FC236}">
              <a16:creationId xmlns:a16="http://schemas.microsoft.com/office/drawing/2014/main" id="{00000000-0008-0000-0A00-00001A000000}"/>
            </a:ext>
          </a:extLst>
        </xdr:cNvPr>
        <xdr:cNvSpPr/>
      </xdr:nvSpPr>
      <xdr:spPr>
        <a:xfrm>
          <a:off x="1030940" y="27062207"/>
          <a:ext cx="2274795" cy="1680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163605</xdr:colOff>
      <xdr:row>133</xdr:row>
      <xdr:rowOff>29137</xdr:rowOff>
    </xdr:from>
    <xdr:to>
      <xdr:col>9</xdr:col>
      <xdr:colOff>56030</xdr:colOff>
      <xdr:row>134</xdr:row>
      <xdr:rowOff>0</xdr:rowOff>
    </xdr:to>
    <xdr:sp macro="" textlink="">
      <xdr:nvSpPr>
        <xdr:cNvPr id="27" name="Rectangle 26">
          <a:hlinkClick xmlns:r="http://schemas.openxmlformats.org/officeDocument/2006/relationships" r:id="rId15"/>
          <a:extLst>
            <a:ext uri="{FF2B5EF4-FFF2-40B4-BE49-F238E27FC236}">
              <a16:creationId xmlns:a16="http://schemas.microsoft.com/office/drawing/2014/main" id="{00000000-0008-0000-0A00-00001B000000}"/>
            </a:ext>
          </a:extLst>
        </xdr:cNvPr>
        <xdr:cNvSpPr/>
      </xdr:nvSpPr>
      <xdr:spPr>
        <a:xfrm>
          <a:off x="1104899" y="26856019"/>
          <a:ext cx="1775013" cy="1725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a:extLst>
            <a:ext uri="{FF2B5EF4-FFF2-40B4-BE49-F238E27FC236}">
              <a16:creationId xmlns:a16="http://schemas.microsoft.com/office/drawing/2014/main" id="{00000000-0008-0000-2500-00000E000000}"/>
            </a:ext>
          </a:extLst>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Offer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5</xdr:row>
      <xdr:rowOff>51480</xdr:rowOff>
    </xdr:from>
    <xdr:to>
      <xdr:col>17</xdr:col>
      <xdr:colOff>2550</xdr:colOff>
      <xdr:row>7</xdr:row>
      <xdr:rowOff>50800</xdr:rowOff>
    </xdr:to>
    <xdr:sp macro="" textlink="M5S3">
      <xdr:nvSpPr>
        <xdr:cNvPr id="13" name="SUBMENU3">
          <a:hlinkClick xmlns:r="http://schemas.openxmlformats.org/officeDocument/2006/relationships" r:id="rId2"/>
          <a:extLst>
            <a:ext uri="{FF2B5EF4-FFF2-40B4-BE49-F238E27FC236}">
              <a16:creationId xmlns:a16="http://schemas.microsoft.com/office/drawing/2014/main" id="{00000000-0008-0000-2500-00000D000000}"/>
            </a:ext>
          </a:extLst>
        </xdr:cNvPr>
        <xdr:cNvSpPr/>
      </xdr:nvSpPr>
      <xdr:spPr>
        <a:xfrm>
          <a:off x="3774451"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Payment Info and Submittals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3"/>
          <a:extLst>
            <a:ext uri="{FF2B5EF4-FFF2-40B4-BE49-F238E27FC236}">
              <a16:creationId xmlns:a16="http://schemas.microsoft.com/office/drawing/2014/main" id="{00000000-0008-0000-2500-00000C000000}"/>
            </a:ext>
          </a:extLst>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Completion Checklist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4"/>
          <a:extLst>
            <a:ext uri="{FF2B5EF4-FFF2-40B4-BE49-F238E27FC236}">
              <a16:creationId xmlns:a16="http://schemas.microsoft.com/office/drawing/2014/main" id="{00000000-0008-0000-2500-000010000000}"/>
            </a:ext>
          </a:extLst>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Inspection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5"/>
          <a:extLst>
            <a:ext uri="{FF2B5EF4-FFF2-40B4-BE49-F238E27FC236}">
              <a16:creationId xmlns:a16="http://schemas.microsoft.com/office/drawing/2014/main" id="{00000000-0008-0000-2500-000011000000}"/>
            </a:ext>
          </a:extLst>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Summary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6"/>
          <a:extLst>
            <a:ext uri="{FF2B5EF4-FFF2-40B4-BE49-F238E27FC236}">
              <a16:creationId xmlns:a16="http://schemas.microsoft.com/office/drawing/2014/main" id="{00000000-0008-0000-2500-000012000000}"/>
            </a:ext>
          </a:extLst>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M6S8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a:extLst>
            <a:ext uri="{FF2B5EF4-FFF2-40B4-BE49-F238E27FC236}">
              <a16:creationId xmlns:a16="http://schemas.microsoft.com/office/drawing/2014/main" id="{00000000-0008-0000-2500-000003000000}"/>
            </a:ext>
          </a:extLst>
        </xdr:cNvPr>
        <xdr:cNvSpPr/>
      </xdr:nvSpPr>
      <xdr:spPr>
        <a:xfrm>
          <a:off x="2200732" y="200025"/>
          <a:ext cx="1571168"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8"/>
          <a:extLst>
            <a:ext uri="{FF2B5EF4-FFF2-40B4-BE49-F238E27FC236}">
              <a16:creationId xmlns:a16="http://schemas.microsoft.com/office/drawing/2014/main" id="{00000000-0008-0000-2500-000004000000}"/>
            </a:ext>
          </a:extLst>
        </xdr:cNvPr>
        <xdr:cNvSpPr/>
      </xdr:nvSpPr>
      <xdr:spPr>
        <a:xfrm>
          <a:off x="377190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hidden="1">
          <a:hlinkClick xmlns:r="http://schemas.openxmlformats.org/officeDocument/2006/relationships" r:id="rId9"/>
          <a:extLst>
            <a:ext uri="{FF2B5EF4-FFF2-40B4-BE49-F238E27FC236}">
              <a16:creationId xmlns:a16="http://schemas.microsoft.com/office/drawing/2014/main" id="{00000000-0008-0000-2500-000005000000}"/>
            </a:ext>
          </a:extLst>
        </xdr:cNvPr>
        <xdr:cNvSpPr/>
      </xdr:nvSpPr>
      <xdr:spPr>
        <a:xfrm>
          <a:off x="534352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CODE-BASELINE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10"/>
          <a:extLst>
            <a:ext uri="{FF2B5EF4-FFF2-40B4-BE49-F238E27FC236}">
              <a16:creationId xmlns:a16="http://schemas.microsoft.com/office/drawing/2014/main" id="{00000000-0008-0000-2500-000006000000}"/>
            </a:ext>
          </a:extLst>
        </xdr:cNvPr>
        <xdr:cNvSpPr/>
      </xdr:nvSpPr>
      <xdr:spPr>
        <a:xfrm>
          <a:off x="691515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PRE-APPROVAL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hidden="1">
          <a:hlinkClick xmlns:r="http://schemas.openxmlformats.org/officeDocument/2006/relationships" r:id="rId11"/>
          <a:extLst>
            <a:ext uri="{FF2B5EF4-FFF2-40B4-BE49-F238E27FC236}">
              <a16:creationId xmlns:a16="http://schemas.microsoft.com/office/drawing/2014/main" id="{00000000-0008-0000-2500-000007000000}"/>
            </a:ext>
          </a:extLst>
        </xdr:cNvPr>
        <xdr:cNvSpPr/>
      </xdr:nvSpPr>
      <xdr:spPr>
        <a:xfrm>
          <a:off x="8486775" y="333375"/>
          <a:ext cx="1571625" cy="600075"/>
        </a:xfrm>
        <a:prstGeom prst="round2SameRect">
          <a:avLst/>
        </a:prstGeom>
        <a:solidFill>
          <a:srgbClr val="F3901D"/>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5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NEXT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5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2500-00000A000000}"/>
            </a:ext>
          </a:extLst>
        </xdr:cNvPr>
        <xdr:cNvSpPr/>
      </xdr:nvSpPr>
      <xdr:spPr>
        <a:xfrm>
          <a:off x="314325" y="800101"/>
          <a:ext cx="13515975" cy="600074"/>
        </a:xfrm>
        <a:prstGeom prst="round2SameRect">
          <a:avLst/>
        </a:prstGeom>
        <a:solidFill>
          <a:srgbClr val="F390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11"/>
          <a:extLst>
            <a:ext uri="{FF2B5EF4-FFF2-40B4-BE49-F238E27FC236}">
              <a16:creationId xmlns:a16="http://schemas.microsoft.com/office/drawing/2014/main" id="{00000000-0008-0000-2500-00000B000000}"/>
            </a:ext>
          </a:extLst>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Summary and Submittal Info</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5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0</xdr:colOff>
      <xdr:row>1</xdr:row>
      <xdr:rowOff>0</xdr:rowOff>
    </xdr:from>
    <xdr:to>
      <xdr:col>5</xdr:col>
      <xdr:colOff>209550</xdr:colOff>
      <xdr:row>3</xdr:row>
      <xdr:rowOff>154218</xdr:rowOff>
    </xdr:to>
    <xdr:pic>
      <xdr:nvPicPr>
        <xdr:cNvPr id="28" name="LOGO">
          <a:extLst>
            <a:ext uri="{FF2B5EF4-FFF2-40B4-BE49-F238E27FC236}">
              <a16:creationId xmlns:a16="http://schemas.microsoft.com/office/drawing/2014/main" id="{00000000-0008-0000-2500-00001C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xdr:from>
      <xdr:col>32</xdr:col>
      <xdr:colOff>11205</xdr:colOff>
      <xdr:row>15</xdr:row>
      <xdr:rowOff>190500</xdr:rowOff>
    </xdr:from>
    <xdr:to>
      <xdr:col>37</xdr:col>
      <xdr:colOff>145677</xdr:colOff>
      <xdr:row>16</xdr:row>
      <xdr:rowOff>145677</xdr:rowOff>
    </xdr:to>
    <xdr:sp macro="" textlink="">
      <xdr:nvSpPr>
        <xdr:cNvPr id="22" name="Rectangle 21">
          <a:hlinkClick xmlns:r="http://schemas.openxmlformats.org/officeDocument/2006/relationships" r:id="rId13"/>
          <a:extLst>
            <a:ext uri="{FF2B5EF4-FFF2-40B4-BE49-F238E27FC236}">
              <a16:creationId xmlns:a16="http://schemas.microsoft.com/office/drawing/2014/main" id="{00000000-0008-0000-2500-000016000000}"/>
            </a:ext>
          </a:extLst>
        </xdr:cNvPr>
        <xdr:cNvSpPr/>
      </xdr:nvSpPr>
      <xdr:spPr>
        <a:xfrm>
          <a:off x="10051676" y="3216088"/>
          <a:ext cx="1703295" cy="156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0</xdr:colOff>
          <xdr:row>43</xdr:row>
          <xdr:rowOff>9525</xdr:rowOff>
        </xdr:from>
        <xdr:to>
          <xdr:col>3</xdr:col>
          <xdr:colOff>0</xdr:colOff>
          <xdr:row>45</xdr:row>
          <xdr:rowOff>0</xdr:rowOff>
        </xdr:to>
        <xdr:sp macro="" textlink="">
          <xdr:nvSpPr>
            <xdr:cNvPr id="221185" name="M02S04TB1" hidden="1">
              <a:extLst>
                <a:ext uri="{63B3BB69-23CF-44E3-9099-C40C66FF867C}">
                  <a14:compatExt spid="_x0000_s221185"/>
                </a:ext>
                <a:ext uri="{FF2B5EF4-FFF2-40B4-BE49-F238E27FC236}">
                  <a16:creationId xmlns:a16="http://schemas.microsoft.com/office/drawing/2014/main" id="{00000000-0008-0000-2500-0000016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32</xdr:col>
      <xdr:colOff>143817</xdr:colOff>
      <xdr:row>47</xdr:row>
      <xdr:rowOff>179294</xdr:rowOff>
    </xdr:from>
    <xdr:ext cx="2562583" cy="724002"/>
    <xdr:pic>
      <xdr:nvPicPr>
        <xdr:cNvPr id="23" name="Picture 22">
          <a:hlinkClick xmlns:r="http://schemas.openxmlformats.org/officeDocument/2006/relationships" r:id="rId14"/>
          <a:extLst>
            <a:ext uri="{FF2B5EF4-FFF2-40B4-BE49-F238E27FC236}">
              <a16:creationId xmlns:a16="http://schemas.microsoft.com/office/drawing/2014/main" id="{00000000-0008-0000-2500-00001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0202217" y="16381319"/>
          <a:ext cx="2562583" cy="724002"/>
        </a:xfrm>
        <a:prstGeom prst="rect">
          <a:avLst/>
        </a:prstGeom>
      </xdr:spPr>
    </xdr:pic>
    <xdr:clientData/>
  </xdr:oneCellAnchor>
  <xdr:twoCellAnchor>
    <xdr:from>
      <xdr:col>18</xdr:col>
      <xdr:colOff>11205</xdr:colOff>
      <xdr:row>50</xdr:row>
      <xdr:rowOff>190500</xdr:rowOff>
    </xdr:from>
    <xdr:to>
      <xdr:col>23</xdr:col>
      <xdr:colOff>145677</xdr:colOff>
      <xdr:row>51</xdr:row>
      <xdr:rowOff>145677</xdr:rowOff>
    </xdr:to>
    <xdr:sp macro="" textlink="">
      <xdr:nvSpPr>
        <xdr:cNvPr id="24" name="Rectangle 23">
          <a:hlinkClick xmlns:r="http://schemas.openxmlformats.org/officeDocument/2006/relationships" r:id="rId14"/>
          <a:extLst>
            <a:ext uri="{FF2B5EF4-FFF2-40B4-BE49-F238E27FC236}">
              <a16:creationId xmlns:a16="http://schemas.microsoft.com/office/drawing/2014/main" id="{00000000-0008-0000-2500-000018000000}"/>
            </a:ext>
          </a:extLst>
        </xdr:cNvPr>
        <xdr:cNvSpPr/>
      </xdr:nvSpPr>
      <xdr:spPr>
        <a:xfrm>
          <a:off x="5669055" y="16992600"/>
          <a:ext cx="1706097" cy="1552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5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6"/>
          <a:extLst>
            <a:ext uri="{FF2B5EF4-FFF2-40B4-BE49-F238E27FC236}">
              <a16:creationId xmlns:a16="http://schemas.microsoft.com/office/drawing/2014/main" id="{00000000-0008-0000-2500-00000F000000}"/>
            </a:ext>
          </a:extLst>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Completion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
          <a:extLst>
            <a:ext uri="{FF2B5EF4-FFF2-40B4-BE49-F238E27FC236}">
              <a16:creationId xmlns:a16="http://schemas.microsoft.com/office/drawing/2014/main" id="{00000000-0008-0000-2600-00000F000000}"/>
            </a:ext>
          </a:extLst>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Completion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2"/>
          <a:extLst>
            <a:ext uri="{FF2B5EF4-FFF2-40B4-BE49-F238E27FC236}">
              <a16:creationId xmlns:a16="http://schemas.microsoft.com/office/drawing/2014/main" id="{00000000-0008-0000-2600-00000D000000}"/>
            </a:ext>
          </a:extLst>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Payment Info and Submittals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3"/>
          <a:extLst>
            <a:ext uri="{FF2B5EF4-FFF2-40B4-BE49-F238E27FC236}">
              <a16:creationId xmlns:a16="http://schemas.microsoft.com/office/drawing/2014/main" id="{00000000-0008-0000-2600-00000C000000}"/>
            </a:ext>
          </a:extLst>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Completion Checklist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4"/>
          <a:extLst>
            <a:ext uri="{FF2B5EF4-FFF2-40B4-BE49-F238E27FC236}">
              <a16:creationId xmlns:a16="http://schemas.microsoft.com/office/drawing/2014/main" id="{00000000-0008-0000-2600-000010000000}"/>
            </a:ext>
          </a:extLst>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Inspection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5"/>
          <a:extLst>
            <a:ext uri="{FF2B5EF4-FFF2-40B4-BE49-F238E27FC236}">
              <a16:creationId xmlns:a16="http://schemas.microsoft.com/office/drawing/2014/main" id="{00000000-0008-0000-2600-000011000000}"/>
            </a:ext>
          </a:extLst>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Summary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6"/>
          <a:extLst>
            <a:ext uri="{FF2B5EF4-FFF2-40B4-BE49-F238E27FC236}">
              <a16:creationId xmlns:a16="http://schemas.microsoft.com/office/drawing/2014/main" id="{00000000-0008-0000-2600-000012000000}"/>
            </a:ext>
          </a:extLst>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M6S8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a:extLst>
            <a:ext uri="{FF2B5EF4-FFF2-40B4-BE49-F238E27FC236}">
              <a16:creationId xmlns:a16="http://schemas.microsoft.com/office/drawing/2014/main" id="{00000000-0008-0000-26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a:extLst>
            <a:ext uri="{FF2B5EF4-FFF2-40B4-BE49-F238E27FC236}">
              <a16:creationId xmlns:a16="http://schemas.microsoft.com/office/drawing/2014/main" id="{00000000-0008-0000-2600-000003000000}"/>
            </a:ext>
          </a:extLst>
        </xdr:cNvPr>
        <xdr:cNvSpPr/>
      </xdr:nvSpPr>
      <xdr:spPr>
        <a:xfrm>
          <a:off x="2200732" y="200025"/>
          <a:ext cx="1571168"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8"/>
          <a:extLst>
            <a:ext uri="{FF2B5EF4-FFF2-40B4-BE49-F238E27FC236}">
              <a16:creationId xmlns:a16="http://schemas.microsoft.com/office/drawing/2014/main" id="{00000000-0008-0000-2600-000004000000}"/>
            </a:ext>
          </a:extLst>
        </xdr:cNvPr>
        <xdr:cNvSpPr/>
      </xdr:nvSpPr>
      <xdr:spPr>
        <a:xfrm>
          <a:off x="377190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hidden="1">
          <a:hlinkClick xmlns:r="http://schemas.openxmlformats.org/officeDocument/2006/relationships" r:id="rId9"/>
          <a:extLst>
            <a:ext uri="{FF2B5EF4-FFF2-40B4-BE49-F238E27FC236}">
              <a16:creationId xmlns:a16="http://schemas.microsoft.com/office/drawing/2014/main" id="{00000000-0008-0000-2600-000005000000}"/>
            </a:ext>
          </a:extLst>
        </xdr:cNvPr>
        <xdr:cNvSpPr/>
      </xdr:nvSpPr>
      <xdr:spPr>
        <a:xfrm>
          <a:off x="534352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CODE-BASELINE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10"/>
          <a:extLst>
            <a:ext uri="{FF2B5EF4-FFF2-40B4-BE49-F238E27FC236}">
              <a16:creationId xmlns:a16="http://schemas.microsoft.com/office/drawing/2014/main" id="{00000000-0008-0000-2600-000006000000}"/>
            </a:ext>
          </a:extLst>
        </xdr:cNvPr>
        <xdr:cNvSpPr/>
      </xdr:nvSpPr>
      <xdr:spPr>
        <a:xfrm>
          <a:off x="691515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PRE-APPROVAL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hidden="1">
          <a:hlinkClick xmlns:r="http://schemas.openxmlformats.org/officeDocument/2006/relationships" r:id="rId11"/>
          <a:extLst>
            <a:ext uri="{FF2B5EF4-FFF2-40B4-BE49-F238E27FC236}">
              <a16:creationId xmlns:a16="http://schemas.microsoft.com/office/drawing/2014/main" id="{00000000-0008-0000-2600-000007000000}"/>
            </a:ext>
          </a:extLst>
        </xdr:cNvPr>
        <xdr:cNvSpPr/>
      </xdr:nvSpPr>
      <xdr:spPr>
        <a:xfrm>
          <a:off x="8486775" y="333375"/>
          <a:ext cx="1571625" cy="600075"/>
        </a:xfrm>
        <a:prstGeom prst="round2SameRect">
          <a:avLst/>
        </a:prstGeom>
        <a:solidFill>
          <a:srgbClr val="F3901D"/>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6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NEXT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6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2600-00000A000000}"/>
            </a:ext>
          </a:extLst>
        </xdr:cNvPr>
        <xdr:cNvSpPr/>
      </xdr:nvSpPr>
      <xdr:spPr>
        <a:xfrm>
          <a:off x="314325" y="800101"/>
          <a:ext cx="13515975" cy="600074"/>
        </a:xfrm>
        <a:prstGeom prst="round2SameRect">
          <a:avLst/>
        </a:prstGeom>
        <a:solidFill>
          <a:srgbClr val="F390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11"/>
          <a:extLst>
            <a:ext uri="{FF2B5EF4-FFF2-40B4-BE49-F238E27FC236}">
              <a16:creationId xmlns:a16="http://schemas.microsoft.com/office/drawing/2014/main" id="{00000000-0008-0000-2600-00000B000000}"/>
            </a:ext>
          </a:extLst>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Summary and Submittal Info</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600-000013000000}"/>
            </a:ext>
          </a:extLst>
        </xdr:cNvPr>
        <xdr:cNvSpPr/>
      </xdr:nvSpPr>
      <xdr:spPr>
        <a:xfrm>
          <a:off x="314323" y="1611965"/>
          <a:ext cx="13491324" cy="1452450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3"/>
          <a:extLst>
            <a:ext uri="{FF2B5EF4-FFF2-40B4-BE49-F238E27FC236}">
              <a16:creationId xmlns:a16="http://schemas.microsoft.com/office/drawing/2014/main" id="{00000000-0008-0000-26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0</xdr:colOff>
      <xdr:row>1</xdr:row>
      <xdr:rowOff>0</xdr:rowOff>
    </xdr:from>
    <xdr:to>
      <xdr:col>5</xdr:col>
      <xdr:colOff>209550</xdr:colOff>
      <xdr:row>3</xdr:row>
      <xdr:rowOff>154218</xdr:rowOff>
    </xdr:to>
    <xdr:pic>
      <xdr:nvPicPr>
        <xdr:cNvPr id="30" name="LOGO">
          <a:extLst>
            <a:ext uri="{FF2B5EF4-FFF2-40B4-BE49-F238E27FC236}">
              <a16:creationId xmlns:a16="http://schemas.microsoft.com/office/drawing/2014/main" id="{00000000-0008-0000-2600-00001E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editAs="oneCell">
    <xdr:from>
      <xdr:col>31</xdr:col>
      <xdr:colOff>0</xdr:colOff>
      <xdr:row>15</xdr:row>
      <xdr:rowOff>0</xdr:rowOff>
    </xdr:from>
    <xdr:to>
      <xdr:col>34</xdr:col>
      <xdr:colOff>194975</xdr:colOff>
      <xdr:row>18</xdr:row>
      <xdr:rowOff>0</xdr:rowOff>
    </xdr:to>
    <xdr:pic>
      <xdr:nvPicPr>
        <xdr:cNvPr id="29" name="LOGO2">
          <a:extLst>
            <a:ext uri="{FF2B5EF4-FFF2-40B4-BE49-F238E27FC236}">
              <a16:creationId xmlns:a16="http://schemas.microsoft.com/office/drawing/2014/main" id="{00000000-0008-0000-2600-00001D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744075" y="3000375"/>
          <a:ext cx="1137950" cy="600075"/>
        </a:xfrm>
        <a:prstGeom prst="rect">
          <a:avLst/>
        </a:prstGeom>
      </xdr:spPr>
    </xdr:pic>
    <xdr:clientData/>
  </xdr:twoCellAnchor>
  <xdr:twoCellAnchor>
    <xdr:from>
      <xdr:col>11</xdr:col>
      <xdr:colOff>44823</xdr:colOff>
      <xdr:row>62</xdr:row>
      <xdr:rowOff>123265</xdr:rowOff>
    </xdr:from>
    <xdr:to>
      <xdr:col>16</xdr:col>
      <xdr:colOff>11206</xdr:colOff>
      <xdr:row>63</xdr:row>
      <xdr:rowOff>100853</xdr:rowOff>
    </xdr:to>
    <xdr:sp macro="" textlink="">
      <xdr:nvSpPr>
        <xdr:cNvPr id="25" name="Rectangle 24">
          <a:hlinkClick xmlns:r="http://schemas.openxmlformats.org/officeDocument/2006/relationships" r:id="rId14"/>
          <a:extLst>
            <a:ext uri="{FF2B5EF4-FFF2-40B4-BE49-F238E27FC236}">
              <a16:creationId xmlns:a16="http://schemas.microsoft.com/office/drawing/2014/main" id="{00000000-0008-0000-2600-000019000000}"/>
            </a:ext>
          </a:extLst>
        </xdr:cNvPr>
        <xdr:cNvSpPr/>
      </xdr:nvSpPr>
      <xdr:spPr>
        <a:xfrm>
          <a:off x="3496235" y="12225618"/>
          <a:ext cx="1535206" cy="1792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26896</xdr:colOff>
      <xdr:row>44</xdr:row>
      <xdr:rowOff>26895</xdr:rowOff>
    </xdr:from>
    <xdr:to>
      <xdr:col>13</xdr:col>
      <xdr:colOff>246530</xdr:colOff>
      <xdr:row>44</xdr:row>
      <xdr:rowOff>168088</xdr:rowOff>
    </xdr:to>
    <xdr:sp macro="" textlink="">
      <xdr:nvSpPr>
        <xdr:cNvPr id="26" name="Rectangle 25">
          <a:hlinkClick xmlns:r="http://schemas.openxmlformats.org/officeDocument/2006/relationships" r:id="rId10"/>
          <a:extLst>
            <a:ext uri="{FF2B5EF4-FFF2-40B4-BE49-F238E27FC236}">
              <a16:creationId xmlns:a16="http://schemas.microsoft.com/office/drawing/2014/main" id="{00000000-0008-0000-2600-00001A000000}"/>
            </a:ext>
          </a:extLst>
        </xdr:cNvPr>
        <xdr:cNvSpPr/>
      </xdr:nvSpPr>
      <xdr:spPr>
        <a:xfrm>
          <a:off x="3164543" y="8901954"/>
          <a:ext cx="1160928" cy="14119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22412</xdr:colOff>
      <xdr:row>43</xdr:row>
      <xdr:rowOff>11206</xdr:rowOff>
    </xdr:from>
    <xdr:to>
      <xdr:col>14</xdr:col>
      <xdr:colOff>22412</xdr:colOff>
      <xdr:row>43</xdr:row>
      <xdr:rowOff>168088</xdr:rowOff>
    </xdr:to>
    <xdr:sp macro="" textlink="">
      <xdr:nvSpPr>
        <xdr:cNvPr id="27" name="Rectangle 26">
          <a:hlinkClick xmlns:r="http://schemas.openxmlformats.org/officeDocument/2006/relationships" r:id="rId15"/>
          <a:extLst>
            <a:ext uri="{FF2B5EF4-FFF2-40B4-BE49-F238E27FC236}">
              <a16:creationId xmlns:a16="http://schemas.microsoft.com/office/drawing/2014/main" id="{00000000-0008-0000-2600-00001B000000}"/>
            </a:ext>
          </a:extLst>
        </xdr:cNvPr>
        <xdr:cNvSpPr/>
      </xdr:nvSpPr>
      <xdr:spPr>
        <a:xfrm>
          <a:off x="3160059" y="8684559"/>
          <a:ext cx="1255059" cy="1568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22412</xdr:colOff>
      <xdr:row>41</xdr:row>
      <xdr:rowOff>11206</xdr:rowOff>
    </xdr:from>
    <xdr:to>
      <xdr:col>14</xdr:col>
      <xdr:colOff>302559</xdr:colOff>
      <xdr:row>41</xdr:row>
      <xdr:rowOff>168088</xdr:rowOff>
    </xdr:to>
    <xdr:sp macro="" textlink="">
      <xdr:nvSpPr>
        <xdr:cNvPr id="28" name="Rectangle 27">
          <a:hlinkClick xmlns:r="http://schemas.openxmlformats.org/officeDocument/2006/relationships" r:id="rId16"/>
          <a:extLst>
            <a:ext uri="{FF2B5EF4-FFF2-40B4-BE49-F238E27FC236}">
              <a16:creationId xmlns:a16="http://schemas.microsoft.com/office/drawing/2014/main" id="{00000000-0008-0000-2600-00001C000000}"/>
            </a:ext>
          </a:extLst>
        </xdr:cNvPr>
        <xdr:cNvSpPr/>
      </xdr:nvSpPr>
      <xdr:spPr>
        <a:xfrm>
          <a:off x="3160059" y="8281147"/>
          <a:ext cx="1535206" cy="1568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22412</xdr:colOff>
      <xdr:row>42</xdr:row>
      <xdr:rowOff>11206</xdr:rowOff>
    </xdr:from>
    <xdr:to>
      <xdr:col>11</xdr:col>
      <xdr:colOff>293596</xdr:colOff>
      <xdr:row>42</xdr:row>
      <xdr:rowOff>181536</xdr:rowOff>
    </xdr:to>
    <xdr:sp macro="" textlink="">
      <xdr:nvSpPr>
        <xdr:cNvPr id="31" name="Rectangle 30">
          <a:hlinkClick xmlns:r="http://schemas.openxmlformats.org/officeDocument/2006/relationships" r:id="rId16"/>
          <a:extLst>
            <a:ext uri="{FF2B5EF4-FFF2-40B4-BE49-F238E27FC236}">
              <a16:creationId xmlns:a16="http://schemas.microsoft.com/office/drawing/2014/main" id="{00000000-0008-0000-2600-00001F000000}"/>
            </a:ext>
          </a:extLst>
        </xdr:cNvPr>
        <xdr:cNvSpPr/>
      </xdr:nvSpPr>
      <xdr:spPr>
        <a:xfrm>
          <a:off x="3160059" y="8684559"/>
          <a:ext cx="584949" cy="1703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6724</xdr:colOff>
      <xdr:row>42</xdr:row>
      <xdr:rowOff>17929</xdr:rowOff>
    </xdr:from>
    <xdr:to>
      <xdr:col>14</xdr:col>
      <xdr:colOff>286871</xdr:colOff>
      <xdr:row>42</xdr:row>
      <xdr:rowOff>174811</xdr:rowOff>
    </xdr:to>
    <xdr:sp macro="" textlink="">
      <xdr:nvSpPr>
        <xdr:cNvPr id="32" name="Rectangle 31">
          <a:hlinkClick xmlns:r="http://schemas.openxmlformats.org/officeDocument/2006/relationships" r:id="rId9"/>
          <a:extLst>
            <a:ext uri="{FF2B5EF4-FFF2-40B4-BE49-F238E27FC236}">
              <a16:creationId xmlns:a16="http://schemas.microsoft.com/office/drawing/2014/main" id="{00000000-0008-0000-2600-000020000000}"/>
            </a:ext>
          </a:extLst>
        </xdr:cNvPr>
        <xdr:cNvSpPr/>
      </xdr:nvSpPr>
      <xdr:spPr>
        <a:xfrm>
          <a:off x="3144371" y="8489576"/>
          <a:ext cx="1535206" cy="1568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2551</xdr:colOff>
      <xdr:row>5</xdr:row>
      <xdr:rowOff>51480</xdr:rowOff>
    </xdr:from>
    <xdr:to>
      <xdr:col>22</xdr:col>
      <xdr:colOff>2550</xdr:colOff>
      <xdr:row>7</xdr:row>
      <xdr:rowOff>50800</xdr:rowOff>
    </xdr:to>
    <xdr:sp macro="" textlink="M5S4">
      <xdr:nvSpPr>
        <xdr:cNvPr id="14" name="SUBMENU4">
          <a:hlinkClick xmlns:r="http://schemas.openxmlformats.org/officeDocument/2006/relationships" r:id="rId17"/>
          <a:extLst>
            <a:ext uri="{FF2B5EF4-FFF2-40B4-BE49-F238E27FC236}">
              <a16:creationId xmlns:a16="http://schemas.microsoft.com/office/drawing/2014/main" id="{00000000-0008-0000-2600-00000E000000}"/>
            </a:ext>
          </a:extLst>
        </xdr:cNvPr>
        <xdr:cNvSpPr/>
      </xdr:nvSpPr>
      <xdr:spPr>
        <a:xfrm>
          <a:off x="5346076"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Offer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6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a:extLst>
            <a:ext uri="{FF2B5EF4-FFF2-40B4-BE49-F238E27FC236}">
              <a16:creationId xmlns:a16="http://schemas.microsoft.com/office/drawing/2014/main" id="{00000000-0008-0000-2700-00000E000000}"/>
            </a:ext>
          </a:extLst>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Offer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2"/>
          <a:extLst>
            <a:ext uri="{FF2B5EF4-FFF2-40B4-BE49-F238E27FC236}">
              <a16:creationId xmlns:a16="http://schemas.microsoft.com/office/drawing/2014/main" id="{00000000-0008-0000-2700-00000D000000}"/>
            </a:ext>
          </a:extLst>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Payment Info and Submittals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51480</xdr:rowOff>
    </xdr:from>
    <xdr:to>
      <xdr:col>27</xdr:col>
      <xdr:colOff>2549</xdr:colOff>
      <xdr:row>7</xdr:row>
      <xdr:rowOff>50800</xdr:rowOff>
    </xdr:to>
    <xdr:sp macro="" textlink="M5S5">
      <xdr:nvSpPr>
        <xdr:cNvPr id="15" name="SUBMENU5">
          <a:hlinkClick xmlns:r="http://schemas.openxmlformats.org/officeDocument/2006/relationships" r:id="rId3"/>
          <a:extLst>
            <a:ext uri="{FF2B5EF4-FFF2-40B4-BE49-F238E27FC236}">
              <a16:creationId xmlns:a16="http://schemas.microsoft.com/office/drawing/2014/main" id="{00000000-0008-0000-2700-00000F000000}"/>
            </a:ext>
          </a:extLst>
        </xdr:cNvPr>
        <xdr:cNvSpPr/>
      </xdr:nvSpPr>
      <xdr:spPr>
        <a:xfrm>
          <a:off x="6917701" y="1051605"/>
          <a:ext cx="1571623"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Completion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4"/>
          <a:extLst>
            <a:ext uri="{FF2B5EF4-FFF2-40B4-BE49-F238E27FC236}">
              <a16:creationId xmlns:a16="http://schemas.microsoft.com/office/drawing/2014/main" id="{00000000-0008-0000-2700-00000C000000}"/>
            </a:ext>
          </a:extLst>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Completion Checklist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5"/>
          <a:extLst>
            <a:ext uri="{FF2B5EF4-FFF2-40B4-BE49-F238E27FC236}">
              <a16:creationId xmlns:a16="http://schemas.microsoft.com/office/drawing/2014/main" id="{00000000-0008-0000-2700-000010000000}"/>
            </a:ext>
          </a:extLst>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Inspection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6"/>
          <a:extLst>
            <a:ext uri="{FF2B5EF4-FFF2-40B4-BE49-F238E27FC236}">
              <a16:creationId xmlns:a16="http://schemas.microsoft.com/office/drawing/2014/main" id="{00000000-0008-0000-2700-000011000000}"/>
            </a:ext>
          </a:extLst>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Summary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7"/>
          <a:extLst>
            <a:ext uri="{FF2B5EF4-FFF2-40B4-BE49-F238E27FC236}">
              <a16:creationId xmlns:a16="http://schemas.microsoft.com/office/drawing/2014/main" id="{00000000-0008-0000-2700-000012000000}"/>
            </a:ext>
          </a:extLst>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M6S8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0</xdr:rowOff>
    </xdr:to>
    <xdr:sp macro="" textlink="">
      <xdr:nvSpPr>
        <xdr:cNvPr id="2" name="NEXT">
          <a:hlinkClick xmlns:r="http://schemas.openxmlformats.org/officeDocument/2006/relationships" r:id="rId5"/>
          <a:extLst>
            <a:ext uri="{FF2B5EF4-FFF2-40B4-BE49-F238E27FC236}">
              <a16:creationId xmlns:a16="http://schemas.microsoft.com/office/drawing/2014/main" id="{00000000-0008-0000-2700-000002000000}"/>
            </a:ext>
          </a:extLst>
        </xdr:cNvPr>
        <xdr:cNvSpPr>
          <a:spLocks noChangeAspect="1"/>
        </xdr:cNvSpPr>
      </xdr:nvSpPr>
      <xdr:spPr>
        <a:xfrm>
          <a:off x="12887325" y="1801272"/>
          <a:ext cx="627520" cy="399003"/>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8"/>
          <a:extLst>
            <a:ext uri="{FF2B5EF4-FFF2-40B4-BE49-F238E27FC236}">
              <a16:creationId xmlns:a16="http://schemas.microsoft.com/office/drawing/2014/main" id="{00000000-0008-0000-2700-000003000000}"/>
            </a:ext>
          </a:extLst>
        </xdr:cNvPr>
        <xdr:cNvSpPr/>
      </xdr:nvSpPr>
      <xdr:spPr>
        <a:xfrm>
          <a:off x="2200732" y="200025"/>
          <a:ext cx="1571168"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9"/>
          <a:extLst>
            <a:ext uri="{FF2B5EF4-FFF2-40B4-BE49-F238E27FC236}">
              <a16:creationId xmlns:a16="http://schemas.microsoft.com/office/drawing/2014/main" id="{00000000-0008-0000-2700-000004000000}"/>
            </a:ext>
          </a:extLst>
        </xdr:cNvPr>
        <xdr:cNvSpPr/>
      </xdr:nvSpPr>
      <xdr:spPr>
        <a:xfrm>
          <a:off x="377190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hidden="1">
          <a:hlinkClick xmlns:r="http://schemas.openxmlformats.org/officeDocument/2006/relationships" r:id="rId10"/>
          <a:extLst>
            <a:ext uri="{FF2B5EF4-FFF2-40B4-BE49-F238E27FC236}">
              <a16:creationId xmlns:a16="http://schemas.microsoft.com/office/drawing/2014/main" id="{00000000-0008-0000-2700-000005000000}"/>
            </a:ext>
          </a:extLst>
        </xdr:cNvPr>
        <xdr:cNvSpPr/>
      </xdr:nvSpPr>
      <xdr:spPr>
        <a:xfrm>
          <a:off x="534352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CODE-BASELINE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11"/>
          <a:extLst>
            <a:ext uri="{FF2B5EF4-FFF2-40B4-BE49-F238E27FC236}">
              <a16:creationId xmlns:a16="http://schemas.microsoft.com/office/drawing/2014/main" id="{00000000-0008-0000-2700-000006000000}"/>
            </a:ext>
          </a:extLst>
        </xdr:cNvPr>
        <xdr:cNvSpPr/>
      </xdr:nvSpPr>
      <xdr:spPr>
        <a:xfrm>
          <a:off x="691515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PRE-APPROVAL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hidden="1">
          <a:hlinkClick xmlns:r="http://schemas.openxmlformats.org/officeDocument/2006/relationships" r:id="rId12"/>
          <a:extLst>
            <a:ext uri="{FF2B5EF4-FFF2-40B4-BE49-F238E27FC236}">
              <a16:creationId xmlns:a16="http://schemas.microsoft.com/office/drawing/2014/main" id="{00000000-0008-0000-2700-000007000000}"/>
            </a:ext>
          </a:extLst>
        </xdr:cNvPr>
        <xdr:cNvSpPr/>
      </xdr:nvSpPr>
      <xdr:spPr>
        <a:xfrm>
          <a:off x="8486775" y="333375"/>
          <a:ext cx="1571625" cy="600075"/>
        </a:xfrm>
        <a:prstGeom prst="round2SameRect">
          <a:avLst/>
        </a:prstGeom>
        <a:solidFill>
          <a:srgbClr val="F3901D"/>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7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NEXT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7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2700-00000A000000}"/>
            </a:ext>
          </a:extLst>
        </xdr:cNvPr>
        <xdr:cNvSpPr/>
      </xdr:nvSpPr>
      <xdr:spPr>
        <a:xfrm>
          <a:off x="314325" y="800101"/>
          <a:ext cx="13515975" cy="600074"/>
        </a:xfrm>
        <a:prstGeom prst="round2SameRect">
          <a:avLst/>
        </a:prstGeom>
        <a:solidFill>
          <a:srgbClr val="F390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12"/>
          <a:extLst>
            <a:ext uri="{FF2B5EF4-FFF2-40B4-BE49-F238E27FC236}">
              <a16:creationId xmlns:a16="http://schemas.microsoft.com/office/drawing/2014/main" id="{00000000-0008-0000-2700-00000B000000}"/>
            </a:ext>
          </a:extLst>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Summary and Submittal Info</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7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
          <a:extLst>
            <a:ext uri="{FF2B5EF4-FFF2-40B4-BE49-F238E27FC236}">
              <a16:creationId xmlns:a16="http://schemas.microsoft.com/office/drawing/2014/main" id="{00000000-0008-0000-27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72</xdr:col>
      <xdr:colOff>161925</xdr:colOff>
      <xdr:row>20</xdr:row>
      <xdr:rowOff>0</xdr:rowOff>
    </xdr:from>
    <xdr:to>
      <xdr:col>73</xdr:col>
      <xdr:colOff>164726</xdr:colOff>
      <xdr:row>20</xdr:row>
      <xdr:rowOff>0</xdr:rowOff>
    </xdr:to>
    <xdr:pic>
      <xdr:nvPicPr>
        <xdr:cNvPr id="24" name="Picture 4" descr="Ameren_MO_1C1.png">
          <a:extLst>
            <a:ext uri="{FF2B5EF4-FFF2-40B4-BE49-F238E27FC236}">
              <a16:creationId xmlns:a16="http://schemas.microsoft.com/office/drawing/2014/main" id="{00000000-0008-0000-2700-00001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906000" y="3200400"/>
          <a:ext cx="1000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45</xdr:row>
      <xdr:rowOff>0</xdr:rowOff>
    </xdr:from>
    <xdr:to>
      <xdr:col>52</xdr:col>
      <xdr:colOff>0</xdr:colOff>
      <xdr:row>46</xdr:row>
      <xdr:rowOff>0</xdr:rowOff>
    </xdr:to>
    <xdr:sp macro="" textlink="">
      <xdr:nvSpPr>
        <xdr:cNvPr id="25" name="TextBox 24">
          <a:hlinkClick xmlns:r="http://schemas.openxmlformats.org/officeDocument/2006/relationships" r:id="rId14"/>
          <a:extLst>
            <a:ext uri="{FF2B5EF4-FFF2-40B4-BE49-F238E27FC236}">
              <a16:creationId xmlns:a16="http://schemas.microsoft.com/office/drawing/2014/main" id="{00000000-0008-0000-2700-000019000000}"/>
            </a:ext>
          </a:extLst>
        </xdr:cNvPr>
        <xdr:cNvSpPr txBox="1"/>
      </xdr:nvSpPr>
      <xdr:spPr>
        <a:xfrm>
          <a:off x="4706471" y="8673353"/>
          <a:ext cx="313764" cy="20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lstStyle/>
        <a:p>
          <a:pPr algn="ctr"/>
          <a:r>
            <a:rPr lang="en-US" sz="1100" u="sng">
              <a:solidFill>
                <a:schemeClr val="bg1"/>
              </a:solidFill>
            </a:rPr>
            <a:t>EDIT</a:t>
          </a: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8" name="LOGO">
          <a:extLst>
            <a:ext uri="{FF2B5EF4-FFF2-40B4-BE49-F238E27FC236}">
              <a16:creationId xmlns:a16="http://schemas.microsoft.com/office/drawing/2014/main" id="{00000000-0008-0000-2700-000026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editAs="oneCell">
    <xdr:from>
      <xdr:col>31</xdr:col>
      <xdr:colOff>0</xdr:colOff>
      <xdr:row>16</xdr:row>
      <xdr:rowOff>0</xdr:rowOff>
    </xdr:from>
    <xdr:to>
      <xdr:col>34</xdr:col>
      <xdr:colOff>194975</xdr:colOff>
      <xdr:row>19</xdr:row>
      <xdr:rowOff>0</xdr:rowOff>
    </xdr:to>
    <xdr:pic>
      <xdr:nvPicPr>
        <xdr:cNvPr id="30" name="LOGO2">
          <a:extLst>
            <a:ext uri="{FF2B5EF4-FFF2-40B4-BE49-F238E27FC236}">
              <a16:creationId xmlns:a16="http://schemas.microsoft.com/office/drawing/2014/main" id="{00000000-0008-0000-2700-00001E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744075" y="3000375"/>
          <a:ext cx="1137950" cy="6000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24</xdr:col>
          <xdr:colOff>9525</xdr:colOff>
          <xdr:row>64</xdr:row>
          <xdr:rowOff>171450</xdr:rowOff>
        </xdr:from>
        <xdr:to>
          <xdr:col>25</xdr:col>
          <xdr:colOff>0</xdr:colOff>
          <xdr:row>65</xdr:row>
          <xdr:rowOff>190500</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27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65</xdr:row>
          <xdr:rowOff>171450</xdr:rowOff>
        </xdr:from>
        <xdr:to>
          <xdr:col>25</xdr:col>
          <xdr:colOff>0</xdr:colOff>
          <xdr:row>66</xdr:row>
          <xdr:rowOff>190500</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27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246528</xdr:colOff>
      <xdr:row>63</xdr:row>
      <xdr:rowOff>168088</xdr:rowOff>
    </xdr:from>
    <xdr:to>
      <xdr:col>33</xdr:col>
      <xdr:colOff>212911</xdr:colOff>
      <xdr:row>64</xdr:row>
      <xdr:rowOff>145677</xdr:rowOff>
    </xdr:to>
    <xdr:sp macro="" textlink="">
      <xdr:nvSpPr>
        <xdr:cNvPr id="33" name="Rectangle 32">
          <a:hlinkClick xmlns:r="http://schemas.openxmlformats.org/officeDocument/2006/relationships" r:id="rId17"/>
          <a:extLst>
            <a:ext uri="{FF2B5EF4-FFF2-40B4-BE49-F238E27FC236}">
              <a16:creationId xmlns:a16="http://schemas.microsoft.com/office/drawing/2014/main" id="{00000000-0008-0000-2700-000021000000}"/>
            </a:ext>
          </a:extLst>
        </xdr:cNvPr>
        <xdr:cNvSpPr/>
      </xdr:nvSpPr>
      <xdr:spPr>
        <a:xfrm>
          <a:off x="9031940" y="12875559"/>
          <a:ext cx="1535206" cy="1792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29134</xdr:colOff>
      <xdr:row>58</xdr:row>
      <xdr:rowOff>197224</xdr:rowOff>
    </xdr:from>
    <xdr:to>
      <xdr:col>13</xdr:col>
      <xdr:colOff>145677</xdr:colOff>
      <xdr:row>59</xdr:row>
      <xdr:rowOff>156883</xdr:rowOff>
    </xdr:to>
    <xdr:sp macro="" textlink="">
      <xdr:nvSpPr>
        <xdr:cNvPr id="34" name="Rectangle 33">
          <a:hlinkClick xmlns:r="http://schemas.openxmlformats.org/officeDocument/2006/relationships" r:id="rId18"/>
          <a:extLst>
            <a:ext uri="{FF2B5EF4-FFF2-40B4-BE49-F238E27FC236}">
              <a16:creationId xmlns:a16="http://schemas.microsoft.com/office/drawing/2014/main" id="{00000000-0008-0000-2700-000022000000}"/>
            </a:ext>
          </a:extLst>
        </xdr:cNvPr>
        <xdr:cNvSpPr/>
      </xdr:nvSpPr>
      <xdr:spPr>
        <a:xfrm>
          <a:off x="3794310" y="11492753"/>
          <a:ext cx="430308" cy="1613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11206</xdr:colOff>
      <xdr:row>45</xdr:row>
      <xdr:rowOff>15688</xdr:rowOff>
    </xdr:from>
    <xdr:to>
      <xdr:col>11</xdr:col>
      <xdr:colOff>221879</xdr:colOff>
      <xdr:row>45</xdr:row>
      <xdr:rowOff>181535</xdr:rowOff>
    </xdr:to>
    <xdr:sp macro="" textlink="">
      <xdr:nvSpPr>
        <xdr:cNvPr id="35" name="Rectangle 34">
          <a:hlinkClick xmlns:r="http://schemas.openxmlformats.org/officeDocument/2006/relationships" r:id="rId11"/>
          <a:extLst>
            <a:ext uri="{FF2B5EF4-FFF2-40B4-BE49-F238E27FC236}">
              <a16:creationId xmlns:a16="http://schemas.microsoft.com/office/drawing/2014/main" id="{00000000-0008-0000-2700-000023000000}"/>
            </a:ext>
          </a:extLst>
        </xdr:cNvPr>
        <xdr:cNvSpPr/>
      </xdr:nvSpPr>
      <xdr:spPr>
        <a:xfrm>
          <a:off x="3148853" y="8689041"/>
          <a:ext cx="524438" cy="165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6722</xdr:colOff>
      <xdr:row>43</xdr:row>
      <xdr:rowOff>201705</xdr:rowOff>
    </xdr:from>
    <xdr:to>
      <xdr:col>11</xdr:col>
      <xdr:colOff>277906</xdr:colOff>
      <xdr:row>44</xdr:row>
      <xdr:rowOff>170329</xdr:rowOff>
    </xdr:to>
    <xdr:sp macro="" textlink="">
      <xdr:nvSpPr>
        <xdr:cNvPr id="39" name="Rectangle 38">
          <a:hlinkClick xmlns:r="http://schemas.openxmlformats.org/officeDocument/2006/relationships" r:id="rId14"/>
          <a:extLst>
            <a:ext uri="{FF2B5EF4-FFF2-40B4-BE49-F238E27FC236}">
              <a16:creationId xmlns:a16="http://schemas.microsoft.com/office/drawing/2014/main" id="{00000000-0008-0000-2700-000027000000}"/>
            </a:ext>
          </a:extLst>
        </xdr:cNvPr>
        <xdr:cNvSpPr/>
      </xdr:nvSpPr>
      <xdr:spPr>
        <a:xfrm>
          <a:off x="3144369" y="8471646"/>
          <a:ext cx="584949" cy="1703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26896</xdr:colOff>
      <xdr:row>45</xdr:row>
      <xdr:rowOff>26895</xdr:rowOff>
    </xdr:from>
    <xdr:to>
      <xdr:col>13</xdr:col>
      <xdr:colOff>246530</xdr:colOff>
      <xdr:row>45</xdr:row>
      <xdr:rowOff>168088</xdr:rowOff>
    </xdr:to>
    <xdr:sp macro="" textlink="">
      <xdr:nvSpPr>
        <xdr:cNvPr id="40" name="Rectangle 39">
          <a:hlinkClick xmlns:r="http://schemas.openxmlformats.org/officeDocument/2006/relationships" r:id="rId11"/>
          <a:extLst>
            <a:ext uri="{FF2B5EF4-FFF2-40B4-BE49-F238E27FC236}">
              <a16:creationId xmlns:a16="http://schemas.microsoft.com/office/drawing/2014/main" id="{00000000-0008-0000-2700-000028000000}"/>
            </a:ext>
          </a:extLst>
        </xdr:cNvPr>
        <xdr:cNvSpPr/>
      </xdr:nvSpPr>
      <xdr:spPr>
        <a:xfrm>
          <a:off x="3170146" y="8827995"/>
          <a:ext cx="1162609" cy="14119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22412</xdr:colOff>
      <xdr:row>44</xdr:row>
      <xdr:rowOff>11206</xdr:rowOff>
    </xdr:from>
    <xdr:to>
      <xdr:col>14</xdr:col>
      <xdr:colOff>22412</xdr:colOff>
      <xdr:row>44</xdr:row>
      <xdr:rowOff>168088</xdr:rowOff>
    </xdr:to>
    <xdr:sp macro="" textlink="">
      <xdr:nvSpPr>
        <xdr:cNvPr id="41" name="Rectangle 40">
          <a:hlinkClick xmlns:r="http://schemas.openxmlformats.org/officeDocument/2006/relationships" r:id="rId19"/>
          <a:extLst>
            <a:ext uri="{FF2B5EF4-FFF2-40B4-BE49-F238E27FC236}">
              <a16:creationId xmlns:a16="http://schemas.microsoft.com/office/drawing/2014/main" id="{00000000-0008-0000-2700-000029000000}"/>
            </a:ext>
          </a:extLst>
        </xdr:cNvPr>
        <xdr:cNvSpPr/>
      </xdr:nvSpPr>
      <xdr:spPr>
        <a:xfrm>
          <a:off x="3165662" y="8612281"/>
          <a:ext cx="1257300" cy="1568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22412</xdr:colOff>
      <xdr:row>42</xdr:row>
      <xdr:rowOff>11206</xdr:rowOff>
    </xdr:from>
    <xdr:to>
      <xdr:col>14</xdr:col>
      <xdr:colOff>302559</xdr:colOff>
      <xdr:row>42</xdr:row>
      <xdr:rowOff>168088</xdr:rowOff>
    </xdr:to>
    <xdr:sp macro="" textlink="">
      <xdr:nvSpPr>
        <xdr:cNvPr id="42" name="Rectangle 41">
          <a:hlinkClick xmlns:r="http://schemas.openxmlformats.org/officeDocument/2006/relationships" r:id="rId14"/>
          <a:extLst>
            <a:ext uri="{FF2B5EF4-FFF2-40B4-BE49-F238E27FC236}">
              <a16:creationId xmlns:a16="http://schemas.microsoft.com/office/drawing/2014/main" id="{00000000-0008-0000-2700-00002A000000}"/>
            </a:ext>
          </a:extLst>
        </xdr:cNvPr>
        <xdr:cNvSpPr/>
      </xdr:nvSpPr>
      <xdr:spPr>
        <a:xfrm>
          <a:off x="3165662" y="8212231"/>
          <a:ext cx="1537447" cy="1568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22412</xdr:colOff>
      <xdr:row>43</xdr:row>
      <xdr:rowOff>11206</xdr:rowOff>
    </xdr:from>
    <xdr:to>
      <xdr:col>11</xdr:col>
      <xdr:colOff>293596</xdr:colOff>
      <xdr:row>43</xdr:row>
      <xdr:rowOff>181536</xdr:rowOff>
    </xdr:to>
    <xdr:sp macro="" textlink="">
      <xdr:nvSpPr>
        <xdr:cNvPr id="43" name="Rectangle 42">
          <a:hlinkClick xmlns:r="http://schemas.openxmlformats.org/officeDocument/2006/relationships" r:id="rId14"/>
          <a:extLst>
            <a:ext uri="{FF2B5EF4-FFF2-40B4-BE49-F238E27FC236}">
              <a16:creationId xmlns:a16="http://schemas.microsoft.com/office/drawing/2014/main" id="{00000000-0008-0000-2700-00002B000000}"/>
            </a:ext>
          </a:extLst>
        </xdr:cNvPr>
        <xdr:cNvSpPr/>
      </xdr:nvSpPr>
      <xdr:spPr>
        <a:xfrm>
          <a:off x="3165662" y="8412256"/>
          <a:ext cx="585509" cy="1703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6724</xdr:colOff>
      <xdr:row>43</xdr:row>
      <xdr:rowOff>17929</xdr:rowOff>
    </xdr:from>
    <xdr:to>
      <xdr:col>14</xdr:col>
      <xdr:colOff>286871</xdr:colOff>
      <xdr:row>43</xdr:row>
      <xdr:rowOff>174811</xdr:rowOff>
    </xdr:to>
    <xdr:sp macro="" textlink="">
      <xdr:nvSpPr>
        <xdr:cNvPr id="44" name="Rectangle 43">
          <a:hlinkClick xmlns:r="http://schemas.openxmlformats.org/officeDocument/2006/relationships" r:id="rId10"/>
          <a:extLst>
            <a:ext uri="{FF2B5EF4-FFF2-40B4-BE49-F238E27FC236}">
              <a16:creationId xmlns:a16="http://schemas.microsoft.com/office/drawing/2014/main" id="{00000000-0008-0000-2700-00002C000000}"/>
            </a:ext>
          </a:extLst>
        </xdr:cNvPr>
        <xdr:cNvSpPr/>
      </xdr:nvSpPr>
      <xdr:spPr>
        <a:xfrm>
          <a:off x="3149974" y="8418979"/>
          <a:ext cx="1537447" cy="1568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7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a:extLst>
            <a:ext uri="{FF2B5EF4-FFF2-40B4-BE49-F238E27FC236}">
              <a16:creationId xmlns:a16="http://schemas.microsoft.com/office/drawing/2014/main" id="{00000000-0008-0000-2800-00000E000000}"/>
            </a:ext>
          </a:extLst>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Offer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2"/>
          <a:extLst>
            <a:ext uri="{FF2B5EF4-FFF2-40B4-BE49-F238E27FC236}">
              <a16:creationId xmlns:a16="http://schemas.microsoft.com/office/drawing/2014/main" id="{00000000-0008-0000-2800-00000F000000}"/>
            </a:ext>
          </a:extLst>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Completion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3"/>
          <a:extLst>
            <a:ext uri="{FF2B5EF4-FFF2-40B4-BE49-F238E27FC236}">
              <a16:creationId xmlns:a16="http://schemas.microsoft.com/office/drawing/2014/main" id="{00000000-0008-0000-2800-00000D000000}"/>
            </a:ext>
          </a:extLst>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Payment Info and Submittals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4"/>
          <a:extLst>
            <a:ext uri="{FF2B5EF4-FFF2-40B4-BE49-F238E27FC236}">
              <a16:creationId xmlns:a16="http://schemas.microsoft.com/office/drawing/2014/main" id="{00000000-0008-0000-2800-00000C000000}"/>
            </a:ext>
          </a:extLst>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Completion Checklist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5"/>
          <a:extLst>
            <a:ext uri="{FF2B5EF4-FFF2-40B4-BE49-F238E27FC236}">
              <a16:creationId xmlns:a16="http://schemas.microsoft.com/office/drawing/2014/main" id="{00000000-0008-0000-2800-000012000000}"/>
            </a:ext>
          </a:extLst>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M6S8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6"/>
          <a:extLst>
            <a:ext uri="{FF2B5EF4-FFF2-40B4-BE49-F238E27FC236}">
              <a16:creationId xmlns:a16="http://schemas.microsoft.com/office/drawing/2014/main" id="{00000000-0008-0000-28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a:extLst>
            <a:ext uri="{FF2B5EF4-FFF2-40B4-BE49-F238E27FC236}">
              <a16:creationId xmlns:a16="http://schemas.microsoft.com/office/drawing/2014/main" id="{00000000-0008-0000-2800-000003000000}"/>
            </a:ext>
          </a:extLst>
        </xdr:cNvPr>
        <xdr:cNvSpPr/>
      </xdr:nvSpPr>
      <xdr:spPr>
        <a:xfrm>
          <a:off x="2200732" y="200025"/>
          <a:ext cx="1571168"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8"/>
          <a:extLst>
            <a:ext uri="{FF2B5EF4-FFF2-40B4-BE49-F238E27FC236}">
              <a16:creationId xmlns:a16="http://schemas.microsoft.com/office/drawing/2014/main" id="{00000000-0008-0000-2800-000004000000}"/>
            </a:ext>
          </a:extLst>
        </xdr:cNvPr>
        <xdr:cNvSpPr/>
      </xdr:nvSpPr>
      <xdr:spPr>
        <a:xfrm>
          <a:off x="377190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hidden="1">
          <a:hlinkClick xmlns:r="http://schemas.openxmlformats.org/officeDocument/2006/relationships" r:id="rId9"/>
          <a:extLst>
            <a:ext uri="{FF2B5EF4-FFF2-40B4-BE49-F238E27FC236}">
              <a16:creationId xmlns:a16="http://schemas.microsoft.com/office/drawing/2014/main" id="{00000000-0008-0000-2800-000005000000}"/>
            </a:ext>
          </a:extLst>
        </xdr:cNvPr>
        <xdr:cNvSpPr/>
      </xdr:nvSpPr>
      <xdr:spPr>
        <a:xfrm>
          <a:off x="534352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CODE-BASELINE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10"/>
          <a:extLst>
            <a:ext uri="{FF2B5EF4-FFF2-40B4-BE49-F238E27FC236}">
              <a16:creationId xmlns:a16="http://schemas.microsoft.com/office/drawing/2014/main" id="{00000000-0008-0000-2800-000006000000}"/>
            </a:ext>
          </a:extLst>
        </xdr:cNvPr>
        <xdr:cNvSpPr/>
      </xdr:nvSpPr>
      <xdr:spPr>
        <a:xfrm>
          <a:off x="691515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PRE-APPROVAL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hidden="1">
          <a:hlinkClick xmlns:r="http://schemas.openxmlformats.org/officeDocument/2006/relationships" r:id="rId11"/>
          <a:extLst>
            <a:ext uri="{FF2B5EF4-FFF2-40B4-BE49-F238E27FC236}">
              <a16:creationId xmlns:a16="http://schemas.microsoft.com/office/drawing/2014/main" id="{00000000-0008-0000-2800-000007000000}"/>
            </a:ext>
          </a:extLst>
        </xdr:cNvPr>
        <xdr:cNvSpPr/>
      </xdr:nvSpPr>
      <xdr:spPr>
        <a:xfrm>
          <a:off x="8486775" y="333375"/>
          <a:ext cx="1571625" cy="600075"/>
        </a:xfrm>
        <a:prstGeom prst="round2SameRect">
          <a:avLst/>
        </a:prstGeom>
        <a:solidFill>
          <a:srgbClr val="F3901D"/>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8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NEXT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8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2800-00000A000000}"/>
            </a:ext>
          </a:extLst>
        </xdr:cNvPr>
        <xdr:cNvSpPr/>
      </xdr:nvSpPr>
      <xdr:spPr>
        <a:xfrm>
          <a:off x="314325" y="800101"/>
          <a:ext cx="13515975" cy="600074"/>
        </a:xfrm>
        <a:prstGeom prst="round2SameRect">
          <a:avLst/>
        </a:prstGeom>
        <a:solidFill>
          <a:srgbClr val="F390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11"/>
          <a:extLst>
            <a:ext uri="{FF2B5EF4-FFF2-40B4-BE49-F238E27FC236}">
              <a16:creationId xmlns:a16="http://schemas.microsoft.com/office/drawing/2014/main" id="{00000000-0008-0000-2800-00000B000000}"/>
            </a:ext>
          </a:extLst>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Summary and Submittal Info</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5</xdr:row>
      <xdr:rowOff>51480</xdr:rowOff>
    </xdr:from>
    <xdr:to>
      <xdr:col>32</xdr:col>
      <xdr:colOff>2865</xdr:colOff>
      <xdr:row>7</xdr:row>
      <xdr:rowOff>50800</xdr:rowOff>
    </xdr:to>
    <xdr:sp macro="" textlink="M5S6">
      <xdr:nvSpPr>
        <xdr:cNvPr id="16" name="SUBMENU6">
          <a:hlinkClick xmlns:r="http://schemas.openxmlformats.org/officeDocument/2006/relationships" r:id="rId12"/>
          <a:extLst>
            <a:ext uri="{FF2B5EF4-FFF2-40B4-BE49-F238E27FC236}">
              <a16:creationId xmlns:a16="http://schemas.microsoft.com/office/drawing/2014/main" id="{00000000-0008-0000-2800-000010000000}"/>
            </a:ext>
          </a:extLst>
        </xdr:cNvPr>
        <xdr:cNvSpPr/>
      </xdr:nvSpPr>
      <xdr:spPr>
        <a:xfrm>
          <a:off x="8486775" y="1051605"/>
          <a:ext cx="1574490"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Inspection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6"/>
          <a:extLst>
            <a:ext uri="{FF2B5EF4-FFF2-40B4-BE49-F238E27FC236}">
              <a16:creationId xmlns:a16="http://schemas.microsoft.com/office/drawing/2014/main" id="{00000000-0008-0000-2800-000011000000}"/>
            </a:ext>
          </a:extLst>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Summary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8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2"/>
          <a:extLst>
            <a:ext uri="{FF2B5EF4-FFF2-40B4-BE49-F238E27FC236}">
              <a16:creationId xmlns:a16="http://schemas.microsoft.com/office/drawing/2014/main" id="{00000000-0008-0000-28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9525</xdr:colOff>
          <xdr:row>48</xdr:row>
          <xdr:rowOff>0</xdr:rowOff>
        </xdr:from>
        <xdr:to>
          <xdr:col>11</xdr:col>
          <xdr:colOff>0</xdr:colOff>
          <xdr:row>48</xdr:row>
          <xdr:rowOff>190500</xdr:rowOff>
        </xdr:to>
        <xdr:sp macro="" textlink="">
          <xdr:nvSpPr>
            <xdr:cNvPr id="41986" name="Check Box 2" hidden="1">
              <a:extLst>
                <a:ext uri="{63B3BB69-23CF-44E3-9099-C40C66FF867C}">
                  <a14:compatExt spid="_x0000_s41986"/>
                </a:ext>
                <a:ext uri="{FF2B5EF4-FFF2-40B4-BE49-F238E27FC236}">
                  <a16:creationId xmlns:a16="http://schemas.microsoft.com/office/drawing/2014/main" id="{00000000-0008-0000-2800-00000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49</xdr:row>
          <xdr:rowOff>0</xdr:rowOff>
        </xdr:from>
        <xdr:to>
          <xdr:col>11</xdr:col>
          <xdr:colOff>0</xdr:colOff>
          <xdr:row>49</xdr:row>
          <xdr:rowOff>190500</xdr:rowOff>
        </xdr:to>
        <xdr:sp macro="" textlink="">
          <xdr:nvSpPr>
            <xdr:cNvPr id="41987" name="Check Box 3" hidden="1">
              <a:extLst>
                <a:ext uri="{63B3BB69-23CF-44E3-9099-C40C66FF867C}">
                  <a14:compatExt spid="_x0000_s41987"/>
                </a:ext>
                <a:ext uri="{FF2B5EF4-FFF2-40B4-BE49-F238E27FC236}">
                  <a16:creationId xmlns:a16="http://schemas.microsoft.com/office/drawing/2014/main" id="{00000000-0008-0000-2800-00000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53</xdr:row>
          <xdr:rowOff>0</xdr:rowOff>
        </xdr:from>
        <xdr:to>
          <xdr:col>11</xdr:col>
          <xdr:colOff>0</xdr:colOff>
          <xdr:row>53</xdr:row>
          <xdr:rowOff>190500</xdr:rowOff>
        </xdr:to>
        <xdr:sp macro="" textlink="">
          <xdr:nvSpPr>
            <xdr:cNvPr id="41991" name="Check Box 7" hidden="1">
              <a:extLst>
                <a:ext uri="{63B3BB69-23CF-44E3-9099-C40C66FF867C}">
                  <a14:compatExt spid="_x0000_s41991"/>
                </a:ext>
                <a:ext uri="{FF2B5EF4-FFF2-40B4-BE49-F238E27FC236}">
                  <a16:creationId xmlns:a16="http://schemas.microsoft.com/office/drawing/2014/main" id="{00000000-0008-0000-2800-00000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54</xdr:row>
          <xdr:rowOff>0</xdr:rowOff>
        </xdr:from>
        <xdr:to>
          <xdr:col>11</xdr:col>
          <xdr:colOff>0</xdr:colOff>
          <xdr:row>54</xdr:row>
          <xdr:rowOff>190500</xdr:rowOff>
        </xdr:to>
        <xdr:sp macro="" textlink="">
          <xdr:nvSpPr>
            <xdr:cNvPr id="41992" name="Check Box 8" hidden="1">
              <a:extLst>
                <a:ext uri="{63B3BB69-23CF-44E3-9099-C40C66FF867C}">
                  <a14:compatExt spid="_x0000_s41992"/>
                </a:ext>
                <a:ext uri="{FF2B5EF4-FFF2-40B4-BE49-F238E27FC236}">
                  <a16:creationId xmlns:a16="http://schemas.microsoft.com/office/drawing/2014/main" id="{00000000-0008-0000-2800-00000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50</xdr:row>
          <xdr:rowOff>0</xdr:rowOff>
        </xdr:from>
        <xdr:to>
          <xdr:col>11</xdr:col>
          <xdr:colOff>0</xdr:colOff>
          <xdr:row>50</xdr:row>
          <xdr:rowOff>190500</xdr:rowOff>
        </xdr:to>
        <xdr:sp macro="" textlink="">
          <xdr:nvSpPr>
            <xdr:cNvPr id="41993" name="Check Box 9" hidden="1">
              <a:extLst>
                <a:ext uri="{63B3BB69-23CF-44E3-9099-C40C66FF867C}">
                  <a14:compatExt spid="_x0000_s41993"/>
                </a:ext>
                <a:ext uri="{FF2B5EF4-FFF2-40B4-BE49-F238E27FC236}">
                  <a16:creationId xmlns:a16="http://schemas.microsoft.com/office/drawing/2014/main" id="{00000000-0008-0000-2800-00000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xdr:row>
          <xdr:rowOff>0</xdr:rowOff>
        </xdr:from>
        <xdr:to>
          <xdr:col>11</xdr:col>
          <xdr:colOff>0</xdr:colOff>
          <xdr:row>51</xdr:row>
          <xdr:rowOff>190500</xdr:rowOff>
        </xdr:to>
        <xdr:sp macro="" textlink="">
          <xdr:nvSpPr>
            <xdr:cNvPr id="41994" name="Check Box 10" hidden="1">
              <a:extLst>
                <a:ext uri="{63B3BB69-23CF-44E3-9099-C40C66FF867C}">
                  <a14:compatExt spid="_x0000_s41994"/>
                </a:ext>
                <a:ext uri="{FF2B5EF4-FFF2-40B4-BE49-F238E27FC236}">
                  <a16:creationId xmlns:a16="http://schemas.microsoft.com/office/drawing/2014/main" id="{00000000-0008-0000-2800-00000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55</xdr:row>
          <xdr:rowOff>0</xdr:rowOff>
        </xdr:from>
        <xdr:to>
          <xdr:col>11</xdr:col>
          <xdr:colOff>0</xdr:colOff>
          <xdr:row>55</xdr:row>
          <xdr:rowOff>190500</xdr:rowOff>
        </xdr:to>
        <xdr:sp macro="" textlink="">
          <xdr:nvSpPr>
            <xdr:cNvPr id="41995" name="Check Box 11" hidden="1">
              <a:extLst>
                <a:ext uri="{63B3BB69-23CF-44E3-9099-C40C66FF867C}">
                  <a14:compatExt spid="_x0000_s41995"/>
                </a:ext>
                <a:ext uri="{FF2B5EF4-FFF2-40B4-BE49-F238E27FC236}">
                  <a16:creationId xmlns:a16="http://schemas.microsoft.com/office/drawing/2014/main" id="{00000000-0008-0000-2800-00000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56</xdr:row>
          <xdr:rowOff>0</xdr:rowOff>
        </xdr:from>
        <xdr:to>
          <xdr:col>11</xdr:col>
          <xdr:colOff>0</xdr:colOff>
          <xdr:row>56</xdr:row>
          <xdr:rowOff>190500</xdr:rowOff>
        </xdr:to>
        <xdr:sp macro="" textlink="">
          <xdr:nvSpPr>
            <xdr:cNvPr id="41996" name="Check Box 12" hidden="1">
              <a:extLst>
                <a:ext uri="{63B3BB69-23CF-44E3-9099-C40C66FF867C}">
                  <a14:compatExt spid="_x0000_s41996"/>
                </a:ext>
                <a:ext uri="{FF2B5EF4-FFF2-40B4-BE49-F238E27FC236}">
                  <a16:creationId xmlns:a16="http://schemas.microsoft.com/office/drawing/2014/main" id="{00000000-0008-0000-2800-00000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0</xdr:colOff>
      <xdr:row>1</xdr:row>
      <xdr:rowOff>0</xdr:rowOff>
    </xdr:from>
    <xdr:to>
      <xdr:col>5</xdr:col>
      <xdr:colOff>209550</xdr:colOff>
      <xdr:row>3</xdr:row>
      <xdr:rowOff>154218</xdr:rowOff>
    </xdr:to>
    <xdr:pic>
      <xdr:nvPicPr>
        <xdr:cNvPr id="39" name="LOGO">
          <a:extLst>
            <a:ext uri="{FF2B5EF4-FFF2-40B4-BE49-F238E27FC236}">
              <a16:creationId xmlns:a16="http://schemas.microsoft.com/office/drawing/2014/main" id="{00000000-0008-0000-2800-000027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editAs="oneCell">
    <xdr:from>
      <xdr:col>32</xdr:col>
      <xdr:colOff>0</xdr:colOff>
      <xdr:row>13</xdr:row>
      <xdr:rowOff>0</xdr:rowOff>
    </xdr:from>
    <xdr:to>
      <xdr:col>36</xdr:col>
      <xdr:colOff>0</xdr:colOff>
      <xdr:row>16</xdr:row>
      <xdr:rowOff>3007</xdr:rowOff>
    </xdr:to>
    <xdr:pic>
      <xdr:nvPicPr>
        <xdr:cNvPr id="52" name="LOGO">
          <a:extLst>
            <a:ext uri="{FF2B5EF4-FFF2-40B4-BE49-F238E27FC236}">
              <a16:creationId xmlns:a16="http://schemas.microsoft.com/office/drawing/2014/main" id="{00000000-0008-0000-2800-000034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0040471" y="2420471"/>
          <a:ext cx="1255058" cy="608125"/>
        </a:xfrm>
        <a:prstGeom prst="rect">
          <a:avLst/>
        </a:prstGeom>
      </xdr:spPr>
    </xdr:pic>
    <xdr:clientData/>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8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a:extLst>
            <a:ext uri="{FF2B5EF4-FFF2-40B4-BE49-F238E27FC236}">
              <a16:creationId xmlns:a16="http://schemas.microsoft.com/office/drawing/2014/main" id="{00000000-0008-0000-2900-00000E000000}"/>
            </a:ext>
          </a:extLst>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Offer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2"/>
          <a:extLst>
            <a:ext uri="{FF2B5EF4-FFF2-40B4-BE49-F238E27FC236}">
              <a16:creationId xmlns:a16="http://schemas.microsoft.com/office/drawing/2014/main" id="{00000000-0008-0000-2900-00000F000000}"/>
            </a:ext>
          </a:extLst>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Completion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3"/>
          <a:extLst>
            <a:ext uri="{FF2B5EF4-FFF2-40B4-BE49-F238E27FC236}">
              <a16:creationId xmlns:a16="http://schemas.microsoft.com/office/drawing/2014/main" id="{00000000-0008-0000-2900-00000D000000}"/>
            </a:ext>
          </a:extLst>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Payment Info and Submittals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4"/>
          <a:extLst>
            <a:ext uri="{FF2B5EF4-FFF2-40B4-BE49-F238E27FC236}">
              <a16:creationId xmlns:a16="http://schemas.microsoft.com/office/drawing/2014/main" id="{00000000-0008-0000-2900-00000C000000}"/>
            </a:ext>
          </a:extLst>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Completion Checklist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5"/>
          <a:extLst>
            <a:ext uri="{FF2B5EF4-FFF2-40B4-BE49-F238E27FC236}">
              <a16:creationId xmlns:a16="http://schemas.microsoft.com/office/drawing/2014/main" id="{00000000-0008-0000-2900-000010000000}"/>
            </a:ext>
          </a:extLst>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Inspection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6"/>
          <a:extLst>
            <a:ext uri="{FF2B5EF4-FFF2-40B4-BE49-F238E27FC236}">
              <a16:creationId xmlns:a16="http://schemas.microsoft.com/office/drawing/2014/main" id="{00000000-0008-0000-2900-000012000000}"/>
            </a:ext>
          </a:extLst>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M6S8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a:extLst>
            <a:ext uri="{FF2B5EF4-FFF2-40B4-BE49-F238E27FC236}">
              <a16:creationId xmlns:a16="http://schemas.microsoft.com/office/drawing/2014/main" id="{00000000-0008-0000-2900-000003000000}"/>
            </a:ext>
          </a:extLst>
        </xdr:cNvPr>
        <xdr:cNvSpPr/>
      </xdr:nvSpPr>
      <xdr:spPr>
        <a:xfrm>
          <a:off x="2200732" y="200025"/>
          <a:ext cx="1571168"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8"/>
          <a:extLst>
            <a:ext uri="{FF2B5EF4-FFF2-40B4-BE49-F238E27FC236}">
              <a16:creationId xmlns:a16="http://schemas.microsoft.com/office/drawing/2014/main" id="{00000000-0008-0000-2900-000004000000}"/>
            </a:ext>
          </a:extLst>
        </xdr:cNvPr>
        <xdr:cNvSpPr/>
      </xdr:nvSpPr>
      <xdr:spPr>
        <a:xfrm>
          <a:off x="377190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hidden="1">
          <a:hlinkClick xmlns:r="http://schemas.openxmlformats.org/officeDocument/2006/relationships" r:id="rId9"/>
          <a:extLst>
            <a:ext uri="{FF2B5EF4-FFF2-40B4-BE49-F238E27FC236}">
              <a16:creationId xmlns:a16="http://schemas.microsoft.com/office/drawing/2014/main" id="{00000000-0008-0000-2900-000005000000}"/>
            </a:ext>
          </a:extLst>
        </xdr:cNvPr>
        <xdr:cNvSpPr/>
      </xdr:nvSpPr>
      <xdr:spPr>
        <a:xfrm>
          <a:off x="534352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CODE-BASELINE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10"/>
          <a:extLst>
            <a:ext uri="{FF2B5EF4-FFF2-40B4-BE49-F238E27FC236}">
              <a16:creationId xmlns:a16="http://schemas.microsoft.com/office/drawing/2014/main" id="{00000000-0008-0000-2900-000006000000}"/>
            </a:ext>
          </a:extLst>
        </xdr:cNvPr>
        <xdr:cNvSpPr/>
      </xdr:nvSpPr>
      <xdr:spPr>
        <a:xfrm>
          <a:off x="691515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PRE-APPROVAL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hidden="1">
          <a:hlinkClick xmlns:r="http://schemas.openxmlformats.org/officeDocument/2006/relationships" r:id="rId11"/>
          <a:extLst>
            <a:ext uri="{FF2B5EF4-FFF2-40B4-BE49-F238E27FC236}">
              <a16:creationId xmlns:a16="http://schemas.microsoft.com/office/drawing/2014/main" id="{00000000-0008-0000-2900-000007000000}"/>
            </a:ext>
          </a:extLst>
        </xdr:cNvPr>
        <xdr:cNvSpPr/>
      </xdr:nvSpPr>
      <xdr:spPr>
        <a:xfrm>
          <a:off x="8486775" y="333375"/>
          <a:ext cx="1571625" cy="600075"/>
        </a:xfrm>
        <a:prstGeom prst="round2SameRect">
          <a:avLst/>
        </a:prstGeom>
        <a:solidFill>
          <a:srgbClr val="F3901D"/>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9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NEXT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9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2900-00000A000000}"/>
            </a:ext>
          </a:extLst>
        </xdr:cNvPr>
        <xdr:cNvSpPr/>
      </xdr:nvSpPr>
      <xdr:spPr>
        <a:xfrm>
          <a:off x="314325" y="800101"/>
          <a:ext cx="13515975" cy="600074"/>
        </a:xfrm>
        <a:prstGeom prst="round2SameRect">
          <a:avLst/>
        </a:prstGeom>
        <a:solidFill>
          <a:srgbClr val="F390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11"/>
          <a:extLst>
            <a:ext uri="{FF2B5EF4-FFF2-40B4-BE49-F238E27FC236}">
              <a16:creationId xmlns:a16="http://schemas.microsoft.com/office/drawing/2014/main" id="{00000000-0008-0000-2900-00000B000000}"/>
            </a:ext>
          </a:extLst>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Summary and Submittal Info</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5</xdr:row>
      <xdr:rowOff>51480</xdr:rowOff>
    </xdr:from>
    <xdr:to>
      <xdr:col>37</xdr:col>
      <xdr:colOff>2720</xdr:colOff>
      <xdr:row>7</xdr:row>
      <xdr:rowOff>50800</xdr:rowOff>
    </xdr:to>
    <xdr:sp macro="" textlink="M5S7">
      <xdr:nvSpPr>
        <xdr:cNvPr id="17" name="SUBMENU7">
          <a:hlinkClick xmlns:r="http://schemas.openxmlformats.org/officeDocument/2006/relationships" r:id="rId12"/>
          <a:extLst>
            <a:ext uri="{FF2B5EF4-FFF2-40B4-BE49-F238E27FC236}">
              <a16:creationId xmlns:a16="http://schemas.microsoft.com/office/drawing/2014/main" id="{00000000-0008-0000-2900-000011000000}"/>
            </a:ext>
          </a:extLst>
        </xdr:cNvPr>
        <xdr:cNvSpPr/>
      </xdr:nvSpPr>
      <xdr:spPr>
        <a:xfrm>
          <a:off x="10061265" y="1051605"/>
          <a:ext cx="1571480"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Summary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9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5"/>
          <a:extLst>
            <a:ext uri="{FF2B5EF4-FFF2-40B4-BE49-F238E27FC236}">
              <a16:creationId xmlns:a16="http://schemas.microsoft.com/office/drawing/2014/main" id="{00000000-0008-0000-29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0</xdr:colOff>
      <xdr:row>1</xdr:row>
      <xdr:rowOff>0</xdr:rowOff>
    </xdr:from>
    <xdr:to>
      <xdr:col>5</xdr:col>
      <xdr:colOff>209550</xdr:colOff>
      <xdr:row>3</xdr:row>
      <xdr:rowOff>154218</xdr:rowOff>
    </xdr:to>
    <xdr:pic>
      <xdr:nvPicPr>
        <xdr:cNvPr id="28" name="LOGO">
          <a:extLst>
            <a:ext uri="{FF2B5EF4-FFF2-40B4-BE49-F238E27FC236}">
              <a16:creationId xmlns:a16="http://schemas.microsoft.com/office/drawing/2014/main" id="{00000000-0008-0000-2900-00001C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9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12887325" y="1801272"/>
          <a:ext cx="627520" cy="400049"/>
        </a:xfrm>
        <a:prstGeom prst="rightArrow">
          <a:avLst/>
        </a:prstGeom>
        <a:solidFill>
          <a:srgbClr val="54BC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2A00-000003000000}"/>
            </a:ext>
          </a:extLst>
        </xdr:cNvPr>
        <xdr:cNvSpPr/>
      </xdr:nvSpPr>
      <xdr:spPr>
        <a:xfrm>
          <a:off x="2200732" y="200025"/>
          <a:ext cx="1571168" cy="600075"/>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solidFill>
              <a:latin typeface="Calibri"/>
            </a:rPr>
            <a:pPr algn="ctr"/>
            <a:t>START</a:t>
          </a:fld>
          <a:endParaRPr lang="en-US" sz="1100">
            <a:solidFill>
              <a:srgbClr val="FFFFFF"/>
            </a:solidFill>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2A00-000004000000}"/>
            </a:ext>
          </a:extLst>
        </xdr:cNvPr>
        <xdr:cNvSpPr/>
      </xdr:nvSpPr>
      <xdr:spPr>
        <a:xfrm>
          <a:off x="3771900" y="200025"/>
          <a:ext cx="1571625" cy="600075"/>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rgbClr val="FFFFFF"/>
              </a:solidFill>
              <a:latin typeface="Calibri"/>
            </a:rPr>
            <a:pPr algn="ctr"/>
            <a:t>PROJECT INFORMATION</a:t>
          </a:fld>
          <a:endParaRPr lang="en-US" sz="1100">
            <a:solidFill>
              <a:srgbClr val="FFFFFF"/>
            </a:solidFill>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4"/>
          <a:extLst>
            <a:ext uri="{FF2B5EF4-FFF2-40B4-BE49-F238E27FC236}">
              <a16:creationId xmlns:a16="http://schemas.microsoft.com/office/drawing/2014/main" id="{00000000-0008-0000-2A00-000005000000}"/>
            </a:ext>
          </a:extLst>
        </xdr:cNvPr>
        <xdr:cNvSpPr/>
      </xdr:nvSpPr>
      <xdr:spPr>
        <a:xfrm>
          <a:off x="5343525" y="200025"/>
          <a:ext cx="1571625" cy="600075"/>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rgbClr val="FFFFFF"/>
              </a:solidFill>
              <a:latin typeface="Calibri"/>
            </a:rPr>
            <a:pPr algn="ctr"/>
            <a:t>CODE-BASELINE MEASURES</a:t>
          </a:fld>
          <a:endParaRPr lang="en-US" sz="1100">
            <a:solidFill>
              <a:srgbClr val="FFFFFF"/>
            </a:solidFill>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2A00-000006000000}"/>
            </a:ext>
          </a:extLst>
        </xdr:cNvPr>
        <xdr:cNvSpPr/>
      </xdr:nvSpPr>
      <xdr:spPr>
        <a:xfrm>
          <a:off x="6915150" y="200025"/>
          <a:ext cx="1571625" cy="600075"/>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rgbClr val="FFFFFF"/>
              </a:solidFill>
              <a:latin typeface="Calibri"/>
            </a:rPr>
            <a:pPr algn="ctr"/>
            <a:t>PRE-APPROVAL MEASURES</a:t>
          </a:fld>
          <a:endParaRPr lang="en-US" sz="1100">
            <a:solidFill>
              <a:srgbClr val="FFFFFF"/>
            </a:solidFill>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2A00-000007000000}"/>
            </a:ext>
          </a:extLst>
        </xdr:cNvPr>
        <xdr:cNvSpPr/>
      </xdr:nvSpPr>
      <xdr:spPr>
        <a:xfrm>
          <a:off x="8486775" y="333375"/>
          <a:ext cx="1571625" cy="600075"/>
        </a:xfrm>
        <a:prstGeom prst="round2SameRect">
          <a:avLst/>
        </a:prstGeom>
        <a:solidFill>
          <a:srgbClr val="54BCEB"/>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ysClr val="windowText" lastClr="000000"/>
              </a:solidFill>
              <a:latin typeface="Calibri"/>
            </a:rPr>
            <a:pPr algn="ctr"/>
            <a:t>APPLICATION REVIEW</a:t>
          </a:fld>
          <a:endParaRPr lang="en-US" sz="1100">
            <a:solidFill>
              <a:sysClr val="windowText" lastClr="000000"/>
            </a:solidFill>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hlinkClick xmlns:r="http://schemas.openxmlformats.org/officeDocument/2006/relationships" r:id="rId1"/>
          <a:extLst>
            <a:ext uri="{FF2B5EF4-FFF2-40B4-BE49-F238E27FC236}">
              <a16:creationId xmlns:a16="http://schemas.microsoft.com/office/drawing/2014/main" id="{00000000-0008-0000-2A00-000008000000}"/>
            </a:ext>
          </a:extLst>
        </xdr:cNvPr>
        <xdr:cNvSpPr/>
      </xdr:nvSpPr>
      <xdr:spPr>
        <a:xfrm>
          <a:off x="10058400" y="200025"/>
          <a:ext cx="1571626" cy="600075"/>
        </a:xfrm>
        <a:prstGeom prst="round2SameRect">
          <a:avLst/>
        </a:prstGeom>
        <a:solidFill>
          <a:srgbClr val="54BCEB"/>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solidFill>
                <a:srgbClr val="000000"/>
              </a:solidFill>
              <a:latin typeface="Calibri"/>
            </a:rPr>
            <a:pPr algn="ctr"/>
            <a:t>NEXT STEPS</a:t>
          </a:fld>
          <a:endParaRPr lang="en-US" sz="1100"/>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7"/>
          <a:extLst>
            <a:ext uri="{FF2B5EF4-FFF2-40B4-BE49-F238E27FC236}">
              <a16:creationId xmlns:a16="http://schemas.microsoft.com/office/drawing/2014/main" id="{00000000-0008-0000-2A00-000009000000}"/>
            </a:ext>
          </a:extLst>
        </xdr:cNvPr>
        <xdr:cNvSpPr/>
      </xdr:nvSpPr>
      <xdr:spPr>
        <a:xfrm>
          <a:off x="11630024" y="200025"/>
          <a:ext cx="1571625" cy="600075"/>
        </a:xfrm>
        <a:prstGeom prst="round2SameRect">
          <a:avLst/>
        </a:prstGeom>
        <a:solidFill>
          <a:srgbClr val="54BCEB"/>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solidFill>
                <a:srgbClr val="000000"/>
              </a:solidFill>
              <a:latin typeface="Calibri"/>
            </a:rPr>
            <a:pPr algn="ctr"/>
            <a:t>FORM4</a:t>
          </a:fld>
          <a:endParaRPr lang="en-US" sz="1100"/>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2A00-00000A000000}"/>
            </a:ext>
          </a:extLst>
        </xdr:cNvPr>
        <xdr:cNvSpPr/>
      </xdr:nvSpPr>
      <xdr:spPr>
        <a:xfrm>
          <a:off x="314325" y="800101"/>
          <a:ext cx="13515975" cy="600074"/>
        </a:xfrm>
        <a:prstGeom prst="round2SameRect">
          <a:avLst/>
        </a:prstGeom>
        <a:solidFill>
          <a:srgbClr val="54BCE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6"/>
          <a:extLst>
            <a:ext uri="{FF2B5EF4-FFF2-40B4-BE49-F238E27FC236}">
              <a16:creationId xmlns:a16="http://schemas.microsoft.com/office/drawing/2014/main" id="{00000000-0008-0000-2A00-00000B000000}"/>
            </a:ext>
          </a:extLst>
        </xdr:cNvPr>
        <xdr:cNvSpPr/>
      </xdr:nvSpPr>
      <xdr:spPr>
        <a:xfrm>
          <a:off x="631370" y="1000125"/>
          <a:ext cx="1569362" cy="397852"/>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Calibri"/>
            </a:rPr>
            <a:pPr algn="ctr"/>
            <a:t>Summary and Submittal Info</a:t>
          </a:fld>
          <a:endParaRPr lang="en-US" sz="1100">
            <a:solidFill>
              <a:srgbClr val="FFFFFF"/>
            </a:solidFill>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8"/>
          <a:extLst>
            <a:ext uri="{FF2B5EF4-FFF2-40B4-BE49-F238E27FC236}">
              <a16:creationId xmlns:a16="http://schemas.microsoft.com/office/drawing/2014/main" id="{00000000-0008-0000-2A00-00000C000000}"/>
            </a:ext>
          </a:extLst>
        </xdr:cNvPr>
        <xdr:cNvSpPr/>
      </xdr:nvSpPr>
      <xdr:spPr>
        <a:xfrm>
          <a:off x="2202826" y="1000805"/>
          <a:ext cx="1571624" cy="399370"/>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Calibri"/>
            </a:rPr>
            <a:pPr algn="ctr"/>
            <a:t>Completion Checklist</a:t>
          </a:fld>
          <a:endParaRPr lang="en-US" sz="1100">
            <a:solidFill>
              <a:srgbClr val="FFFFFF"/>
            </a:solidFill>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9"/>
          <a:extLst>
            <a:ext uri="{FF2B5EF4-FFF2-40B4-BE49-F238E27FC236}">
              <a16:creationId xmlns:a16="http://schemas.microsoft.com/office/drawing/2014/main" id="{00000000-0008-0000-2A00-00000D000000}"/>
            </a:ext>
          </a:extLst>
        </xdr:cNvPr>
        <xdr:cNvSpPr/>
      </xdr:nvSpPr>
      <xdr:spPr>
        <a:xfrm>
          <a:off x="3774451" y="1000805"/>
          <a:ext cx="1571624" cy="399370"/>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Calibri"/>
            </a:rPr>
            <a:pPr algn="ctr"/>
            <a:t>Payment Info and Submittals</a:t>
          </a:fld>
          <a:endParaRPr lang="en-US" sz="1100">
            <a:solidFill>
              <a:srgbClr val="FFFFFF"/>
            </a:solidFill>
          </a:endParaRPr>
        </a:p>
      </xdr:txBody>
    </xdr:sp>
    <xdr:clientData/>
  </xdr:twoCellAnchor>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0"/>
          <a:extLst>
            <a:ext uri="{FF2B5EF4-FFF2-40B4-BE49-F238E27FC236}">
              <a16:creationId xmlns:a16="http://schemas.microsoft.com/office/drawing/2014/main" id="{00000000-0008-0000-2A00-00000E000000}"/>
            </a:ext>
          </a:extLst>
        </xdr:cNvPr>
        <xdr:cNvSpPr/>
      </xdr:nvSpPr>
      <xdr:spPr>
        <a:xfrm>
          <a:off x="5346076" y="1000805"/>
          <a:ext cx="1571624" cy="399370"/>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Calibri"/>
            </a:rPr>
            <a:pPr algn="ctr"/>
            <a:t>Offer Form</a:t>
          </a:fld>
          <a:endParaRPr lang="en-US" sz="1100">
            <a:solidFill>
              <a:srgbClr val="FFFFFF"/>
            </a:solidFill>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1"/>
          <a:extLst>
            <a:ext uri="{FF2B5EF4-FFF2-40B4-BE49-F238E27FC236}">
              <a16:creationId xmlns:a16="http://schemas.microsoft.com/office/drawing/2014/main" id="{00000000-0008-0000-2A00-00000F000000}"/>
            </a:ext>
          </a:extLst>
        </xdr:cNvPr>
        <xdr:cNvSpPr/>
      </xdr:nvSpPr>
      <xdr:spPr>
        <a:xfrm>
          <a:off x="6917701" y="1000805"/>
          <a:ext cx="1571623" cy="399370"/>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Calibri"/>
            </a:rPr>
            <a:pPr algn="ctr"/>
            <a:t>Completion Form</a:t>
          </a:fld>
          <a:endParaRPr lang="en-US" sz="1100">
            <a:solidFill>
              <a:srgbClr val="FFFFFF"/>
            </a:solidFill>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12"/>
          <a:extLst>
            <a:ext uri="{FF2B5EF4-FFF2-40B4-BE49-F238E27FC236}">
              <a16:creationId xmlns:a16="http://schemas.microsoft.com/office/drawing/2014/main" id="{00000000-0008-0000-2A00-000010000000}"/>
            </a:ext>
          </a:extLst>
        </xdr:cNvPr>
        <xdr:cNvSpPr/>
      </xdr:nvSpPr>
      <xdr:spPr>
        <a:xfrm>
          <a:off x="8486775" y="1000805"/>
          <a:ext cx="1574490" cy="399370"/>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Calibri"/>
            </a:rPr>
            <a:pPr algn="ctr"/>
            <a:t>Inspection Form</a:t>
          </a:fld>
          <a:endParaRPr lang="en-US" sz="1100">
            <a:solidFill>
              <a:srgbClr val="FFFFFF"/>
            </a:solidFill>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13"/>
          <a:extLst>
            <a:ext uri="{FF2B5EF4-FFF2-40B4-BE49-F238E27FC236}">
              <a16:creationId xmlns:a16="http://schemas.microsoft.com/office/drawing/2014/main" id="{00000000-0008-0000-2A00-000011000000}"/>
            </a:ext>
          </a:extLst>
        </xdr:cNvPr>
        <xdr:cNvSpPr/>
      </xdr:nvSpPr>
      <xdr:spPr>
        <a:xfrm>
          <a:off x="10061265" y="1000805"/>
          <a:ext cx="1571480" cy="399370"/>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Calibri"/>
            </a:rPr>
            <a:pPr algn="ctr"/>
            <a:t>Summary Form</a:t>
          </a:fld>
          <a:endParaRPr lang="en-US" sz="1100">
            <a:solidFill>
              <a:srgbClr val="FFFFFF"/>
            </a:solidFill>
          </a:endParaRPr>
        </a:p>
      </xdr:txBody>
    </xdr:sp>
    <xdr:clientData/>
  </xdr:twoCellAnchor>
  <xdr:twoCellAnchor>
    <xdr:from>
      <xdr:col>37</xdr:col>
      <xdr:colOff>2720</xdr:colOff>
      <xdr:row>5</xdr:row>
      <xdr:rowOff>51480</xdr:rowOff>
    </xdr:from>
    <xdr:to>
      <xdr:col>42</xdr:col>
      <xdr:colOff>0</xdr:colOff>
      <xdr:row>7</xdr:row>
      <xdr:rowOff>50800</xdr:rowOff>
    </xdr:to>
    <xdr:sp macro="" textlink="M5S8">
      <xdr:nvSpPr>
        <xdr:cNvPr id="18" name="SUBMENU8">
          <a:hlinkClick xmlns:r="http://schemas.openxmlformats.org/officeDocument/2006/relationships" r:id="rId14"/>
          <a:extLst>
            <a:ext uri="{FF2B5EF4-FFF2-40B4-BE49-F238E27FC236}">
              <a16:creationId xmlns:a16="http://schemas.microsoft.com/office/drawing/2014/main" id="{00000000-0008-0000-2A00-000012000000}"/>
            </a:ext>
          </a:extLst>
        </xdr:cNvPr>
        <xdr:cNvSpPr/>
      </xdr:nvSpPr>
      <xdr:spPr>
        <a:xfrm>
          <a:off x="11632745" y="1051605"/>
          <a:ext cx="1568905" cy="399370"/>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Calibri"/>
            </a:rPr>
            <a:pPr algn="ctr"/>
            <a:t>M6S8</a:t>
          </a:fld>
          <a:endParaRPr lang="en-US" sz="1100">
            <a:solidFill>
              <a:srgbClr val="FFFFFF"/>
            </a:solidFill>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A00-000013000000}"/>
            </a:ext>
          </a:extLst>
        </xdr:cNvPr>
        <xdr:cNvSpPr/>
      </xdr:nvSpPr>
      <xdr:spPr>
        <a:xfrm>
          <a:off x="314323" y="1600199"/>
          <a:ext cx="13515977" cy="37804726"/>
        </a:xfrm>
        <a:prstGeom prst="frame">
          <a:avLst>
            <a:gd name="adj1" fmla="val 97"/>
          </a:avLst>
        </a:prstGeom>
        <a:noFill/>
        <a:ln>
          <a:solidFill>
            <a:srgbClr val="54BCE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13"/>
          <a:extLst>
            <a:ext uri="{FF2B5EF4-FFF2-40B4-BE49-F238E27FC236}">
              <a16:creationId xmlns:a16="http://schemas.microsoft.com/office/drawing/2014/main" id="{00000000-0008-0000-2A00-000014000000}"/>
            </a:ext>
          </a:extLst>
        </xdr:cNvPr>
        <xdr:cNvSpPr/>
      </xdr:nvSpPr>
      <xdr:spPr>
        <a:xfrm>
          <a:off x="631370" y="1801432"/>
          <a:ext cx="626890" cy="400050"/>
        </a:xfrm>
        <a:prstGeom prst="leftArrow">
          <a:avLst/>
        </a:prstGeom>
        <a:solidFill>
          <a:srgbClr val="54BC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A00-000015000000}"/>
            </a:ext>
          </a:extLst>
        </xdr:cNvPr>
        <xdr:cNvSpPr/>
      </xdr:nvSpPr>
      <xdr:spPr>
        <a:xfrm>
          <a:off x="314325" y="1400175"/>
          <a:ext cx="13515975" cy="200025"/>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305116</xdr:colOff>
      <xdr:row>4</xdr:row>
      <xdr:rowOff>200705</xdr:rowOff>
    </xdr:from>
    <xdr:to>
      <xdr:col>26</xdr:col>
      <xdr:colOff>305116</xdr:colOff>
      <xdr:row>7</xdr:row>
      <xdr:rowOff>0</xdr:rowOff>
    </xdr:to>
    <xdr:sp macro="" textlink="M1S3">
      <xdr:nvSpPr>
        <xdr:cNvPr id="13" name="SUBMENU3">
          <a:hlinkClick xmlns:r="http://schemas.openxmlformats.org/officeDocument/2006/relationships" r:id="rId1"/>
          <a:extLst>
            <a:ext uri="{FF2B5EF4-FFF2-40B4-BE49-F238E27FC236}">
              <a16:creationId xmlns:a16="http://schemas.microsoft.com/office/drawing/2014/main" id="{00000000-0008-0000-0B00-00000D000000}"/>
            </a:ext>
          </a:extLst>
        </xdr:cNvPr>
        <xdr:cNvSpPr/>
      </xdr:nvSpPr>
      <xdr:spPr>
        <a:xfrm>
          <a:off x="6894175" y="1007529"/>
          <a:ext cx="1568823" cy="40441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Information Links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2"/>
          <a:extLst>
            <a:ext uri="{FF2B5EF4-FFF2-40B4-BE49-F238E27FC236}">
              <a16:creationId xmlns:a16="http://schemas.microsoft.com/office/drawing/2014/main" id="{00000000-0008-0000-0B00-000010000000}"/>
            </a:ext>
          </a:extLst>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3"/>
          <a:extLst>
            <a:ext uri="{FF2B5EF4-FFF2-40B4-BE49-F238E27FC236}">
              <a16:creationId xmlns:a16="http://schemas.microsoft.com/office/drawing/2014/main" id="{00000000-0008-0000-0B00-000011000000}"/>
            </a:ext>
          </a:extLst>
        </xdr:cNvPr>
        <xdr:cNvSpPr/>
      </xdr:nvSpPr>
      <xdr:spPr>
        <a:xfrm>
          <a:off x="10061265" y="1000805"/>
          <a:ext cx="1571480"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4"/>
          <a:extLst>
            <a:ext uri="{FF2B5EF4-FFF2-40B4-BE49-F238E27FC236}">
              <a16:creationId xmlns:a16="http://schemas.microsoft.com/office/drawing/2014/main" id="{00000000-0008-0000-0B00-000012000000}"/>
            </a:ext>
          </a:extLst>
        </xdr:cNvPr>
        <xdr:cNvSpPr/>
      </xdr:nvSpPr>
      <xdr:spPr>
        <a:xfrm>
          <a:off x="11632745" y="1000805"/>
          <a:ext cx="1568905"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a:extLst>
            <a:ext uri="{FF2B5EF4-FFF2-40B4-BE49-F238E27FC236}">
              <a16:creationId xmlns:a16="http://schemas.microsoft.com/office/drawing/2014/main" id="{00000000-0008-0000-0B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6"/>
          <a:extLst>
            <a:ext uri="{FF2B5EF4-FFF2-40B4-BE49-F238E27FC236}">
              <a16:creationId xmlns:a16="http://schemas.microsoft.com/office/drawing/2014/main" id="{00000000-0008-0000-0B00-000003000000}"/>
            </a:ext>
          </a:extLst>
        </xdr:cNvPr>
        <xdr:cNvSpPr/>
      </xdr:nvSpPr>
      <xdr:spPr>
        <a:xfrm>
          <a:off x="2203283" y="333376"/>
          <a:ext cx="1571168" cy="600075"/>
        </a:xfrm>
        <a:prstGeom prst="round2SameRect">
          <a:avLst/>
        </a:prstGeom>
        <a:solidFill>
          <a:srgbClr val="F3901D"/>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1</xdr:row>
      <xdr:rowOff>0</xdr:rowOff>
    </xdr:from>
    <xdr:to>
      <xdr:col>17</xdr:col>
      <xdr:colOff>2551</xdr:colOff>
      <xdr:row>4</xdr:row>
      <xdr:rowOff>0</xdr:rowOff>
    </xdr:to>
    <xdr:sp macro="" textlink="MAIN2">
      <xdr:nvSpPr>
        <xdr:cNvPr id="4" name="MENU2">
          <a:hlinkClick xmlns:r="http://schemas.openxmlformats.org/officeDocument/2006/relationships" r:id="rId7"/>
          <a:extLst>
            <a:ext uri="{FF2B5EF4-FFF2-40B4-BE49-F238E27FC236}">
              <a16:creationId xmlns:a16="http://schemas.microsoft.com/office/drawing/2014/main" id="{00000000-0008-0000-0B00-000004000000}"/>
            </a:ext>
          </a:extLst>
        </xdr:cNvPr>
        <xdr:cNvSpPr/>
      </xdr:nvSpPr>
      <xdr:spPr>
        <a:xfrm>
          <a:off x="3774451"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hidden="1">
          <a:hlinkClick xmlns:r="http://schemas.openxmlformats.org/officeDocument/2006/relationships" r:id="rId8"/>
          <a:extLst>
            <a:ext uri="{FF2B5EF4-FFF2-40B4-BE49-F238E27FC236}">
              <a16:creationId xmlns:a16="http://schemas.microsoft.com/office/drawing/2014/main" id="{00000000-0008-0000-0B00-000005000000}"/>
            </a:ext>
          </a:extLst>
        </xdr:cNvPr>
        <xdr:cNvSpPr/>
      </xdr:nvSpPr>
      <xdr:spPr>
        <a:xfrm>
          <a:off x="534352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CODE-BASELINE MEASURES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9"/>
          <a:extLst>
            <a:ext uri="{FF2B5EF4-FFF2-40B4-BE49-F238E27FC236}">
              <a16:creationId xmlns:a16="http://schemas.microsoft.com/office/drawing/2014/main" id="{00000000-0008-0000-0B00-000006000000}"/>
            </a:ext>
          </a:extLst>
        </xdr:cNvPr>
        <xdr:cNvSpPr/>
      </xdr:nvSpPr>
      <xdr:spPr>
        <a:xfrm>
          <a:off x="691515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PRE-APPROVAL MEASURES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hidden="1">
          <a:hlinkClick xmlns:r="http://schemas.openxmlformats.org/officeDocument/2006/relationships" r:id="rId10"/>
          <a:extLst>
            <a:ext uri="{FF2B5EF4-FFF2-40B4-BE49-F238E27FC236}">
              <a16:creationId xmlns:a16="http://schemas.microsoft.com/office/drawing/2014/main" id="{00000000-0008-0000-0B00-000007000000}"/>
            </a:ext>
          </a:extLst>
        </xdr:cNvPr>
        <xdr:cNvSpPr/>
      </xdr:nvSpPr>
      <xdr:spPr>
        <a:xfrm>
          <a:off x="848677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a:extLst>
            <a:ext uri="{FF2B5EF4-FFF2-40B4-BE49-F238E27FC236}">
              <a16:creationId xmlns:a16="http://schemas.microsoft.com/office/drawing/2014/main" id="{00000000-0008-0000-0B00-000008000000}"/>
            </a:ext>
          </a:extLst>
        </xdr:cNvPr>
        <xdr:cNvSpPr/>
      </xdr:nvSpPr>
      <xdr:spPr>
        <a:xfrm>
          <a:off x="10058398" y="200026"/>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NEXT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B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0B00-00000A000000}"/>
            </a:ext>
          </a:extLst>
        </xdr:cNvPr>
        <xdr:cNvSpPr/>
      </xdr:nvSpPr>
      <xdr:spPr>
        <a:xfrm>
          <a:off x="314325" y="800101"/>
          <a:ext cx="13515975" cy="600074"/>
        </a:xfrm>
        <a:prstGeom prst="round2SameRect">
          <a:avLst/>
        </a:prstGeom>
        <a:solidFill>
          <a:srgbClr val="F390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6"/>
          <a:extLst>
            <a:ext uri="{FF2B5EF4-FFF2-40B4-BE49-F238E27FC236}">
              <a16:creationId xmlns:a16="http://schemas.microsoft.com/office/drawing/2014/main" id="{00000000-0008-0000-0B00-00000B000000}"/>
            </a:ext>
          </a:extLst>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Welcome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1S2">
      <xdr:nvSpPr>
        <xdr:cNvPr id="12" name="SUBMENU2" hidden="1">
          <a:hlinkClick xmlns:r="http://schemas.openxmlformats.org/officeDocument/2006/relationships" r:id="rId11"/>
          <a:extLst>
            <a:ext uri="{FF2B5EF4-FFF2-40B4-BE49-F238E27FC236}">
              <a16:creationId xmlns:a16="http://schemas.microsoft.com/office/drawing/2014/main" id="{00000000-0008-0000-0B00-00000C000000}"/>
            </a:ext>
          </a:extLst>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Construction Handbook</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3008</xdr:colOff>
      <xdr:row>5</xdr:row>
      <xdr:rowOff>51479</xdr:rowOff>
    </xdr:from>
    <xdr:to>
      <xdr:col>12</xdr:col>
      <xdr:colOff>3008</xdr:colOff>
      <xdr:row>7</xdr:row>
      <xdr:rowOff>50403</xdr:rowOff>
    </xdr:to>
    <xdr:sp macro="" textlink="M1S3">
      <xdr:nvSpPr>
        <xdr:cNvPr id="14" name="SUBMENU4">
          <a:hlinkClick xmlns:r="http://schemas.openxmlformats.org/officeDocument/2006/relationships" r:id="rId5"/>
          <a:extLst>
            <a:ext uri="{FF2B5EF4-FFF2-40B4-BE49-F238E27FC236}">
              <a16:creationId xmlns:a16="http://schemas.microsoft.com/office/drawing/2014/main" id="{00000000-0008-0000-0B00-00000E000000}"/>
            </a:ext>
          </a:extLst>
        </xdr:cNvPr>
        <xdr:cNvSpPr/>
      </xdr:nvSpPr>
      <xdr:spPr>
        <a:xfrm>
          <a:off x="2199361" y="1060008"/>
          <a:ext cx="1568823" cy="402336"/>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FC91091A-42EA-486E-9688-95E1622E677B}" type="TxLink">
            <a:rPr lang="en-US" sz="1100" b="0" i="0" u="none" strike="noStrike">
              <a:solidFill>
                <a:schemeClr val="bg1"/>
              </a:solidFill>
              <a:latin typeface="Arial" panose="020B0604020202020204" pitchFamily="34" charset="0"/>
              <a:cs typeface="Arial" panose="020B0604020202020204" pitchFamily="34" charset="0"/>
            </a:rPr>
            <a:pPr algn="ctr"/>
            <a:t>Information Links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14214</xdr:colOff>
      <xdr:row>4</xdr:row>
      <xdr:rowOff>189380</xdr:rowOff>
    </xdr:from>
    <xdr:to>
      <xdr:col>17</xdr:col>
      <xdr:colOff>14211</xdr:colOff>
      <xdr:row>6</xdr:row>
      <xdr:rowOff>190381</xdr:rowOff>
    </xdr:to>
    <xdr:sp macro="" textlink="M1S4">
      <xdr:nvSpPr>
        <xdr:cNvPr id="15" name="SUBMENU5">
          <a:hlinkClick xmlns:r="http://schemas.openxmlformats.org/officeDocument/2006/relationships" r:id="rId5"/>
          <a:extLst>
            <a:ext uri="{FF2B5EF4-FFF2-40B4-BE49-F238E27FC236}">
              <a16:creationId xmlns:a16="http://schemas.microsoft.com/office/drawing/2014/main" id="{00000000-0008-0000-0B00-00000F000000}"/>
            </a:ext>
          </a:extLst>
        </xdr:cNvPr>
        <xdr:cNvSpPr/>
      </xdr:nvSpPr>
      <xdr:spPr>
        <a:xfrm>
          <a:off x="3779390" y="996204"/>
          <a:ext cx="1568821" cy="40441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51692BF-47D7-4DEB-BEAE-B6B82716532E}" type="TxLink">
            <a:rPr lang="en-US" sz="1100" b="0" i="0" u="none" strike="noStrike">
              <a:solidFill>
                <a:schemeClr val="bg1"/>
              </a:solidFill>
              <a:latin typeface="Arial" panose="020B0604020202020204" pitchFamily="34" charset="0"/>
              <a:cs typeface="Arial" panose="020B0604020202020204" pitchFamily="34" charset="0"/>
            </a:rPr>
            <a:pPr algn="ctr"/>
            <a:t>Operating Hours Calculator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B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6"/>
          <a:extLst>
            <a:ext uri="{FF2B5EF4-FFF2-40B4-BE49-F238E27FC236}">
              <a16:creationId xmlns:a16="http://schemas.microsoft.com/office/drawing/2014/main" id="{00000000-0008-0000-0B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B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a:extLst>
            <a:ext uri="{FF2B5EF4-FFF2-40B4-BE49-F238E27FC236}">
              <a16:creationId xmlns:a16="http://schemas.microsoft.com/office/drawing/2014/main" id="{00000000-0008-0000-0B00-00001F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xdr:from>
      <xdr:col>36</xdr:col>
      <xdr:colOff>280146</xdr:colOff>
      <xdr:row>9</xdr:row>
      <xdr:rowOff>11206</xdr:rowOff>
    </xdr:from>
    <xdr:to>
      <xdr:col>39</xdr:col>
      <xdr:colOff>280145</xdr:colOff>
      <xdr:row>11</xdr:row>
      <xdr:rowOff>11206</xdr:rowOff>
    </xdr:to>
    <xdr:sp macro="" textlink="">
      <xdr:nvSpPr>
        <xdr:cNvPr id="40" name="Rounded Rectangle 39" hidden="1">
          <a:hlinkClick xmlns:r="http://schemas.openxmlformats.org/officeDocument/2006/relationships" r:id="rId13"/>
          <a:extLst>
            <a:ext uri="{FF2B5EF4-FFF2-40B4-BE49-F238E27FC236}">
              <a16:creationId xmlns:a16="http://schemas.microsoft.com/office/drawing/2014/main" id="{00000000-0008-0000-0B00-000028000000}"/>
            </a:ext>
          </a:extLst>
        </xdr:cNvPr>
        <xdr:cNvSpPr/>
      </xdr:nvSpPr>
      <xdr:spPr>
        <a:xfrm>
          <a:off x="11575675" y="1826559"/>
          <a:ext cx="941294" cy="403412"/>
        </a:xfrm>
        <a:prstGeom prst="roundRect">
          <a:avLst/>
        </a:prstGeom>
        <a:solidFill>
          <a:srgbClr val="1B6CB5"/>
        </a:solidFill>
        <a:ln>
          <a:noFill/>
        </a:ln>
        <a:scene3d>
          <a:camera prst="orthographicFront"/>
          <a:lightRig rig="threePt" dir="t"/>
        </a:scene3d>
        <a:sp3d>
          <a:bevelT w="508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100"/>
            <a:t>Download PDF Version</a:t>
          </a:r>
        </a:p>
      </xdr:txBody>
    </xdr:sp>
    <xdr:clientData fPrintsWithSheet="0"/>
  </xdr:twoCellAnchor>
  <xdr:twoCellAnchor editAs="oneCell">
    <xdr:from>
      <xdr:col>23</xdr:col>
      <xdr:colOff>0</xdr:colOff>
      <xdr:row>12</xdr:row>
      <xdr:rowOff>0</xdr:rowOff>
    </xdr:from>
    <xdr:to>
      <xdr:col>28</xdr:col>
      <xdr:colOff>304147</xdr:colOff>
      <xdr:row>21</xdr:row>
      <xdr:rowOff>153396</xdr:rowOff>
    </xdr:to>
    <xdr:pic>
      <xdr:nvPicPr>
        <xdr:cNvPr id="24" name="Picture 23">
          <a:hlinkClick xmlns:r="http://schemas.openxmlformats.org/officeDocument/2006/relationships" r:id="rId14"/>
          <a:extLst>
            <a:ext uri="{FF2B5EF4-FFF2-40B4-BE49-F238E27FC236}">
              <a16:creationId xmlns:a16="http://schemas.microsoft.com/office/drawing/2014/main" id="{00000000-0008-0000-0B00-00001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7229475" y="2400300"/>
          <a:ext cx="1875772" cy="1953621"/>
        </a:xfrm>
        <a:prstGeom prst="rect">
          <a:avLst/>
        </a:prstGeom>
      </xdr:spPr>
    </xdr:pic>
    <xdr:clientData/>
  </xdr:twoCellAnchor>
  <xdr:twoCellAnchor editAs="oneCell">
    <xdr:from>
      <xdr:col>2</xdr:col>
      <xdr:colOff>0</xdr:colOff>
      <xdr:row>12</xdr:row>
      <xdr:rowOff>0</xdr:rowOff>
    </xdr:from>
    <xdr:to>
      <xdr:col>7</xdr:col>
      <xdr:colOff>304147</xdr:colOff>
      <xdr:row>21</xdr:row>
      <xdr:rowOff>153396</xdr:rowOff>
    </xdr:to>
    <xdr:pic>
      <xdr:nvPicPr>
        <xdr:cNvPr id="25" name="Picture 24">
          <a:hlinkClick xmlns:r="http://schemas.openxmlformats.org/officeDocument/2006/relationships" r:id="rId16"/>
          <a:extLst>
            <a:ext uri="{FF2B5EF4-FFF2-40B4-BE49-F238E27FC236}">
              <a16:creationId xmlns:a16="http://schemas.microsoft.com/office/drawing/2014/main" id="{00000000-0008-0000-0B00-000019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8650" y="2400300"/>
          <a:ext cx="1875772" cy="1953621"/>
        </a:xfrm>
        <a:prstGeom prst="rect">
          <a:avLst/>
        </a:prstGeom>
      </xdr:spPr>
    </xdr:pic>
    <xdr:clientData/>
  </xdr:twoCellAnchor>
  <xdr:twoCellAnchor editAs="oneCell">
    <xdr:from>
      <xdr:col>9</xdr:col>
      <xdr:colOff>0</xdr:colOff>
      <xdr:row>12</xdr:row>
      <xdr:rowOff>0</xdr:rowOff>
    </xdr:from>
    <xdr:to>
      <xdr:col>14</xdr:col>
      <xdr:colOff>304147</xdr:colOff>
      <xdr:row>21</xdr:row>
      <xdr:rowOff>153396</xdr:rowOff>
    </xdr:to>
    <xdr:pic>
      <xdr:nvPicPr>
        <xdr:cNvPr id="26" name="Picture 25">
          <a:hlinkClick xmlns:r="http://schemas.openxmlformats.org/officeDocument/2006/relationships" r:id="rId18"/>
          <a:extLst>
            <a:ext uri="{FF2B5EF4-FFF2-40B4-BE49-F238E27FC236}">
              <a16:creationId xmlns:a16="http://schemas.microsoft.com/office/drawing/2014/main" id="{00000000-0008-0000-0B00-00001A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2828925" y="2400300"/>
          <a:ext cx="1875772" cy="1953621"/>
        </a:xfrm>
        <a:prstGeom prst="rect">
          <a:avLst/>
        </a:prstGeom>
      </xdr:spPr>
    </xdr:pic>
    <xdr:clientData/>
  </xdr:twoCellAnchor>
  <xdr:twoCellAnchor editAs="oneCell">
    <xdr:from>
      <xdr:col>16</xdr:col>
      <xdr:colOff>0</xdr:colOff>
      <xdr:row>12</xdr:row>
      <xdr:rowOff>0</xdr:rowOff>
    </xdr:from>
    <xdr:to>
      <xdr:col>21</xdr:col>
      <xdr:colOff>304147</xdr:colOff>
      <xdr:row>21</xdr:row>
      <xdr:rowOff>153396</xdr:rowOff>
    </xdr:to>
    <xdr:pic>
      <xdr:nvPicPr>
        <xdr:cNvPr id="27" name="Picture 26">
          <a:hlinkClick xmlns:r="http://schemas.openxmlformats.org/officeDocument/2006/relationships" r:id="rId20"/>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5029200" y="2400300"/>
          <a:ext cx="1875772" cy="1953621"/>
        </a:xfrm>
        <a:prstGeom prst="rect">
          <a:avLst/>
        </a:prstGeom>
      </xdr:spPr>
    </xdr:pic>
    <xdr:clientData/>
  </xdr:twoCellAnchor>
  <xdr:twoCellAnchor editAs="oneCell">
    <xdr:from>
      <xdr:col>30</xdr:col>
      <xdr:colOff>0</xdr:colOff>
      <xdr:row>12</xdr:row>
      <xdr:rowOff>0</xdr:rowOff>
    </xdr:from>
    <xdr:to>
      <xdr:col>35</xdr:col>
      <xdr:colOff>304147</xdr:colOff>
      <xdr:row>21</xdr:row>
      <xdr:rowOff>153396</xdr:rowOff>
    </xdr:to>
    <xdr:pic>
      <xdr:nvPicPr>
        <xdr:cNvPr id="28" name="Picture 27">
          <a:hlinkClick xmlns:r="http://schemas.openxmlformats.org/officeDocument/2006/relationships" r:id="rId22"/>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9429750" y="2400300"/>
          <a:ext cx="1875772" cy="1953621"/>
        </a:xfrm>
        <a:prstGeom prst="rect">
          <a:avLst/>
        </a:prstGeom>
      </xdr:spPr>
    </xdr:pic>
    <xdr:clientData/>
  </xdr:twoCellAnchor>
  <xdr:twoCellAnchor editAs="oneCell">
    <xdr:from>
      <xdr:col>2</xdr:col>
      <xdr:colOff>0</xdr:colOff>
      <xdr:row>24</xdr:row>
      <xdr:rowOff>0</xdr:rowOff>
    </xdr:from>
    <xdr:to>
      <xdr:col>7</xdr:col>
      <xdr:colOff>304147</xdr:colOff>
      <xdr:row>33</xdr:row>
      <xdr:rowOff>153396</xdr:rowOff>
    </xdr:to>
    <xdr:pic>
      <xdr:nvPicPr>
        <xdr:cNvPr id="30" name="Picture 29">
          <a:hlinkClick xmlns:r="http://schemas.openxmlformats.org/officeDocument/2006/relationships" r:id="rId24"/>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628650" y="4800600"/>
          <a:ext cx="1875772" cy="1953621"/>
        </a:xfrm>
        <a:prstGeom prst="rect">
          <a:avLst/>
        </a:prstGeom>
      </xdr:spPr>
    </xdr:pic>
    <xdr:clientData/>
  </xdr:twoCellAnchor>
  <xdr:twoCellAnchor editAs="oneCell">
    <xdr:from>
      <xdr:col>9</xdr:col>
      <xdr:colOff>0</xdr:colOff>
      <xdr:row>24</xdr:row>
      <xdr:rowOff>0</xdr:rowOff>
    </xdr:from>
    <xdr:to>
      <xdr:col>14</xdr:col>
      <xdr:colOff>304147</xdr:colOff>
      <xdr:row>33</xdr:row>
      <xdr:rowOff>153396</xdr:rowOff>
    </xdr:to>
    <xdr:pic>
      <xdr:nvPicPr>
        <xdr:cNvPr id="32" name="Picture 31">
          <a:hlinkClick xmlns:r="http://schemas.openxmlformats.org/officeDocument/2006/relationships" r:id="rId26"/>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828925" y="4800600"/>
          <a:ext cx="1875772" cy="1953621"/>
        </a:xfrm>
        <a:prstGeom prst="rect">
          <a:avLst/>
        </a:prstGeom>
      </xdr:spPr>
    </xdr:pic>
    <xdr:clientData/>
  </xdr:twoCellAnchor>
  <xdr:twoCellAnchor editAs="oneCell">
    <xdr:from>
      <xdr:col>16</xdr:col>
      <xdr:colOff>0</xdr:colOff>
      <xdr:row>24</xdr:row>
      <xdr:rowOff>0</xdr:rowOff>
    </xdr:from>
    <xdr:to>
      <xdr:col>21</xdr:col>
      <xdr:colOff>304147</xdr:colOff>
      <xdr:row>33</xdr:row>
      <xdr:rowOff>153396</xdr:rowOff>
    </xdr:to>
    <xdr:pic>
      <xdr:nvPicPr>
        <xdr:cNvPr id="33" name="Picture 32">
          <a:hlinkClick xmlns:r="http://schemas.openxmlformats.org/officeDocument/2006/relationships" r:id="rId28"/>
          <a:extLst>
            <a:ext uri="{FF2B5EF4-FFF2-40B4-BE49-F238E27FC236}">
              <a16:creationId xmlns:a16="http://schemas.microsoft.com/office/drawing/2014/main" id="{00000000-0008-0000-0B00-000021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5029200" y="4800600"/>
          <a:ext cx="1875772" cy="1953621"/>
        </a:xfrm>
        <a:prstGeom prst="rect">
          <a:avLst/>
        </a:prstGeom>
      </xdr:spPr>
    </xdr:pic>
    <xdr:clientData/>
  </xdr:twoCellAnchor>
  <xdr:twoCellAnchor editAs="oneCell">
    <xdr:from>
      <xdr:col>23</xdr:col>
      <xdr:colOff>0</xdr:colOff>
      <xdr:row>24</xdr:row>
      <xdr:rowOff>0</xdr:rowOff>
    </xdr:from>
    <xdr:to>
      <xdr:col>28</xdr:col>
      <xdr:colOff>304147</xdr:colOff>
      <xdr:row>33</xdr:row>
      <xdr:rowOff>153396</xdr:rowOff>
    </xdr:to>
    <xdr:pic>
      <xdr:nvPicPr>
        <xdr:cNvPr id="34" name="Picture 33">
          <a:hlinkClick xmlns:r="http://schemas.openxmlformats.org/officeDocument/2006/relationships" r:id="rId30"/>
          <a:extLst>
            <a:ext uri="{FF2B5EF4-FFF2-40B4-BE49-F238E27FC236}">
              <a16:creationId xmlns:a16="http://schemas.microsoft.com/office/drawing/2014/main" id="{00000000-0008-0000-0B00-000022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7229475" y="4800600"/>
          <a:ext cx="1875772" cy="1953621"/>
        </a:xfrm>
        <a:prstGeom prst="rect">
          <a:avLst/>
        </a:prstGeom>
      </xdr:spPr>
    </xdr:pic>
    <xdr:clientData/>
  </xdr:twoCellAnchor>
  <xdr:twoCellAnchor editAs="oneCell">
    <xdr:from>
      <xdr:col>30</xdr:col>
      <xdr:colOff>0</xdr:colOff>
      <xdr:row>24</xdr:row>
      <xdr:rowOff>0</xdr:rowOff>
    </xdr:from>
    <xdr:to>
      <xdr:col>35</xdr:col>
      <xdr:colOff>304147</xdr:colOff>
      <xdr:row>33</xdr:row>
      <xdr:rowOff>153396</xdr:rowOff>
    </xdr:to>
    <xdr:pic>
      <xdr:nvPicPr>
        <xdr:cNvPr id="35" name="Picture 34">
          <a:hlinkClick xmlns:r="http://schemas.openxmlformats.org/officeDocument/2006/relationships" r:id="rId32"/>
          <a:extLst>
            <a:ext uri="{FF2B5EF4-FFF2-40B4-BE49-F238E27FC236}">
              <a16:creationId xmlns:a16="http://schemas.microsoft.com/office/drawing/2014/main" id="{00000000-0008-0000-0B00-000023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9429750" y="4800600"/>
          <a:ext cx="1875772" cy="1953621"/>
        </a:xfrm>
        <a:prstGeom prst="rect">
          <a:avLst/>
        </a:prstGeom>
      </xdr:spPr>
    </xdr:pic>
    <xdr:clientData/>
  </xdr:twoCellAnchor>
  <xdr:twoCellAnchor editAs="oneCell">
    <xdr:from>
      <xdr:col>37</xdr:col>
      <xdr:colOff>0</xdr:colOff>
      <xdr:row>12</xdr:row>
      <xdr:rowOff>0</xdr:rowOff>
    </xdr:from>
    <xdr:to>
      <xdr:col>42</xdr:col>
      <xdr:colOff>263769</xdr:colOff>
      <xdr:row>21</xdr:row>
      <xdr:rowOff>154347</xdr:rowOff>
    </xdr:to>
    <xdr:pic>
      <xdr:nvPicPr>
        <xdr:cNvPr id="36" name="Picture 35">
          <a:hlinkClick xmlns:r="http://schemas.openxmlformats.org/officeDocument/2006/relationships" r:id="rId34"/>
          <a:extLst>
            <a:ext uri="{FF2B5EF4-FFF2-40B4-BE49-F238E27FC236}">
              <a16:creationId xmlns:a16="http://schemas.microsoft.com/office/drawing/2014/main" id="{00000000-0008-0000-0B00-000024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1657135" y="2373923"/>
          <a:ext cx="1839057" cy="193478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22</xdr:col>
      <xdr:colOff>13764</xdr:colOff>
      <xdr:row>4</xdr:row>
      <xdr:rowOff>200705</xdr:rowOff>
    </xdr:from>
    <xdr:to>
      <xdr:col>27</xdr:col>
      <xdr:colOff>13764</xdr:colOff>
      <xdr:row>7</xdr:row>
      <xdr:rowOff>0</xdr:rowOff>
    </xdr:to>
    <xdr:sp macro="" textlink="M1S3">
      <xdr:nvSpPr>
        <xdr:cNvPr id="13" name="SUBMENU3">
          <a:hlinkClick xmlns:r="http://schemas.openxmlformats.org/officeDocument/2006/relationships" r:id="rId1"/>
          <a:extLst>
            <a:ext uri="{FF2B5EF4-FFF2-40B4-BE49-F238E27FC236}">
              <a16:creationId xmlns:a16="http://schemas.microsoft.com/office/drawing/2014/main" id="{00000000-0008-0000-0C00-00000D000000}"/>
            </a:ext>
          </a:extLst>
        </xdr:cNvPr>
        <xdr:cNvSpPr/>
      </xdr:nvSpPr>
      <xdr:spPr>
        <a:xfrm>
          <a:off x="6916588" y="1007529"/>
          <a:ext cx="1568823" cy="40441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Information Links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2"/>
          <a:extLst>
            <a:ext uri="{FF2B5EF4-FFF2-40B4-BE49-F238E27FC236}">
              <a16:creationId xmlns:a16="http://schemas.microsoft.com/office/drawing/2014/main" id="{00000000-0008-0000-0C00-000010000000}"/>
            </a:ext>
          </a:extLst>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3"/>
          <a:extLst>
            <a:ext uri="{FF2B5EF4-FFF2-40B4-BE49-F238E27FC236}">
              <a16:creationId xmlns:a16="http://schemas.microsoft.com/office/drawing/2014/main" id="{00000000-0008-0000-0C00-000011000000}"/>
            </a:ext>
          </a:extLst>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4"/>
          <a:extLst>
            <a:ext uri="{FF2B5EF4-FFF2-40B4-BE49-F238E27FC236}">
              <a16:creationId xmlns:a16="http://schemas.microsoft.com/office/drawing/2014/main" id="{00000000-0008-0000-0C00-000012000000}"/>
            </a:ext>
          </a:extLst>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a:extLst>
            <a:ext uri="{FF2B5EF4-FFF2-40B4-BE49-F238E27FC236}">
              <a16:creationId xmlns:a16="http://schemas.microsoft.com/office/drawing/2014/main" id="{00000000-0008-0000-0C00-000002000000}"/>
            </a:ext>
          </a:extLst>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6"/>
          <a:extLst>
            <a:ext uri="{FF2B5EF4-FFF2-40B4-BE49-F238E27FC236}">
              <a16:creationId xmlns:a16="http://schemas.microsoft.com/office/drawing/2014/main" id="{00000000-0008-0000-0C00-000003000000}"/>
            </a:ext>
          </a:extLst>
        </xdr:cNvPr>
        <xdr:cNvSpPr/>
      </xdr:nvSpPr>
      <xdr:spPr>
        <a:xfrm>
          <a:off x="2203283" y="333376"/>
          <a:ext cx="1571168" cy="600075"/>
        </a:xfrm>
        <a:prstGeom prst="round2SameRect">
          <a:avLst/>
        </a:prstGeom>
        <a:solidFill>
          <a:srgbClr val="F3901D"/>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1</xdr:row>
      <xdr:rowOff>0</xdr:rowOff>
    </xdr:from>
    <xdr:to>
      <xdr:col>17</xdr:col>
      <xdr:colOff>2551</xdr:colOff>
      <xdr:row>4</xdr:row>
      <xdr:rowOff>0</xdr:rowOff>
    </xdr:to>
    <xdr:sp macro="" textlink="MAIN2">
      <xdr:nvSpPr>
        <xdr:cNvPr id="4" name="MENU2">
          <a:hlinkClick xmlns:r="http://schemas.openxmlformats.org/officeDocument/2006/relationships" r:id="rId5"/>
          <a:extLst>
            <a:ext uri="{FF2B5EF4-FFF2-40B4-BE49-F238E27FC236}">
              <a16:creationId xmlns:a16="http://schemas.microsoft.com/office/drawing/2014/main" id="{00000000-0008-0000-0C00-000004000000}"/>
            </a:ext>
          </a:extLst>
        </xdr:cNvPr>
        <xdr:cNvSpPr/>
      </xdr:nvSpPr>
      <xdr:spPr>
        <a:xfrm>
          <a:off x="3767727" y="201706"/>
          <a:ext cx="1568824" cy="605118"/>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hidden="1">
          <a:hlinkClick xmlns:r="http://schemas.openxmlformats.org/officeDocument/2006/relationships" r:id="rId7"/>
          <a:extLst>
            <a:ext uri="{FF2B5EF4-FFF2-40B4-BE49-F238E27FC236}">
              <a16:creationId xmlns:a16="http://schemas.microsoft.com/office/drawing/2014/main" id="{00000000-0008-0000-0C00-000005000000}"/>
            </a:ext>
          </a:extLst>
        </xdr:cNvPr>
        <xdr:cNvSpPr/>
      </xdr:nvSpPr>
      <xdr:spPr>
        <a:xfrm>
          <a:off x="534352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CODE-BASELINE MEASURES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8"/>
          <a:extLst>
            <a:ext uri="{FF2B5EF4-FFF2-40B4-BE49-F238E27FC236}">
              <a16:creationId xmlns:a16="http://schemas.microsoft.com/office/drawing/2014/main" id="{00000000-0008-0000-0C00-000006000000}"/>
            </a:ext>
          </a:extLst>
        </xdr:cNvPr>
        <xdr:cNvSpPr/>
      </xdr:nvSpPr>
      <xdr:spPr>
        <a:xfrm>
          <a:off x="691515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PRE-APPROVAL MEASURES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hidden="1">
          <a:hlinkClick xmlns:r="http://schemas.openxmlformats.org/officeDocument/2006/relationships" r:id="rId9"/>
          <a:extLst>
            <a:ext uri="{FF2B5EF4-FFF2-40B4-BE49-F238E27FC236}">
              <a16:creationId xmlns:a16="http://schemas.microsoft.com/office/drawing/2014/main" id="{00000000-0008-0000-0C00-000007000000}"/>
            </a:ext>
          </a:extLst>
        </xdr:cNvPr>
        <xdr:cNvSpPr/>
      </xdr:nvSpPr>
      <xdr:spPr>
        <a:xfrm>
          <a:off x="848677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a:extLst>
            <a:ext uri="{FF2B5EF4-FFF2-40B4-BE49-F238E27FC236}">
              <a16:creationId xmlns:a16="http://schemas.microsoft.com/office/drawing/2014/main" id="{00000000-0008-0000-0C00-000008000000}"/>
            </a:ext>
          </a:extLst>
        </xdr:cNvPr>
        <xdr:cNvSpPr/>
      </xdr:nvSpPr>
      <xdr:spPr>
        <a:xfrm>
          <a:off x="10058398" y="200026"/>
          <a:ext cx="1571626" cy="600075"/>
        </a:xfrm>
        <a:prstGeom prst="round2SameRect">
          <a:avLst/>
        </a:prstGeom>
        <a:noFill/>
        <a:ln w="127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NEXT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C00-000009000000}"/>
            </a:ext>
          </a:extLst>
        </xdr:cNvPr>
        <xdr:cNvSpPr/>
      </xdr:nvSpPr>
      <xdr:spPr>
        <a:xfrm>
          <a:off x="11630024" y="200025"/>
          <a:ext cx="1571625" cy="600075"/>
        </a:xfrm>
        <a:prstGeom prst="round2SameRect">
          <a:avLst/>
        </a:prstGeom>
        <a:noFill/>
        <a:ln w="127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0C00-00000A000000}"/>
            </a:ext>
          </a:extLst>
        </xdr:cNvPr>
        <xdr:cNvSpPr/>
      </xdr:nvSpPr>
      <xdr:spPr>
        <a:xfrm>
          <a:off x="314325" y="800101"/>
          <a:ext cx="13515975" cy="600074"/>
        </a:xfrm>
        <a:prstGeom prst="round2SameRect">
          <a:avLst/>
        </a:prstGeom>
        <a:solidFill>
          <a:srgbClr val="F390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6"/>
          <a:extLst>
            <a:ext uri="{FF2B5EF4-FFF2-40B4-BE49-F238E27FC236}">
              <a16:creationId xmlns:a16="http://schemas.microsoft.com/office/drawing/2014/main" id="{00000000-0008-0000-0C00-00000B000000}"/>
            </a:ext>
          </a:extLst>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Welcome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1S2">
      <xdr:nvSpPr>
        <xdr:cNvPr id="12" name="SUBMENU2" hidden="1">
          <a:hlinkClick xmlns:r="http://schemas.openxmlformats.org/officeDocument/2006/relationships" r:id="rId10"/>
          <a:extLst>
            <a:ext uri="{FF2B5EF4-FFF2-40B4-BE49-F238E27FC236}">
              <a16:creationId xmlns:a16="http://schemas.microsoft.com/office/drawing/2014/main" id="{00000000-0008-0000-0C00-00000C000000}"/>
            </a:ext>
          </a:extLst>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Construction Handbook</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0</xdr:colOff>
      <xdr:row>5</xdr:row>
      <xdr:rowOff>0</xdr:rowOff>
    </xdr:from>
    <xdr:to>
      <xdr:col>12</xdr:col>
      <xdr:colOff>0</xdr:colOff>
      <xdr:row>7</xdr:row>
      <xdr:rowOff>1000</xdr:rowOff>
    </xdr:to>
    <xdr:sp macro="" textlink="M1S3">
      <xdr:nvSpPr>
        <xdr:cNvPr id="14" name="SUBMENU4">
          <a:hlinkClick xmlns:r="http://schemas.openxmlformats.org/officeDocument/2006/relationships" r:id="rId1"/>
          <a:extLst>
            <a:ext uri="{FF2B5EF4-FFF2-40B4-BE49-F238E27FC236}">
              <a16:creationId xmlns:a16="http://schemas.microsoft.com/office/drawing/2014/main" id="{00000000-0008-0000-0C00-00000E000000}"/>
            </a:ext>
          </a:extLst>
        </xdr:cNvPr>
        <xdr:cNvSpPr/>
      </xdr:nvSpPr>
      <xdr:spPr>
        <a:xfrm>
          <a:off x="2196353" y="1008529"/>
          <a:ext cx="1568823" cy="40441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4A8EF2C-EE10-497B-8487-0D6D6FA09DD9}" type="TxLink">
            <a:rPr lang="en-US" sz="1100" b="0" i="0" u="none" strike="noStrike">
              <a:solidFill>
                <a:schemeClr val="bg1"/>
              </a:solidFill>
              <a:latin typeface="Arial" panose="020B0604020202020204" pitchFamily="34" charset="0"/>
              <a:cs typeface="Arial" panose="020B0604020202020204" pitchFamily="34" charset="0"/>
            </a:rPr>
            <a:pPr algn="ctr"/>
            <a:t>Information Links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2554</xdr:colOff>
      <xdr:row>5</xdr:row>
      <xdr:rowOff>83229</xdr:rowOff>
    </xdr:from>
    <xdr:to>
      <xdr:col>17</xdr:col>
      <xdr:colOff>2551</xdr:colOff>
      <xdr:row>7</xdr:row>
      <xdr:rowOff>82153</xdr:rowOff>
    </xdr:to>
    <xdr:sp macro="" textlink="M1S4">
      <xdr:nvSpPr>
        <xdr:cNvPr id="15" name="SUBMENU5">
          <a:hlinkClick xmlns:r="http://schemas.openxmlformats.org/officeDocument/2006/relationships" r:id="rId11"/>
          <a:extLst>
            <a:ext uri="{FF2B5EF4-FFF2-40B4-BE49-F238E27FC236}">
              <a16:creationId xmlns:a16="http://schemas.microsoft.com/office/drawing/2014/main" id="{00000000-0008-0000-0C00-00000F000000}"/>
            </a:ext>
          </a:extLst>
        </xdr:cNvPr>
        <xdr:cNvSpPr/>
      </xdr:nvSpPr>
      <xdr:spPr>
        <a:xfrm>
          <a:off x="3767730" y="1091758"/>
          <a:ext cx="1568821" cy="402336"/>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242F9F4-DD8C-4889-B5F0-D53BD89BF4FF}" type="TxLink">
            <a:rPr lang="en-US" sz="1100" b="0" i="0" u="none" strike="noStrike">
              <a:solidFill>
                <a:schemeClr val="bg1"/>
              </a:solidFill>
              <a:latin typeface="Arial" panose="020B0604020202020204" pitchFamily="34" charset="0"/>
              <a:cs typeface="Arial" panose="020B0604020202020204" pitchFamily="34" charset="0"/>
            </a:rPr>
            <a:pPr algn="ctr"/>
            <a:t>Operating Hours Calculator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C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1"/>
          <a:extLst>
            <a:ext uri="{FF2B5EF4-FFF2-40B4-BE49-F238E27FC236}">
              <a16:creationId xmlns:a16="http://schemas.microsoft.com/office/drawing/2014/main" id="{00000000-0008-0000-0C00-000014000000}"/>
            </a:ext>
          </a:extLst>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C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6" name="LOGO">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21</xdr:col>
          <xdr:colOff>152400</xdr:colOff>
          <xdr:row>17</xdr:row>
          <xdr:rowOff>0</xdr:rowOff>
        </xdr:from>
        <xdr:to>
          <xdr:col>22</xdr:col>
          <xdr:colOff>57150</xdr:colOff>
          <xdr:row>18</xdr:row>
          <xdr:rowOff>9525</xdr:rowOff>
        </xdr:to>
        <xdr:sp macro="" textlink="">
          <xdr:nvSpPr>
            <xdr:cNvPr id="141313" name="Check Box 1" hidden="1">
              <a:extLst>
                <a:ext uri="{63B3BB69-23CF-44E3-9099-C40C66FF867C}">
                  <a14:compatExt spid="_x0000_s141313"/>
                </a:ext>
                <a:ext uri="{FF2B5EF4-FFF2-40B4-BE49-F238E27FC236}">
                  <a16:creationId xmlns:a16="http://schemas.microsoft.com/office/drawing/2014/main" id="{00000000-0008-0000-0C00-000001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18</xdr:row>
          <xdr:rowOff>0</xdr:rowOff>
        </xdr:from>
        <xdr:to>
          <xdr:col>22</xdr:col>
          <xdr:colOff>57150</xdr:colOff>
          <xdr:row>19</xdr:row>
          <xdr:rowOff>9525</xdr:rowOff>
        </xdr:to>
        <xdr:sp macro="" textlink="">
          <xdr:nvSpPr>
            <xdr:cNvPr id="141314" name="Check Box 2" hidden="1">
              <a:extLst>
                <a:ext uri="{63B3BB69-23CF-44E3-9099-C40C66FF867C}">
                  <a14:compatExt spid="_x0000_s141314"/>
                </a:ext>
                <a:ext uri="{FF2B5EF4-FFF2-40B4-BE49-F238E27FC236}">
                  <a16:creationId xmlns:a16="http://schemas.microsoft.com/office/drawing/2014/main" id="{00000000-0008-0000-0C00-000002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19</xdr:row>
          <xdr:rowOff>0</xdr:rowOff>
        </xdr:from>
        <xdr:to>
          <xdr:col>22</xdr:col>
          <xdr:colOff>57150</xdr:colOff>
          <xdr:row>20</xdr:row>
          <xdr:rowOff>9525</xdr:rowOff>
        </xdr:to>
        <xdr:sp macro="" textlink="">
          <xdr:nvSpPr>
            <xdr:cNvPr id="141315" name="Check Box 3" hidden="1">
              <a:extLst>
                <a:ext uri="{63B3BB69-23CF-44E3-9099-C40C66FF867C}">
                  <a14:compatExt spid="_x0000_s141315"/>
                </a:ext>
                <a:ext uri="{FF2B5EF4-FFF2-40B4-BE49-F238E27FC236}">
                  <a16:creationId xmlns:a16="http://schemas.microsoft.com/office/drawing/2014/main" id="{00000000-0008-0000-0C00-000003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20</xdr:row>
          <xdr:rowOff>0</xdr:rowOff>
        </xdr:from>
        <xdr:to>
          <xdr:col>22</xdr:col>
          <xdr:colOff>57150</xdr:colOff>
          <xdr:row>21</xdr:row>
          <xdr:rowOff>9525</xdr:rowOff>
        </xdr:to>
        <xdr:sp macro="" textlink="">
          <xdr:nvSpPr>
            <xdr:cNvPr id="141316" name="Check Box 4" hidden="1">
              <a:extLst>
                <a:ext uri="{63B3BB69-23CF-44E3-9099-C40C66FF867C}">
                  <a14:compatExt spid="_x0000_s141316"/>
                </a:ext>
                <a:ext uri="{FF2B5EF4-FFF2-40B4-BE49-F238E27FC236}">
                  <a16:creationId xmlns:a16="http://schemas.microsoft.com/office/drawing/2014/main" id="{00000000-0008-0000-0C00-00000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21</xdr:row>
          <xdr:rowOff>0</xdr:rowOff>
        </xdr:from>
        <xdr:to>
          <xdr:col>22</xdr:col>
          <xdr:colOff>57150</xdr:colOff>
          <xdr:row>22</xdr:row>
          <xdr:rowOff>9525</xdr:rowOff>
        </xdr:to>
        <xdr:sp macro="" textlink="">
          <xdr:nvSpPr>
            <xdr:cNvPr id="141317" name="Check Box 5" hidden="1">
              <a:extLst>
                <a:ext uri="{63B3BB69-23CF-44E3-9099-C40C66FF867C}">
                  <a14:compatExt spid="_x0000_s141317"/>
                </a:ext>
                <a:ext uri="{FF2B5EF4-FFF2-40B4-BE49-F238E27FC236}">
                  <a16:creationId xmlns:a16="http://schemas.microsoft.com/office/drawing/2014/main" id="{00000000-0008-0000-0C00-000005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22</xdr:row>
          <xdr:rowOff>0</xdr:rowOff>
        </xdr:from>
        <xdr:to>
          <xdr:col>22</xdr:col>
          <xdr:colOff>57150</xdr:colOff>
          <xdr:row>23</xdr:row>
          <xdr:rowOff>9525</xdr:rowOff>
        </xdr:to>
        <xdr:sp macro="" textlink="">
          <xdr:nvSpPr>
            <xdr:cNvPr id="141318" name="Check Box 6" hidden="1">
              <a:extLst>
                <a:ext uri="{63B3BB69-23CF-44E3-9099-C40C66FF867C}">
                  <a14:compatExt spid="_x0000_s141318"/>
                </a:ext>
                <a:ext uri="{FF2B5EF4-FFF2-40B4-BE49-F238E27FC236}">
                  <a16:creationId xmlns:a16="http://schemas.microsoft.com/office/drawing/2014/main" id="{00000000-0008-0000-0C00-00000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23</xdr:row>
          <xdr:rowOff>0</xdr:rowOff>
        </xdr:from>
        <xdr:to>
          <xdr:col>22</xdr:col>
          <xdr:colOff>57150</xdr:colOff>
          <xdr:row>24</xdr:row>
          <xdr:rowOff>9525</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C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24</xdr:row>
          <xdr:rowOff>0</xdr:rowOff>
        </xdr:from>
        <xdr:to>
          <xdr:col>22</xdr:col>
          <xdr:colOff>57150</xdr:colOff>
          <xdr:row>25</xdr:row>
          <xdr:rowOff>9525</xdr:rowOff>
        </xdr:to>
        <xdr:sp macro="" textlink="">
          <xdr:nvSpPr>
            <xdr:cNvPr id="141320" name="Check Box 8" hidden="1">
              <a:extLst>
                <a:ext uri="{63B3BB69-23CF-44E3-9099-C40C66FF867C}">
                  <a14:compatExt spid="_x0000_s141320"/>
                </a:ext>
                <a:ext uri="{FF2B5EF4-FFF2-40B4-BE49-F238E27FC236}">
                  <a16:creationId xmlns:a16="http://schemas.microsoft.com/office/drawing/2014/main" id="{00000000-0008-0000-0C00-000008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25</xdr:row>
          <xdr:rowOff>0</xdr:rowOff>
        </xdr:from>
        <xdr:to>
          <xdr:col>22</xdr:col>
          <xdr:colOff>57150</xdr:colOff>
          <xdr:row>26</xdr:row>
          <xdr:rowOff>9525</xdr:rowOff>
        </xdr:to>
        <xdr:sp macro="" textlink="">
          <xdr:nvSpPr>
            <xdr:cNvPr id="141321" name="Check Box 9" hidden="1">
              <a:extLst>
                <a:ext uri="{63B3BB69-23CF-44E3-9099-C40C66FF867C}">
                  <a14:compatExt spid="_x0000_s141321"/>
                </a:ext>
                <a:ext uri="{FF2B5EF4-FFF2-40B4-BE49-F238E27FC236}">
                  <a16:creationId xmlns:a16="http://schemas.microsoft.com/office/drawing/2014/main" id="{00000000-0008-0000-0C00-000009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26</xdr:row>
          <xdr:rowOff>0</xdr:rowOff>
        </xdr:from>
        <xdr:to>
          <xdr:col>22</xdr:col>
          <xdr:colOff>57150</xdr:colOff>
          <xdr:row>27</xdr:row>
          <xdr:rowOff>9525</xdr:rowOff>
        </xdr:to>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C00-00000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26</xdr:row>
          <xdr:rowOff>200025</xdr:rowOff>
        </xdr:from>
        <xdr:to>
          <xdr:col>22</xdr:col>
          <xdr:colOff>57150</xdr:colOff>
          <xdr:row>28</xdr:row>
          <xdr:rowOff>9525</xdr:rowOff>
        </xdr:to>
        <xdr:sp macro="" textlink="">
          <xdr:nvSpPr>
            <xdr:cNvPr id="141323" name="Check Box 11" hidden="1">
              <a:extLst>
                <a:ext uri="{63B3BB69-23CF-44E3-9099-C40C66FF867C}">
                  <a14:compatExt spid="_x0000_s141323"/>
                </a:ext>
                <a:ext uri="{FF2B5EF4-FFF2-40B4-BE49-F238E27FC236}">
                  <a16:creationId xmlns:a16="http://schemas.microsoft.com/office/drawing/2014/main" id="{00000000-0008-0000-0C00-00000B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1"/>
          <a:extLst>
            <a:ext uri="{FF2B5EF4-FFF2-40B4-BE49-F238E27FC236}">
              <a16:creationId xmlns:a16="http://schemas.microsoft.com/office/drawing/2014/main" id="{00000000-0008-0000-0D00-000010000000}"/>
            </a:ext>
          </a:extLst>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2"/>
          <a:extLst>
            <a:ext uri="{FF2B5EF4-FFF2-40B4-BE49-F238E27FC236}">
              <a16:creationId xmlns:a16="http://schemas.microsoft.com/office/drawing/2014/main" id="{00000000-0008-0000-0D00-000011000000}"/>
            </a:ext>
          </a:extLst>
        </xdr:cNvPr>
        <xdr:cNvSpPr/>
      </xdr:nvSpPr>
      <xdr:spPr>
        <a:xfrm>
          <a:off x="10061265" y="1000805"/>
          <a:ext cx="1571480"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3"/>
          <a:extLst>
            <a:ext uri="{FF2B5EF4-FFF2-40B4-BE49-F238E27FC236}">
              <a16:creationId xmlns:a16="http://schemas.microsoft.com/office/drawing/2014/main" id="{00000000-0008-0000-0D00-000012000000}"/>
            </a:ext>
          </a:extLst>
        </xdr:cNvPr>
        <xdr:cNvSpPr/>
      </xdr:nvSpPr>
      <xdr:spPr>
        <a:xfrm>
          <a:off x="11632745" y="1000805"/>
          <a:ext cx="1568905"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4"/>
          <a:extLst>
            <a:ext uri="{FF2B5EF4-FFF2-40B4-BE49-F238E27FC236}">
              <a16:creationId xmlns:a16="http://schemas.microsoft.com/office/drawing/2014/main" id="{00000000-0008-0000-0D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5"/>
          <a:extLst>
            <a:ext uri="{FF2B5EF4-FFF2-40B4-BE49-F238E27FC236}">
              <a16:creationId xmlns:a16="http://schemas.microsoft.com/office/drawing/2014/main" id="{00000000-0008-0000-0D00-000003000000}"/>
            </a:ext>
          </a:extLst>
        </xdr:cNvPr>
        <xdr:cNvSpPr/>
      </xdr:nvSpPr>
      <xdr:spPr>
        <a:xfrm>
          <a:off x="2203283" y="333376"/>
          <a:ext cx="1571168" cy="600075"/>
        </a:xfrm>
        <a:prstGeom prst="round2SameRect">
          <a:avLst/>
        </a:prstGeom>
        <a:solidFill>
          <a:srgbClr val="F3901D"/>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START</a:t>
          </a:fld>
          <a:endParaRPr lang="en-US" sz="110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1</xdr:row>
      <xdr:rowOff>0</xdr:rowOff>
    </xdr:from>
    <xdr:to>
      <xdr:col>17</xdr:col>
      <xdr:colOff>2551</xdr:colOff>
      <xdr:row>4</xdr:row>
      <xdr:rowOff>0</xdr:rowOff>
    </xdr:to>
    <xdr:sp macro="" textlink="MAIN2">
      <xdr:nvSpPr>
        <xdr:cNvPr id="4" name="MENU2">
          <a:hlinkClick xmlns:r="http://schemas.openxmlformats.org/officeDocument/2006/relationships" r:id="rId6"/>
          <a:extLst>
            <a:ext uri="{FF2B5EF4-FFF2-40B4-BE49-F238E27FC236}">
              <a16:creationId xmlns:a16="http://schemas.microsoft.com/office/drawing/2014/main" id="{00000000-0008-0000-0D00-000004000000}"/>
            </a:ext>
          </a:extLst>
        </xdr:cNvPr>
        <xdr:cNvSpPr/>
      </xdr:nvSpPr>
      <xdr:spPr>
        <a:xfrm>
          <a:off x="3774451"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hidden="1">
          <a:hlinkClick xmlns:r="http://schemas.openxmlformats.org/officeDocument/2006/relationships" r:id="rId7"/>
          <a:extLst>
            <a:ext uri="{FF2B5EF4-FFF2-40B4-BE49-F238E27FC236}">
              <a16:creationId xmlns:a16="http://schemas.microsoft.com/office/drawing/2014/main" id="{00000000-0008-0000-0D00-000005000000}"/>
            </a:ext>
          </a:extLst>
        </xdr:cNvPr>
        <xdr:cNvSpPr/>
      </xdr:nvSpPr>
      <xdr:spPr>
        <a:xfrm>
          <a:off x="534352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CODE-BASELINE MEASURES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8"/>
          <a:extLst>
            <a:ext uri="{FF2B5EF4-FFF2-40B4-BE49-F238E27FC236}">
              <a16:creationId xmlns:a16="http://schemas.microsoft.com/office/drawing/2014/main" id="{00000000-0008-0000-0D00-000006000000}"/>
            </a:ext>
          </a:extLst>
        </xdr:cNvPr>
        <xdr:cNvSpPr/>
      </xdr:nvSpPr>
      <xdr:spPr>
        <a:xfrm>
          <a:off x="691515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PRE-APPROVAL MEASURES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hidden="1">
          <a:hlinkClick xmlns:r="http://schemas.openxmlformats.org/officeDocument/2006/relationships" r:id="rId9"/>
          <a:extLst>
            <a:ext uri="{FF2B5EF4-FFF2-40B4-BE49-F238E27FC236}">
              <a16:creationId xmlns:a16="http://schemas.microsoft.com/office/drawing/2014/main" id="{00000000-0008-0000-0D00-000007000000}"/>
            </a:ext>
          </a:extLst>
        </xdr:cNvPr>
        <xdr:cNvSpPr/>
      </xdr:nvSpPr>
      <xdr:spPr>
        <a:xfrm>
          <a:off x="848677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a:extLst>
            <a:ext uri="{FF2B5EF4-FFF2-40B4-BE49-F238E27FC236}">
              <a16:creationId xmlns:a16="http://schemas.microsoft.com/office/drawing/2014/main" id="{00000000-0008-0000-0D00-000008000000}"/>
            </a:ext>
          </a:extLst>
        </xdr:cNvPr>
        <xdr:cNvSpPr/>
      </xdr:nvSpPr>
      <xdr:spPr>
        <a:xfrm>
          <a:off x="10058398" y="200026"/>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NEXT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D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0D00-00000A000000}"/>
            </a:ext>
          </a:extLst>
        </xdr:cNvPr>
        <xdr:cNvSpPr/>
      </xdr:nvSpPr>
      <xdr:spPr>
        <a:xfrm>
          <a:off x="314325" y="800101"/>
          <a:ext cx="13515975" cy="600074"/>
        </a:xfrm>
        <a:prstGeom prst="round2SameRect">
          <a:avLst/>
        </a:prstGeom>
        <a:solidFill>
          <a:srgbClr val="F390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5"/>
          <a:extLst>
            <a:ext uri="{FF2B5EF4-FFF2-40B4-BE49-F238E27FC236}">
              <a16:creationId xmlns:a16="http://schemas.microsoft.com/office/drawing/2014/main" id="{00000000-0008-0000-0D00-00000B000000}"/>
            </a:ext>
          </a:extLst>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Welcome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1S2">
      <xdr:nvSpPr>
        <xdr:cNvPr id="12" name="SUBMENU2">
          <a:hlinkClick xmlns:r="http://schemas.openxmlformats.org/officeDocument/2006/relationships" r:id="rId10"/>
          <a:extLst>
            <a:ext uri="{FF2B5EF4-FFF2-40B4-BE49-F238E27FC236}">
              <a16:creationId xmlns:a16="http://schemas.microsoft.com/office/drawing/2014/main" id="{00000000-0008-0000-0D00-00000C000000}"/>
            </a:ext>
          </a:extLst>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Construction Handbook</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5</xdr:row>
      <xdr:rowOff>51480</xdr:rowOff>
    </xdr:from>
    <xdr:to>
      <xdr:col>17</xdr:col>
      <xdr:colOff>2550</xdr:colOff>
      <xdr:row>7</xdr:row>
      <xdr:rowOff>50800</xdr:rowOff>
    </xdr:to>
    <xdr:sp macro="" textlink="M1S3">
      <xdr:nvSpPr>
        <xdr:cNvPr id="13" name="SUBMENU3">
          <a:hlinkClick xmlns:r="http://schemas.openxmlformats.org/officeDocument/2006/relationships" r:id="rId11"/>
          <a:extLst>
            <a:ext uri="{FF2B5EF4-FFF2-40B4-BE49-F238E27FC236}">
              <a16:creationId xmlns:a16="http://schemas.microsoft.com/office/drawing/2014/main" id="{00000000-0008-0000-0D00-00000D000000}"/>
            </a:ext>
          </a:extLst>
        </xdr:cNvPr>
        <xdr:cNvSpPr/>
      </xdr:nvSpPr>
      <xdr:spPr>
        <a:xfrm>
          <a:off x="3774451"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Information Links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1S4">
      <xdr:nvSpPr>
        <xdr:cNvPr id="14" name="SUBMENU4">
          <a:hlinkClick xmlns:r="http://schemas.openxmlformats.org/officeDocument/2006/relationships" r:id="rId4"/>
          <a:extLst>
            <a:ext uri="{FF2B5EF4-FFF2-40B4-BE49-F238E27FC236}">
              <a16:creationId xmlns:a16="http://schemas.microsoft.com/office/drawing/2014/main" id="{00000000-0008-0000-0D00-00000E000000}"/>
            </a:ext>
          </a:extLst>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Operating Hours Calculator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2"/>
          <a:extLst>
            <a:ext uri="{FF2B5EF4-FFF2-40B4-BE49-F238E27FC236}">
              <a16:creationId xmlns:a16="http://schemas.microsoft.com/office/drawing/2014/main" id="{00000000-0008-0000-0D00-00000F000000}"/>
            </a:ext>
          </a:extLst>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M1S5</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D00-000013000000}"/>
            </a:ext>
          </a:extLst>
        </xdr:cNvPr>
        <xdr:cNvSpPr/>
      </xdr:nvSpPr>
      <xdr:spPr>
        <a:xfrm>
          <a:off x="314323" y="1611965"/>
          <a:ext cx="13491324" cy="3852750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3"/>
          <a:extLst>
            <a:ext uri="{FF2B5EF4-FFF2-40B4-BE49-F238E27FC236}">
              <a16:creationId xmlns:a16="http://schemas.microsoft.com/office/drawing/2014/main" id="{00000000-0008-0000-0D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D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83" name="LOGO">
          <a:extLst>
            <a:ext uri="{FF2B5EF4-FFF2-40B4-BE49-F238E27FC236}">
              <a16:creationId xmlns:a16="http://schemas.microsoft.com/office/drawing/2014/main" id="{00000000-0008-0000-0D00-00005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12887325" y="1801272"/>
          <a:ext cx="627520" cy="400049"/>
        </a:xfrm>
        <a:prstGeom prst="rightArrow">
          <a:avLst/>
        </a:prstGeom>
        <a:solidFill>
          <a:srgbClr val="54BC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2203283" y="333376"/>
          <a:ext cx="1571168" cy="600075"/>
        </a:xfrm>
        <a:prstGeom prst="round2SameRect">
          <a:avLst/>
        </a:prstGeom>
        <a:solidFill>
          <a:srgbClr val="54BCEB"/>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000000"/>
              </a:solidFill>
              <a:latin typeface="Calibri"/>
            </a:rPr>
            <a:pPr algn="ctr"/>
            <a:t>START</a:t>
          </a:fld>
          <a:endParaRPr lang="en-US" sz="1100"/>
        </a:p>
      </xdr:txBody>
    </xdr:sp>
    <xdr:clientData/>
  </xdr:twoCellAnchor>
  <xdr:twoCellAnchor>
    <xdr:from>
      <xdr:col>12</xdr:col>
      <xdr:colOff>2551</xdr:colOff>
      <xdr:row>1</xdr:row>
      <xdr:rowOff>0</xdr:rowOff>
    </xdr:from>
    <xdr:to>
      <xdr:col>17</xdr:col>
      <xdr:colOff>2551</xdr:colOff>
      <xdr:row>4</xdr:row>
      <xdr:rowOff>0</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0E00-000004000000}"/>
            </a:ext>
          </a:extLst>
        </xdr:cNvPr>
        <xdr:cNvSpPr/>
      </xdr:nvSpPr>
      <xdr:spPr>
        <a:xfrm>
          <a:off x="3774451" y="200025"/>
          <a:ext cx="1571625" cy="600075"/>
        </a:xfrm>
        <a:prstGeom prst="round2SameRect">
          <a:avLst/>
        </a:prstGeom>
        <a:solidFill>
          <a:srgbClr val="54BCEB"/>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rgbClr val="000000"/>
              </a:solidFill>
              <a:latin typeface="Calibri"/>
            </a:rPr>
            <a:pPr algn="ctr"/>
            <a:t>PROJECT INFORMATION</a:t>
          </a:fld>
          <a:endParaRPr lang="en-US" sz="1100"/>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hidden="1">
          <a:hlinkClick xmlns:r="http://schemas.openxmlformats.org/officeDocument/2006/relationships" r:id="rId4"/>
          <a:extLst>
            <a:ext uri="{FF2B5EF4-FFF2-40B4-BE49-F238E27FC236}">
              <a16:creationId xmlns:a16="http://schemas.microsoft.com/office/drawing/2014/main" id="{00000000-0008-0000-0E00-000005000000}"/>
            </a:ext>
          </a:extLst>
        </xdr:cNvPr>
        <xdr:cNvSpPr/>
      </xdr:nvSpPr>
      <xdr:spPr>
        <a:xfrm>
          <a:off x="5343525" y="200025"/>
          <a:ext cx="1571625" cy="600075"/>
        </a:xfrm>
        <a:prstGeom prst="round2SameRect">
          <a:avLst/>
        </a:prstGeom>
        <a:solidFill>
          <a:srgbClr val="54BCEB"/>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rgbClr val="000000"/>
              </a:solidFill>
              <a:latin typeface="Calibri"/>
            </a:rPr>
            <a:pPr algn="ctr"/>
            <a:t>CODE-BASELINE MEASURES</a:t>
          </a:fld>
          <a:endParaRPr lang="en-US" sz="1100"/>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5"/>
          <a:extLst>
            <a:ext uri="{FF2B5EF4-FFF2-40B4-BE49-F238E27FC236}">
              <a16:creationId xmlns:a16="http://schemas.microsoft.com/office/drawing/2014/main" id="{00000000-0008-0000-0E00-000006000000}"/>
            </a:ext>
          </a:extLst>
        </xdr:cNvPr>
        <xdr:cNvSpPr/>
      </xdr:nvSpPr>
      <xdr:spPr>
        <a:xfrm>
          <a:off x="6915150" y="200025"/>
          <a:ext cx="1571625" cy="600075"/>
        </a:xfrm>
        <a:prstGeom prst="round2SameRect">
          <a:avLst/>
        </a:prstGeom>
        <a:solidFill>
          <a:srgbClr val="54BCEB"/>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rgbClr val="000000"/>
              </a:solidFill>
              <a:latin typeface="Calibri"/>
            </a:rPr>
            <a:pPr algn="ctr"/>
            <a:t>PRE-APPROVAL MEASURES</a:t>
          </a:fld>
          <a:endParaRPr lang="en-US" sz="1100"/>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hidden="1">
          <a:hlinkClick xmlns:r="http://schemas.openxmlformats.org/officeDocument/2006/relationships" r:id="rId6"/>
          <a:extLst>
            <a:ext uri="{FF2B5EF4-FFF2-40B4-BE49-F238E27FC236}">
              <a16:creationId xmlns:a16="http://schemas.microsoft.com/office/drawing/2014/main" id="{00000000-0008-0000-0E00-000007000000}"/>
            </a:ext>
          </a:extLst>
        </xdr:cNvPr>
        <xdr:cNvSpPr/>
      </xdr:nvSpPr>
      <xdr:spPr>
        <a:xfrm>
          <a:off x="8486775" y="200025"/>
          <a:ext cx="1571625" cy="600075"/>
        </a:xfrm>
        <a:prstGeom prst="round2SameRect">
          <a:avLst/>
        </a:prstGeom>
        <a:solidFill>
          <a:srgbClr val="54BCEB"/>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rgbClr val="000000"/>
              </a:solidFill>
              <a:latin typeface="Calibri"/>
            </a:rPr>
            <a:pPr algn="ctr"/>
            <a:t>APPLICATION REVIEW</a:t>
          </a:fld>
          <a:endParaRPr lang="en-US" sz="1100"/>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a:extLst>
            <a:ext uri="{FF2B5EF4-FFF2-40B4-BE49-F238E27FC236}">
              <a16:creationId xmlns:a16="http://schemas.microsoft.com/office/drawing/2014/main" id="{00000000-0008-0000-0E00-000008000000}"/>
            </a:ext>
          </a:extLst>
        </xdr:cNvPr>
        <xdr:cNvSpPr/>
      </xdr:nvSpPr>
      <xdr:spPr>
        <a:xfrm>
          <a:off x="10058398" y="200026"/>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ysClr val="windowText" lastClr="000000"/>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Calibri"/>
            </a:rPr>
            <a:pPr algn="ctr"/>
            <a:t>NEXT STEPS</a:t>
          </a:fld>
          <a:endParaRPr lang="en-US" sz="1100">
            <a:noFill/>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E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ysClr val="windowText" lastClr="000000"/>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FORM4</a:t>
          </a:fld>
          <a:endParaRPr lang="en-US" sz="1100">
            <a:noFill/>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0E00-00000A000000}"/>
            </a:ext>
          </a:extLst>
        </xdr:cNvPr>
        <xdr:cNvSpPr/>
      </xdr:nvSpPr>
      <xdr:spPr>
        <a:xfrm>
          <a:off x="314325" y="800101"/>
          <a:ext cx="13515975" cy="600074"/>
        </a:xfrm>
        <a:prstGeom prst="round2SameRect">
          <a:avLst/>
        </a:prstGeom>
        <a:solidFill>
          <a:srgbClr val="54BCE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2"/>
          <a:extLst>
            <a:ext uri="{FF2B5EF4-FFF2-40B4-BE49-F238E27FC236}">
              <a16:creationId xmlns:a16="http://schemas.microsoft.com/office/drawing/2014/main" id="{00000000-0008-0000-0E00-00000B000000}"/>
            </a:ext>
          </a:extLst>
        </xdr:cNvPr>
        <xdr:cNvSpPr/>
      </xdr:nvSpPr>
      <xdr:spPr>
        <a:xfrm>
          <a:off x="631370" y="1000125"/>
          <a:ext cx="1569362" cy="397852"/>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rgbClr val="FFFFFF"/>
              </a:solidFill>
              <a:latin typeface="Calibri"/>
            </a:rPr>
            <a:pPr algn="ctr"/>
            <a:t>Welcome</a:t>
          </a:fld>
          <a:endParaRPr lang="en-US" sz="1100">
            <a:solidFill>
              <a:srgbClr val="FFFFFF"/>
            </a:solidFill>
          </a:endParaRPr>
        </a:p>
      </xdr:txBody>
    </xdr:sp>
    <xdr:clientData/>
  </xdr:twoCellAnchor>
  <xdr:twoCellAnchor>
    <xdr:from>
      <xdr:col>7</xdr:col>
      <xdr:colOff>2551</xdr:colOff>
      <xdr:row>4</xdr:row>
      <xdr:rowOff>200705</xdr:rowOff>
    </xdr:from>
    <xdr:to>
      <xdr:col>12</xdr:col>
      <xdr:colOff>2550</xdr:colOff>
      <xdr:row>7</xdr:row>
      <xdr:rowOff>0</xdr:rowOff>
    </xdr:to>
    <xdr:sp macro="" textlink="M1S2">
      <xdr:nvSpPr>
        <xdr:cNvPr id="12" name="SUBMENU2">
          <a:hlinkClick xmlns:r="http://schemas.openxmlformats.org/officeDocument/2006/relationships" r:id="rId7"/>
          <a:extLst>
            <a:ext uri="{FF2B5EF4-FFF2-40B4-BE49-F238E27FC236}">
              <a16:creationId xmlns:a16="http://schemas.microsoft.com/office/drawing/2014/main" id="{00000000-0008-0000-0E00-00000C000000}"/>
            </a:ext>
          </a:extLst>
        </xdr:cNvPr>
        <xdr:cNvSpPr/>
      </xdr:nvSpPr>
      <xdr:spPr>
        <a:xfrm>
          <a:off x="2202826" y="1000805"/>
          <a:ext cx="1571624" cy="399370"/>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Calibri"/>
            </a:rPr>
            <a:pPr algn="ctr"/>
            <a:t>New Construction Handbook</a:t>
          </a:fld>
          <a:endParaRPr lang="en-US" sz="1100">
            <a:solidFill>
              <a:srgbClr val="FFFFFF"/>
            </a:solidFill>
          </a:endParaRPr>
        </a:p>
      </xdr:txBody>
    </xdr:sp>
    <xdr:clientData/>
  </xdr:twoCellAnchor>
  <xdr:twoCellAnchor>
    <xdr:from>
      <xdr:col>12</xdr:col>
      <xdr:colOff>2551</xdr:colOff>
      <xdr:row>4</xdr:row>
      <xdr:rowOff>200705</xdr:rowOff>
    </xdr:from>
    <xdr:to>
      <xdr:col>17</xdr:col>
      <xdr:colOff>2550</xdr:colOff>
      <xdr:row>7</xdr:row>
      <xdr:rowOff>0</xdr:rowOff>
    </xdr:to>
    <xdr:sp macro="" textlink="M1S3">
      <xdr:nvSpPr>
        <xdr:cNvPr id="13" name="SUBMENU3">
          <a:hlinkClick xmlns:r="http://schemas.openxmlformats.org/officeDocument/2006/relationships" r:id="rId8"/>
          <a:extLst>
            <a:ext uri="{FF2B5EF4-FFF2-40B4-BE49-F238E27FC236}">
              <a16:creationId xmlns:a16="http://schemas.microsoft.com/office/drawing/2014/main" id="{00000000-0008-0000-0E00-00000D000000}"/>
            </a:ext>
          </a:extLst>
        </xdr:cNvPr>
        <xdr:cNvSpPr/>
      </xdr:nvSpPr>
      <xdr:spPr>
        <a:xfrm>
          <a:off x="3774451" y="1000805"/>
          <a:ext cx="1571624" cy="399370"/>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Calibri"/>
            </a:rPr>
            <a:pPr algn="ctr"/>
            <a:t>Information Links</a:t>
          </a:fld>
          <a:endParaRPr lang="en-US" sz="1100">
            <a:solidFill>
              <a:srgbClr val="FFFFFF"/>
            </a:solidFill>
          </a:endParaRPr>
        </a:p>
      </xdr:txBody>
    </xdr:sp>
    <xdr:clientData/>
  </xdr:twoCellAnchor>
  <xdr:twoCellAnchor>
    <xdr:from>
      <xdr:col>17</xdr:col>
      <xdr:colOff>2551</xdr:colOff>
      <xdr:row>4</xdr:row>
      <xdr:rowOff>200705</xdr:rowOff>
    </xdr:from>
    <xdr:to>
      <xdr:col>22</xdr:col>
      <xdr:colOff>2550</xdr:colOff>
      <xdr:row>7</xdr:row>
      <xdr:rowOff>0</xdr:rowOff>
    </xdr:to>
    <xdr:sp macro="" textlink="M1S4">
      <xdr:nvSpPr>
        <xdr:cNvPr id="14" name="SUBMENU4">
          <a:hlinkClick xmlns:r="http://schemas.openxmlformats.org/officeDocument/2006/relationships" r:id="rId9"/>
          <a:extLst>
            <a:ext uri="{FF2B5EF4-FFF2-40B4-BE49-F238E27FC236}">
              <a16:creationId xmlns:a16="http://schemas.microsoft.com/office/drawing/2014/main" id="{00000000-0008-0000-0E00-00000E000000}"/>
            </a:ext>
          </a:extLst>
        </xdr:cNvPr>
        <xdr:cNvSpPr/>
      </xdr:nvSpPr>
      <xdr:spPr>
        <a:xfrm>
          <a:off x="5346076" y="1000805"/>
          <a:ext cx="1571624" cy="399370"/>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Calibri"/>
            </a:rPr>
            <a:pPr algn="ctr"/>
            <a:t>Operating Hours Calculator</a:t>
          </a:fld>
          <a:endParaRPr lang="en-US" sz="1100">
            <a:solidFill>
              <a:srgbClr val="FFFFFF"/>
            </a:solidFill>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0"/>
          <a:extLst>
            <a:ext uri="{FF2B5EF4-FFF2-40B4-BE49-F238E27FC236}">
              <a16:creationId xmlns:a16="http://schemas.microsoft.com/office/drawing/2014/main" id="{00000000-0008-0000-0E00-00000F000000}"/>
            </a:ext>
          </a:extLst>
        </xdr:cNvPr>
        <xdr:cNvSpPr/>
      </xdr:nvSpPr>
      <xdr:spPr>
        <a:xfrm>
          <a:off x="6917701" y="1000805"/>
          <a:ext cx="1571623" cy="399370"/>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Calibri"/>
            </a:rPr>
            <a:pPr algn="ctr"/>
            <a:t>M1S5</a:t>
          </a:fld>
          <a:endParaRPr lang="en-US" sz="1100">
            <a:solidFill>
              <a:srgbClr val="FFFFFF"/>
            </a:solidFill>
          </a:endParaRPr>
        </a:p>
      </xdr:txBody>
    </xdr:sp>
    <xdr:clientData/>
  </xdr:twoCellAnchor>
  <xdr:twoCellAnchor>
    <xdr:from>
      <xdr:col>27</xdr:col>
      <xdr:colOff>0</xdr:colOff>
      <xdr:row>5</xdr:row>
      <xdr:rowOff>83230</xdr:rowOff>
    </xdr:from>
    <xdr:to>
      <xdr:col>32</xdr:col>
      <xdr:colOff>2865</xdr:colOff>
      <xdr:row>7</xdr:row>
      <xdr:rowOff>82550</xdr:rowOff>
    </xdr:to>
    <xdr:sp macro="" textlink="M1S6">
      <xdr:nvSpPr>
        <xdr:cNvPr id="16" name="SUBMENU6">
          <a:hlinkClick xmlns:r="http://schemas.openxmlformats.org/officeDocument/2006/relationships" r:id="rId11"/>
          <a:extLst>
            <a:ext uri="{FF2B5EF4-FFF2-40B4-BE49-F238E27FC236}">
              <a16:creationId xmlns:a16="http://schemas.microsoft.com/office/drawing/2014/main" id="{00000000-0008-0000-0E00-000010000000}"/>
            </a:ext>
          </a:extLst>
        </xdr:cNvPr>
        <xdr:cNvSpPr/>
      </xdr:nvSpPr>
      <xdr:spPr>
        <a:xfrm>
          <a:off x="8486775" y="1083355"/>
          <a:ext cx="1574490" cy="399370"/>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Calibri"/>
            </a:rPr>
            <a:pPr algn="ctr"/>
            <a:t>M1S6</a:t>
          </a:fld>
          <a:endParaRPr lang="en-US" sz="1100">
            <a:solidFill>
              <a:srgbClr val="FFFFFF"/>
            </a:solidFill>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1"/>
          <a:extLst>
            <a:ext uri="{FF2B5EF4-FFF2-40B4-BE49-F238E27FC236}">
              <a16:creationId xmlns:a16="http://schemas.microsoft.com/office/drawing/2014/main" id="{00000000-0008-0000-0E00-000011000000}"/>
            </a:ext>
          </a:extLst>
        </xdr:cNvPr>
        <xdr:cNvSpPr/>
      </xdr:nvSpPr>
      <xdr:spPr>
        <a:xfrm>
          <a:off x="10061265" y="1000805"/>
          <a:ext cx="1571480" cy="399370"/>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Calibri"/>
            </a:rPr>
            <a:pPr algn="ctr"/>
            <a:t>M1S7</a:t>
          </a:fld>
          <a:endParaRPr lang="en-US" sz="1100">
            <a:solidFill>
              <a:srgbClr val="FFFFFF"/>
            </a:solidFill>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12"/>
          <a:extLst>
            <a:ext uri="{FF2B5EF4-FFF2-40B4-BE49-F238E27FC236}">
              <a16:creationId xmlns:a16="http://schemas.microsoft.com/office/drawing/2014/main" id="{00000000-0008-0000-0E00-000012000000}"/>
            </a:ext>
          </a:extLst>
        </xdr:cNvPr>
        <xdr:cNvSpPr/>
      </xdr:nvSpPr>
      <xdr:spPr>
        <a:xfrm>
          <a:off x="11632745" y="1000805"/>
          <a:ext cx="1568905" cy="399370"/>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Calibri"/>
            </a:rPr>
            <a:pPr algn="ctr"/>
            <a:t>M1S8</a:t>
          </a:fld>
          <a:endParaRPr lang="en-US" sz="1100">
            <a:solidFill>
              <a:srgbClr val="FFFFFF"/>
            </a:solidFill>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E00-000013000000}"/>
            </a:ext>
          </a:extLst>
        </xdr:cNvPr>
        <xdr:cNvSpPr/>
      </xdr:nvSpPr>
      <xdr:spPr>
        <a:xfrm>
          <a:off x="314323" y="1600199"/>
          <a:ext cx="13515977" cy="37804726"/>
        </a:xfrm>
        <a:prstGeom prst="frame">
          <a:avLst>
            <a:gd name="adj1" fmla="val 97"/>
          </a:avLst>
        </a:prstGeom>
        <a:noFill/>
        <a:ln>
          <a:solidFill>
            <a:srgbClr val="54BCE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10"/>
          <a:extLst>
            <a:ext uri="{FF2B5EF4-FFF2-40B4-BE49-F238E27FC236}">
              <a16:creationId xmlns:a16="http://schemas.microsoft.com/office/drawing/2014/main" id="{00000000-0008-0000-0E00-000014000000}"/>
            </a:ext>
          </a:extLst>
        </xdr:cNvPr>
        <xdr:cNvSpPr/>
      </xdr:nvSpPr>
      <xdr:spPr>
        <a:xfrm>
          <a:off x="631370" y="1801432"/>
          <a:ext cx="626890" cy="400050"/>
        </a:xfrm>
        <a:prstGeom prst="leftArrow">
          <a:avLst/>
        </a:prstGeom>
        <a:solidFill>
          <a:srgbClr val="54BC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E00-000015000000}"/>
            </a:ext>
          </a:extLst>
        </xdr:cNvPr>
        <xdr:cNvSpPr/>
      </xdr:nvSpPr>
      <xdr:spPr>
        <a:xfrm>
          <a:off x="314325" y="1400175"/>
          <a:ext cx="13515975" cy="200025"/>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2S5">
      <xdr:nvSpPr>
        <xdr:cNvPr id="15" name="SUBMENU5">
          <a:hlinkClick xmlns:r="http://schemas.openxmlformats.org/officeDocument/2006/relationships" r:id="rId1"/>
          <a:extLst>
            <a:ext uri="{FF2B5EF4-FFF2-40B4-BE49-F238E27FC236}">
              <a16:creationId xmlns:a16="http://schemas.microsoft.com/office/drawing/2014/main" id="{00000000-0008-0000-0F00-00000F000000}"/>
            </a:ext>
          </a:extLst>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Design Team Meeting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2"/>
          <a:extLst>
            <a:ext uri="{FF2B5EF4-FFF2-40B4-BE49-F238E27FC236}">
              <a16:creationId xmlns:a16="http://schemas.microsoft.com/office/drawing/2014/main" id="{00000000-0008-0000-0F00-000010000000}"/>
            </a:ext>
          </a:extLst>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3"/>
          <a:extLst>
            <a:ext uri="{FF2B5EF4-FFF2-40B4-BE49-F238E27FC236}">
              <a16:creationId xmlns:a16="http://schemas.microsoft.com/office/drawing/2014/main" id="{00000000-0008-0000-0F00-000011000000}"/>
            </a:ext>
          </a:extLst>
        </xdr:cNvPr>
        <xdr:cNvSpPr/>
      </xdr:nvSpPr>
      <xdr:spPr>
        <a:xfrm>
          <a:off x="10061265" y="1000805"/>
          <a:ext cx="1571480"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4"/>
          <a:extLst>
            <a:ext uri="{FF2B5EF4-FFF2-40B4-BE49-F238E27FC236}">
              <a16:creationId xmlns:a16="http://schemas.microsoft.com/office/drawing/2014/main" id="{00000000-0008-0000-0F00-000012000000}"/>
            </a:ext>
          </a:extLst>
        </xdr:cNvPr>
        <xdr:cNvSpPr/>
      </xdr:nvSpPr>
      <xdr:spPr>
        <a:xfrm>
          <a:off x="11632745" y="1000805"/>
          <a:ext cx="1568905"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a:extLst>
            <a:ext uri="{FF2B5EF4-FFF2-40B4-BE49-F238E27FC236}">
              <a16:creationId xmlns:a16="http://schemas.microsoft.com/office/drawing/2014/main" id="{00000000-0008-0000-0F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6"/>
          <a:extLst>
            <a:ext uri="{FF2B5EF4-FFF2-40B4-BE49-F238E27FC236}">
              <a16:creationId xmlns:a16="http://schemas.microsoft.com/office/drawing/2014/main" id="{00000000-0008-0000-0F00-000003000000}"/>
            </a:ext>
          </a:extLst>
        </xdr:cNvPr>
        <xdr:cNvSpPr/>
      </xdr:nvSpPr>
      <xdr:spPr>
        <a:xfrm>
          <a:off x="2200732" y="200025"/>
          <a:ext cx="1571168"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7"/>
          <a:extLst>
            <a:ext uri="{FF2B5EF4-FFF2-40B4-BE49-F238E27FC236}">
              <a16:creationId xmlns:a16="http://schemas.microsoft.com/office/drawing/2014/main" id="{00000000-0008-0000-0F00-000004000000}"/>
            </a:ext>
          </a:extLst>
        </xdr:cNvPr>
        <xdr:cNvSpPr/>
      </xdr:nvSpPr>
      <xdr:spPr>
        <a:xfrm>
          <a:off x="3771900" y="333375"/>
          <a:ext cx="1571625" cy="600075"/>
        </a:xfrm>
        <a:prstGeom prst="round2SameRect">
          <a:avLst/>
        </a:prstGeom>
        <a:solidFill>
          <a:srgbClr val="F3901D"/>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hidden="1">
          <a:hlinkClick xmlns:r="http://schemas.openxmlformats.org/officeDocument/2006/relationships" r:id="rId8"/>
          <a:extLst>
            <a:ext uri="{FF2B5EF4-FFF2-40B4-BE49-F238E27FC236}">
              <a16:creationId xmlns:a16="http://schemas.microsoft.com/office/drawing/2014/main" id="{00000000-0008-0000-0F00-000005000000}"/>
            </a:ext>
          </a:extLst>
        </xdr:cNvPr>
        <xdr:cNvSpPr/>
      </xdr:nvSpPr>
      <xdr:spPr>
        <a:xfrm>
          <a:off x="534352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CODE-BASELINE MEASURES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9"/>
          <a:extLst>
            <a:ext uri="{FF2B5EF4-FFF2-40B4-BE49-F238E27FC236}">
              <a16:creationId xmlns:a16="http://schemas.microsoft.com/office/drawing/2014/main" id="{00000000-0008-0000-0F00-000006000000}"/>
            </a:ext>
          </a:extLst>
        </xdr:cNvPr>
        <xdr:cNvSpPr/>
      </xdr:nvSpPr>
      <xdr:spPr>
        <a:xfrm>
          <a:off x="691515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PRE-APPROVAL MEASURES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hidden="1">
          <a:hlinkClick xmlns:r="http://schemas.openxmlformats.org/officeDocument/2006/relationships" r:id="rId10"/>
          <a:extLst>
            <a:ext uri="{FF2B5EF4-FFF2-40B4-BE49-F238E27FC236}">
              <a16:creationId xmlns:a16="http://schemas.microsoft.com/office/drawing/2014/main" id="{00000000-0008-0000-0F00-000007000000}"/>
            </a:ext>
          </a:extLst>
        </xdr:cNvPr>
        <xdr:cNvSpPr/>
      </xdr:nvSpPr>
      <xdr:spPr>
        <a:xfrm>
          <a:off x="848677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0F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NEXT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F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0F00-00000A000000}"/>
            </a:ext>
          </a:extLst>
        </xdr:cNvPr>
        <xdr:cNvSpPr/>
      </xdr:nvSpPr>
      <xdr:spPr>
        <a:xfrm>
          <a:off x="314325" y="800101"/>
          <a:ext cx="13515975" cy="600074"/>
        </a:xfrm>
        <a:prstGeom prst="round2SameRect">
          <a:avLst/>
        </a:prstGeom>
        <a:solidFill>
          <a:srgbClr val="F390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2S1">
      <xdr:nvSpPr>
        <xdr:cNvPr id="11" name="SUBMENU1">
          <a:hlinkClick xmlns:r="http://schemas.openxmlformats.org/officeDocument/2006/relationships" r:id="rId7"/>
          <a:extLst>
            <a:ext uri="{FF2B5EF4-FFF2-40B4-BE49-F238E27FC236}">
              <a16:creationId xmlns:a16="http://schemas.microsoft.com/office/drawing/2014/main" id="{00000000-0008-0000-0F00-00000B000000}"/>
            </a:ext>
          </a:extLst>
        </xdr:cNvPr>
        <xdr:cNvSpPr/>
      </xdr:nvSpPr>
      <xdr:spPr>
        <a:xfrm>
          <a:off x="631370" y="1050925"/>
          <a:ext cx="1569362" cy="39785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Terms &amp; Conditions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2S2">
      <xdr:nvSpPr>
        <xdr:cNvPr id="12" name="SUBMENU2">
          <a:hlinkClick xmlns:r="http://schemas.openxmlformats.org/officeDocument/2006/relationships" r:id="rId5"/>
          <a:extLst>
            <a:ext uri="{FF2B5EF4-FFF2-40B4-BE49-F238E27FC236}">
              <a16:creationId xmlns:a16="http://schemas.microsoft.com/office/drawing/2014/main" id="{00000000-0008-0000-0F00-00000C000000}"/>
            </a:ext>
          </a:extLst>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Applicant and Site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2S3">
      <xdr:nvSpPr>
        <xdr:cNvPr id="13" name="SUBMENU3">
          <a:hlinkClick xmlns:r="http://schemas.openxmlformats.org/officeDocument/2006/relationships" r:id="rId11"/>
          <a:extLst>
            <a:ext uri="{FF2B5EF4-FFF2-40B4-BE49-F238E27FC236}">
              <a16:creationId xmlns:a16="http://schemas.microsoft.com/office/drawing/2014/main" id="{00000000-0008-0000-0F00-00000D000000}"/>
            </a:ext>
          </a:extLst>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Design Team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2S4">
      <xdr:nvSpPr>
        <xdr:cNvPr id="14" name="SUBMENU4">
          <a:hlinkClick xmlns:r="http://schemas.openxmlformats.org/officeDocument/2006/relationships" r:id="rId12"/>
          <a:extLst>
            <a:ext uri="{FF2B5EF4-FFF2-40B4-BE49-F238E27FC236}">
              <a16:creationId xmlns:a16="http://schemas.microsoft.com/office/drawing/2014/main" id="{00000000-0008-0000-0F00-00000E000000}"/>
            </a:ext>
          </a:extLst>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F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3"/>
          <a:extLst>
            <a:ext uri="{FF2B5EF4-FFF2-40B4-BE49-F238E27FC236}">
              <a16:creationId xmlns:a16="http://schemas.microsoft.com/office/drawing/2014/main" id="{00000000-0008-0000-0F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F00-000015000000}"/>
            </a:ext>
          </a:extLst>
        </xdr:cNvPr>
        <xdr:cNvSpPr/>
      </xdr:nvSpPr>
      <xdr:spPr>
        <a:xfrm>
          <a:off x="313765" y="1411941"/>
          <a:ext cx="13491882" cy="201706"/>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a:extLst>
            <a:ext uri="{FF2B5EF4-FFF2-40B4-BE49-F238E27FC236}">
              <a16:creationId xmlns:a16="http://schemas.microsoft.com/office/drawing/2014/main" id="{00000000-0008-0000-0F00-00001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xdr:from>
      <xdr:col>13</xdr:col>
      <xdr:colOff>160174</xdr:colOff>
      <xdr:row>15</xdr:row>
      <xdr:rowOff>0</xdr:rowOff>
    </xdr:from>
    <xdr:to>
      <xdr:col>15</xdr:col>
      <xdr:colOff>33618</xdr:colOff>
      <xdr:row>15</xdr:row>
      <xdr:rowOff>190500</xdr:rowOff>
    </xdr:to>
    <xdr:sp macro="" textlink="">
      <xdr:nvSpPr>
        <xdr:cNvPr id="22" name="Rectangle 21">
          <a:hlinkClick xmlns:r="http://schemas.openxmlformats.org/officeDocument/2006/relationships" r:id="rId15"/>
          <a:extLst>
            <a:ext uri="{FF2B5EF4-FFF2-40B4-BE49-F238E27FC236}">
              <a16:creationId xmlns:a16="http://schemas.microsoft.com/office/drawing/2014/main" id="{00000000-0008-0000-0F00-000016000000}"/>
            </a:ext>
          </a:extLst>
        </xdr:cNvPr>
        <xdr:cNvSpPr/>
      </xdr:nvSpPr>
      <xdr:spPr>
        <a:xfrm>
          <a:off x="4239115" y="3025588"/>
          <a:ext cx="500974"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54837</xdr:colOff>
      <xdr:row>25</xdr:row>
      <xdr:rowOff>17929</xdr:rowOff>
    </xdr:from>
    <xdr:to>
      <xdr:col>25</xdr:col>
      <xdr:colOff>268940</xdr:colOff>
      <xdr:row>26</xdr:row>
      <xdr:rowOff>0</xdr:rowOff>
    </xdr:to>
    <xdr:sp macro="" textlink="">
      <xdr:nvSpPr>
        <xdr:cNvPr id="25" name="Rectangle 24">
          <a:hlinkClick xmlns:r="http://schemas.openxmlformats.org/officeDocument/2006/relationships" r:id="rId15"/>
          <a:extLst>
            <a:ext uri="{FF2B5EF4-FFF2-40B4-BE49-F238E27FC236}">
              <a16:creationId xmlns:a16="http://schemas.microsoft.com/office/drawing/2014/main" id="{00000000-0008-0000-0F00-000019000000}"/>
            </a:ext>
          </a:extLst>
        </xdr:cNvPr>
        <xdr:cNvSpPr/>
      </xdr:nvSpPr>
      <xdr:spPr>
        <a:xfrm>
          <a:off x="3506249" y="5060576"/>
          <a:ext cx="4606809" cy="1837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2S5">
      <xdr:nvSpPr>
        <xdr:cNvPr id="15" name="SUBMENU5">
          <a:hlinkClick xmlns:r="http://schemas.openxmlformats.org/officeDocument/2006/relationships" r:id="rId1"/>
          <a:extLst>
            <a:ext uri="{FF2B5EF4-FFF2-40B4-BE49-F238E27FC236}">
              <a16:creationId xmlns:a16="http://schemas.microsoft.com/office/drawing/2014/main" id="{00000000-0008-0000-1000-00000F000000}"/>
            </a:ext>
          </a:extLst>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Design Team Meeting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2"/>
          <a:extLst>
            <a:ext uri="{FF2B5EF4-FFF2-40B4-BE49-F238E27FC236}">
              <a16:creationId xmlns:a16="http://schemas.microsoft.com/office/drawing/2014/main" id="{00000000-0008-0000-1000-000010000000}"/>
            </a:ext>
          </a:extLst>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3"/>
          <a:extLst>
            <a:ext uri="{FF2B5EF4-FFF2-40B4-BE49-F238E27FC236}">
              <a16:creationId xmlns:a16="http://schemas.microsoft.com/office/drawing/2014/main" id="{00000000-0008-0000-1000-000011000000}"/>
            </a:ext>
          </a:extLst>
        </xdr:cNvPr>
        <xdr:cNvSpPr/>
      </xdr:nvSpPr>
      <xdr:spPr>
        <a:xfrm>
          <a:off x="10061265" y="1000805"/>
          <a:ext cx="1571480"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4"/>
          <a:extLst>
            <a:ext uri="{FF2B5EF4-FFF2-40B4-BE49-F238E27FC236}">
              <a16:creationId xmlns:a16="http://schemas.microsoft.com/office/drawing/2014/main" id="{00000000-0008-0000-1000-000012000000}"/>
            </a:ext>
          </a:extLst>
        </xdr:cNvPr>
        <xdr:cNvSpPr/>
      </xdr:nvSpPr>
      <xdr:spPr>
        <a:xfrm>
          <a:off x="11632745" y="1000805"/>
          <a:ext cx="1568905"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a:extLst>
            <a:ext uri="{FF2B5EF4-FFF2-40B4-BE49-F238E27FC236}">
              <a16:creationId xmlns:a16="http://schemas.microsoft.com/office/drawing/2014/main" id="{00000000-0008-0000-10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6"/>
          <a:extLst>
            <a:ext uri="{FF2B5EF4-FFF2-40B4-BE49-F238E27FC236}">
              <a16:creationId xmlns:a16="http://schemas.microsoft.com/office/drawing/2014/main" id="{00000000-0008-0000-1000-000003000000}"/>
            </a:ext>
          </a:extLst>
        </xdr:cNvPr>
        <xdr:cNvSpPr/>
      </xdr:nvSpPr>
      <xdr:spPr>
        <a:xfrm>
          <a:off x="2200732" y="200025"/>
          <a:ext cx="1571168"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7"/>
          <a:extLst>
            <a:ext uri="{FF2B5EF4-FFF2-40B4-BE49-F238E27FC236}">
              <a16:creationId xmlns:a16="http://schemas.microsoft.com/office/drawing/2014/main" id="{00000000-0008-0000-1000-000004000000}"/>
            </a:ext>
          </a:extLst>
        </xdr:cNvPr>
        <xdr:cNvSpPr/>
      </xdr:nvSpPr>
      <xdr:spPr>
        <a:xfrm>
          <a:off x="3771900" y="333375"/>
          <a:ext cx="1571625" cy="600075"/>
        </a:xfrm>
        <a:prstGeom prst="round2SameRect">
          <a:avLst/>
        </a:prstGeom>
        <a:solidFill>
          <a:srgbClr val="F3901D"/>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hidden="1">
          <a:hlinkClick xmlns:r="http://schemas.openxmlformats.org/officeDocument/2006/relationships" r:id="rId8"/>
          <a:extLst>
            <a:ext uri="{FF2B5EF4-FFF2-40B4-BE49-F238E27FC236}">
              <a16:creationId xmlns:a16="http://schemas.microsoft.com/office/drawing/2014/main" id="{00000000-0008-0000-1000-000005000000}"/>
            </a:ext>
          </a:extLst>
        </xdr:cNvPr>
        <xdr:cNvSpPr/>
      </xdr:nvSpPr>
      <xdr:spPr>
        <a:xfrm>
          <a:off x="534352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CODE-BASELINE MEASURES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9"/>
          <a:extLst>
            <a:ext uri="{FF2B5EF4-FFF2-40B4-BE49-F238E27FC236}">
              <a16:creationId xmlns:a16="http://schemas.microsoft.com/office/drawing/2014/main" id="{00000000-0008-0000-1000-000006000000}"/>
            </a:ext>
          </a:extLst>
        </xdr:cNvPr>
        <xdr:cNvSpPr/>
      </xdr:nvSpPr>
      <xdr:spPr>
        <a:xfrm>
          <a:off x="6915150"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PRE-APPROVAL MEASURES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hidden="1">
          <a:hlinkClick xmlns:r="http://schemas.openxmlformats.org/officeDocument/2006/relationships" r:id="rId10"/>
          <a:extLst>
            <a:ext uri="{FF2B5EF4-FFF2-40B4-BE49-F238E27FC236}">
              <a16:creationId xmlns:a16="http://schemas.microsoft.com/office/drawing/2014/main" id="{00000000-0008-0000-1000-000007000000}"/>
            </a:ext>
          </a:extLst>
        </xdr:cNvPr>
        <xdr:cNvSpPr/>
      </xdr:nvSpPr>
      <xdr:spPr>
        <a:xfrm>
          <a:off x="8486775" y="200025"/>
          <a:ext cx="1571625" cy="6000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0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NEXT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0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1000-00000A000000}"/>
            </a:ext>
          </a:extLst>
        </xdr:cNvPr>
        <xdr:cNvSpPr/>
      </xdr:nvSpPr>
      <xdr:spPr>
        <a:xfrm>
          <a:off x="314325" y="800101"/>
          <a:ext cx="13515975" cy="600074"/>
        </a:xfrm>
        <a:prstGeom prst="round2SameRect">
          <a:avLst/>
        </a:prstGeom>
        <a:solidFill>
          <a:srgbClr val="F390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7"/>
          <a:extLst>
            <a:ext uri="{FF2B5EF4-FFF2-40B4-BE49-F238E27FC236}">
              <a16:creationId xmlns:a16="http://schemas.microsoft.com/office/drawing/2014/main" id="{00000000-0008-0000-1000-00000B000000}"/>
            </a:ext>
          </a:extLst>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Terms &amp; Conditions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51480</xdr:rowOff>
    </xdr:from>
    <xdr:to>
      <xdr:col>12</xdr:col>
      <xdr:colOff>2550</xdr:colOff>
      <xdr:row>7</xdr:row>
      <xdr:rowOff>50800</xdr:rowOff>
    </xdr:to>
    <xdr:sp macro="" textlink="M2S2">
      <xdr:nvSpPr>
        <xdr:cNvPr id="12" name="SUBMENU2">
          <a:hlinkClick xmlns:r="http://schemas.openxmlformats.org/officeDocument/2006/relationships" r:id="rId11"/>
          <a:extLst>
            <a:ext uri="{FF2B5EF4-FFF2-40B4-BE49-F238E27FC236}">
              <a16:creationId xmlns:a16="http://schemas.microsoft.com/office/drawing/2014/main" id="{00000000-0008-0000-1000-00000C000000}"/>
            </a:ext>
          </a:extLst>
        </xdr:cNvPr>
        <xdr:cNvSpPr/>
      </xdr:nvSpPr>
      <xdr:spPr>
        <a:xfrm>
          <a:off x="2202826"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Applicant and Site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2S3">
      <xdr:nvSpPr>
        <xdr:cNvPr id="13" name="SUBMENU3">
          <a:hlinkClick xmlns:r="http://schemas.openxmlformats.org/officeDocument/2006/relationships" r:id="rId5"/>
          <a:extLst>
            <a:ext uri="{FF2B5EF4-FFF2-40B4-BE49-F238E27FC236}">
              <a16:creationId xmlns:a16="http://schemas.microsoft.com/office/drawing/2014/main" id="{00000000-0008-0000-1000-00000D000000}"/>
            </a:ext>
          </a:extLst>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Design Team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2S4">
      <xdr:nvSpPr>
        <xdr:cNvPr id="14" name="SUBMENU4">
          <a:hlinkClick xmlns:r="http://schemas.openxmlformats.org/officeDocument/2006/relationships" r:id="rId12"/>
          <a:extLst>
            <a:ext uri="{FF2B5EF4-FFF2-40B4-BE49-F238E27FC236}">
              <a16:creationId xmlns:a16="http://schemas.microsoft.com/office/drawing/2014/main" id="{00000000-0008-0000-1000-00000E000000}"/>
            </a:ext>
          </a:extLst>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0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7"/>
          <a:extLst>
            <a:ext uri="{FF2B5EF4-FFF2-40B4-BE49-F238E27FC236}">
              <a16:creationId xmlns:a16="http://schemas.microsoft.com/office/drawing/2014/main" id="{00000000-0008-0000-10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0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9" name="LOGO">
          <a:extLst>
            <a:ext uri="{FF2B5EF4-FFF2-40B4-BE49-F238E27FC236}">
              <a16:creationId xmlns:a16="http://schemas.microsoft.com/office/drawing/2014/main" id="{00000000-0008-0000-1000-00001D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TABLE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PMELIGHT" displayName="PMELIGHT" ref="A1:AL27" totalsRowShown="0" headerRowDxfId="954" dataDxfId="953" headerRowCellStyle="Normal 2" dataCellStyle="Normal 2">
  <autoFilter ref="A1:AL27" xr:uid="{00000000-0009-0000-0100-000007000000}"/>
  <sortState xmlns:xlrd2="http://schemas.microsoft.com/office/spreadsheetml/2017/richdata2" ref="A2:AL27">
    <sortCondition ref="AC1:AC27"/>
  </sortState>
  <tableColumns count="38">
    <tableColumn id="1" xr3:uid="{00000000-0010-0000-0000-000001000000}" name="Measure #" dataDxfId="952" dataCellStyle="Normal 2"/>
    <tableColumn id="2" xr3:uid="{00000000-0010-0000-0000-000002000000}" name="Measure Name" dataDxfId="951" dataCellStyle="Normal 2"/>
    <tableColumn id="3" xr3:uid="{00000000-0010-0000-0000-000003000000}" name="Equipment Description" dataDxfId="950" dataCellStyle="Normal 2"/>
    <tableColumn id="4" xr3:uid="{00000000-0010-0000-0000-000004000000}" name="Eff Category" dataDxfId="949" dataCellStyle="Normal 2"/>
    <tableColumn id="5" xr3:uid="{00000000-0010-0000-0000-000005000000}" name="Eff Measure Group" dataDxfId="948" dataCellStyle="Normal 2"/>
    <tableColumn id="6" xr3:uid="{00000000-0010-0000-0000-000006000000}" name="Eff Equip Descr" dataDxfId="947" dataCellStyle="Normal 2"/>
    <tableColumn id="7" xr3:uid="{00000000-0010-0000-0000-000007000000}" name="Base Category" dataDxfId="946" dataCellStyle="Normal 2"/>
    <tableColumn id="8" xr3:uid="{00000000-0010-0000-0000-000008000000}" name="Base Measure Group" dataDxfId="945" dataCellStyle="Normal 2"/>
    <tableColumn id="9" xr3:uid="{00000000-0010-0000-0000-000009000000}" name="Base Equip Descr" dataDxfId="944" dataCellStyle="Normal 2"/>
    <tableColumn id="10" xr3:uid="{00000000-0010-0000-0000-00000A000000}" name="TRM Description" dataDxfId="943" dataCellStyle="Normal 2"/>
    <tableColumn id="11" xr3:uid="{00000000-0010-0000-0000-00000B000000}" name="TRM Reference No." dataDxfId="942" dataCellStyle="Normal 2"/>
    <tableColumn id="12" xr3:uid="{00000000-0010-0000-0000-00000C000000}" name="Measure Life" dataDxfId="941" dataCellStyle="Normal 2"/>
    <tableColumn id="13" xr3:uid="{00000000-0010-0000-0000-00000D000000}" name="Created On" dataDxfId="940" dataCellStyle="Normal 2"/>
    <tableColumn id="14" xr3:uid="{00000000-0010-0000-0000-00000E000000}" name="Source" dataDxfId="939" dataCellStyle="Normal 2"/>
    <tableColumn id="15" xr3:uid="{00000000-0010-0000-0000-00000F000000}" name="End Use Category" dataDxfId="938" dataCellStyle="Normal 2"/>
    <tableColumn id="16" xr3:uid="{00000000-0010-0000-0000-000010000000}" name="Inc Rate Unit" dataDxfId="937" dataCellStyle="Normal 2"/>
    <tableColumn id="17" xr3:uid="{00000000-0010-0000-0000-000011000000}" name="Savings per Unit kWh" dataDxfId="936" dataCellStyle="Normal 2"/>
    <tableColumn id="18" xr3:uid="{00000000-0010-0000-0000-000012000000}" name="Savings per Unit kW" dataDxfId="935" dataCellStyle="Normal 2"/>
    <tableColumn id="19" xr3:uid="{00000000-0010-0000-0000-000013000000}" name="Inc Rate kWh" dataDxfId="934" dataCellStyle="Normal 2"/>
    <tableColumn id="20" xr3:uid="{00000000-0010-0000-0000-000014000000}" name="Inc Rate kW" dataDxfId="933" dataCellStyle="Normal 2"/>
    <tableColumn id="21" xr3:uid="{00000000-0010-0000-0000-000015000000}" name="Energy Type" dataDxfId="932" dataCellStyle="Normal 2"/>
    <tableColumn id="30" xr3:uid="{00000000-0010-0000-0000-00001E000000}" name="Program" dataDxfId="931" dataCellStyle="Normal 2"/>
    <tableColumn id="36" xr3:uid="{00000000-0010-0000-0000-000024000000}" name="Lighting vs Non Lighting" dataDxfId="930" dataCellStyle="Normal 2"/>
    <tableColumn id="35" xr3:uid="{00000000-0010-0000-0000-000023000000}" name="Status" dataDxfId="929" dataCellStyle="Normal 2"/>
    <tableColumn id="37" xr3:uid="{00000000-0010-0000-0000-000025000000}" name="SUTO" dataDxfId="928" dataCellStyle="Normal 2"/>
    <tableColumn id="34" xr3:uid="{00000000-0010-0000-0000-000022000000}" name="Cost Basis" dataDxfId="927" dataCellStyle="Normal 2"/>
    <tableColumn id="33" xr3:uid="{00000000-0010-0000-0000-000021000000}" name="Typical Unit Size" dataDxfId="926" dataCellStyle="Normal 2"/>
    <tableColumn id="31" xr3:uid="{00000000-0010-0000-0000-00001F000000}" name="Unit of Measure" dataDxfId="925" dataCellStyle="Normal 2"/>
    <tableColumn id="22" xr3:uid="{00000000-0010-0000-0000-000016000000}" name="Base Desc 1" dataDxfId="924" dataCellStyle="Normal 2"/>
    <tableColumn id="23" xr3:uid="{00000000-0010-0000-0000-000017000000}" name="Base Desc 2" dataDxfId="923" dataCellStyle="Normal 2"/>
    <tableColumn id="24" xr3:uid="{00000000-0010-0000-0000-000018000000}" name="Base Watt" dataDxfId="922" dataCellStyle="Normal 2"/>
    <tableColumn id="28" xr3:uid="{00000000-0010-0000-0000-00001C000000}" name="Base Watt 2" dataDxfId="921" dataCellStyle="Normal 2"/>
    <tableColumn id="25" xr3:uid="{00000000-0010-0000-0000-000019000000}" name="Eff Desc 1" dataDxfId="920" dataCellStyle="Normal 2"/>
    <tableColumn id="26" xr3:uid="{00000000-0010-0000-0000-00001A000000}" name="Eff Desc 2" dataDxfId="919" dataCellStyle="Normal 2"/>
    <tableColumn id="27" xr3:uid="{00000000-0010-0000-0000-00001B000000}" name="Eff Watt" dataDxfId="918" dataCellStyle="Normal 2"/>
    <tableColumn id="29" xr3:uid="{00000000-0010-0000-0000-00001D000000}" name="Eff Watt 2" dataDxfId="917" dataCellStyle="Normal 2"/>
    <tableColumn id="32" xr3:uid="{00000000-0010-0000-0000-000020000000}" name="Op Hr 1" dataDxfId="916" dataCellStyle="Normal 2"/>
    <tableColumn id="38" xr3:uid="{00000000-0010-0000-0000-000026000000}" name="Op Hr 2" dataDxfId="915" dataCellStyle="Normal 2"/>
  </tableColumns>
  <tableStyleInfo name="TableStyleMedium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9000000}" name="PMELIGHTCON" displayName="PMELIGHTCON" ref="A31:AJ36" totalsRowShown="0" headerRowDxfId="666" dataDxfId="664" headerRowBorderDxfId="665" tableBorderDxfId="663" headerRowCellStyle="Normal 2">
  <autoFilter ref="A31:AJ36" xr:uid="{00000000-0009-0000-0100-000010000000}"/>
  <tableColumns count="36">
    <tableColumn id="1" xr3:uid="{00000000-0010-0000-0900-000001000000}" name="Measure #" dataDxfId="662" dataCellStyle="Normal 2"/>
    <tableColumn id="2" xr3:uid="{00000000-0010-0000-0900-000002000000}" name="Measure Name" dataDxfId="661" dataCellStyle="Normal 2"/>
    <tableColumn id="3" xr3:uid="{00000000-0010-0000-0900-000003000000}" name="Equipment Description" dataDxfId="660" dataCellStyle="Normal 2"/>
    <tableColumn id="4" xr3:uid="{00000000-0010-0000-0900-000004000000}" name="Eff Category" dataDxfId="659" dataCellStyle="Normal 2"/>
    <tableColumn id="5" xr3:uid="{00000000-0010-0000-0900-000005000000}" name="Eff Measure Group" dataDxfId="658" dataCellStyle="Normal 2"/>
    <tableColumn id="6" xr3:uid="{00000000-0010-0000-0900-000006000000}" name="Eff Equip Descr" dataDxfId="657" dataCellStyle="Normal 2"/>
    <tableColumn id="7" xr3:uid="{00000000-0010-0000-0900-000007000000}" name="Base Category" dataDxfId="656" dataCellStyle="Normal 2"/>
    <tableColumn id="8" xr3:uid="{00000000-0010-0000-0900-000008000000}" name="Base Measure Group" dataDxfId="655" dataCellStyle="Normal 2"/>
    <tableColumn id="9" xr3:uid="{00000000-0010-0000-0900-000009000000}" name="Base Equip Descr" dataDxfId="654" dataCellStyle="Normal 2"/>
    <tableColumn id="10" xr3:uid="{00000000-0010-0000-0900-00000A000000}" name="TRM Description" dataDxfId="653" dataCellStyle="Normal 2"/>
    <tableColumn id="11" xr3:uid="{00000000-0010-0000-0900-00000B000000}" name="TRM Reference No." dataDxfId="652" dataCellStyle="Normal 2"/>
    <tableColumn id="12" xr3:uid="{00000000-0010-0000-0900-00000C000000}" name="Measure Life" dataDxfId="651" dataCellStyle="Normal 2"/>
    <tableColumn id="13" xr3:uid="{00000000-0010-0000-0900-00000D000000}" name="Created On" dataDxfId="650" dataCellStyle="Normal 2"/>
    <tableColumn id="14" xr3:uid="{00000000-0010-0000-0900-00000E000000}" name="Source" dataDxfId="649" dataCellStyle="Normal 2"/>
    <tableColumn id="15" xr3:uid="{00000000-0010-0000-0900-00000F000000}" name="End Use Category" dataDxfId="648" dataCellStyle="Normal 2"/>
    <tableColumn id="16" xr3:uid="{00000000-0010-0000-0900-000010000000}" name="Inc Rate Unit" dataDxfId="647" dataCellStyle="Normal 2"/>
    <tableColumn id="17" xr3:uid="{00000000-0010-0000-0900-000011000000}" name="Savings per Unit kWh" dataDxfId="646" dataCellStyle="Normal 2"/>
    <tableColumn id="18" xr3:uid="{00000000-0010-0000-0900-000012000000}" name="Savings per Unit kW" dataDxfId="645" dataCellStyle="Normal 2"/>
    <tableColumn id="19" xr3:uid="{00000000-0010-0000-0900-000013000000}" name="Inc Rate kWh" dataDxfId="644" dataCellStyle="Normal 2"/>
    <tableColumn id="20" xr3:uid="{00000000-0010-0000-0900-000014000000}" name="Inc Rate kW" dataDxfId="643" dataCellStyle="Normal 2"/>
    <tableColumn id="21" xr3:uid="{00000000-0010-0000-0900-000015000000}" name="Energy Type" dataDxfId="642" dataCellStyle="Normal 2"/>
    <tableColumn id="36" xr3:uid="{00000000-0010-0000-0900-000024000000}" name="Program" dataDxfId="641" dataCellStyle="Normal 2"/>
    <tableColumn id="35" xr3:uid="{00000000-0010-0000-0900-000023000000}" name="Lighting vs Non Lighting" dataDxfId="640" dataCellStyle="Normal 2"/>
    <tableColumn id="34" xr3:uid="{00000000-0010-0000-0900-000022000000}" name="Status" dataDxfId="639" dataCellStyle="Normal 2"/>
    <tableColumn id="33" xr3:uid="{00000000-0010-0000-0900-000021000000}" name="SUTO" dataDxfId="638" dataCellStyle="Normal 2"/>
    <tableColumn id="32" xr3:uid="{00000000-0010-0000-0900-000020000000}" name="Cost Basis" dataDxfId="637" dataCellStyle="Normal 2"/>
    <tableColumn id="31" xr3:uid="{00000000-0010-0000-0900-00001F000000}" name="Typical Unit Size" dataDxfId="636" dataCellStyle="Normal 2"/>
    <tableColumn id="30" xr3:uid="{00000000-0010-0000-0900-00001E000000}" name="Unit of Measure" dataDxfId="635" dataCellStyle="Normal 2"/>
    <tableColumn id="22" xr3:uid="{00000000-0010-0000-0900-000016000000}" name="Base Desc 1" dataDxfId="634"/>
    <tableColumn id="23" xr3:uid="{00000000-0010-0000-0900-000017000000}" name="Base Desc 2" dataDxfId="633"/>
    <tableColumn id="24" xr3:uid="{00000000-0010-0000-0900-000018000000}" name="Base Watt" dataDxfId="632"/>
    <tableColumn id="28" xr3:uid="{00000000-0010-0000-0900-00001C000000}" name="Base Watt 2" dataDxfId="631"/>
    <tableColumn id="25" xr3:uid="{00000000-0010-0000-0900-000019000000}" name="Eff Desc 1" dataDxfId="630" dataCellStyle="Normal 2"/>
    <tableColumn id="26" xr3:uid="{00000000-0010-0000-0900-00001A000000}" name="Eff Desc 2" dataDxfId="629"/>
    <tableColumn id="27" xr3:uid="{00000000-0010-0000-0900-00001B000000}" name="Eff Watt" dataDxfId="628"/>
    <tableColumn id="29" xr3:uid="{00000000-0010-0000-0900-00001D000000}" name="Eff Watt 2" dataDxfId="627"/>
  </tableColumns>
  <tableStyleInfo name="TableStyleMedium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A000000}" name="PMELIGHTLIN" displayName="PMELIGHTLIN" ref="AT1:BD35" totalsRowShown="0" headerRowDxfId="626" dataDxfId="624" headerRowBorderDxfId="625" tableBorderDxfId="623" totalsRowBorderDxfId="622" headerRowCellStyle="Normal 2" dataCellStyle="Normal 2">
  <autoFilter ref="AT1:BD35" xr:uid="{00000000-0009-0000-0100-00002D000000}"/>
  <sortState xmlns:xlrd2="http://schemas.microsoft.com/office/spreadsheetml/2017/richdata2" ref="AU2:BB9">
    <sortCondition ref="BB1:BB9"/>
  </sortState>
  <tableColumns count="11">
    <tableColumn id="12" xr3:uid="{786B8E51-D6D4-4B69-B38A-D7AC50810B62}" name="Measure Category" dataDxfId="621" dataCellStyle="Normal 2"/>
    <tableColumn id="1" xr3:uid="{00000000-0010-0000-0A00-000001000000}" name="Measure Validator" dataDxfId="620" dataCellStyle="Normal 2"/>
    <tableColumn id="3" xr3:uid="{00000000-0010-0000-0A00-000003000000}" name="Measure #" dataDxfId="619"/>
    <tableColumn id="2" xr3:uid="{00000000-0010-0000-0A00-000002000000}" name="Inc Rate Unit" dataDxfId="618" dataCellStyle="Normal 2"/>
    <tableColumn id="4" xr3:uid="{00000000-0010-0000-0A00-000004000000}" name="Base Watt 1" dataDxfId="617" dataCellStyle="Normal 2"/>
    <tableColumn id="5" xr3:uid="{00000000-0010-0000-0A00-000005000000}" name="Base Watt 2" dataDxfId="616" dataCellStyle="Normal 2"/>
    <tableColumn id="6" xr3:uid="{00000000-0010-0000-0A00-000006000000}" name="Eff Watt 1" dataDxfId="615" dataCellStyle="Normal 2"/>
    <tableColumn id="7" xr3:uid="{00000000-0010-0000-0A00-000007000000}" name="Eff Watt 2" dataDxfId="614" dataCellStyle="Normal 2"/>
    <tableColumn id="8" xr3:uid="{00000000-0010-0000-0A00-000008000000}" name="Op Hr 1" dataDxfId="613" dataCellStyle="Normal 2"/>
    <tableColumn id="9" xr3:uid="{31981D54-8B78-4C17-BF24-C5EB34FCA095}" name="Op Hr 2" dataDxfId="612" dataCellStyle="Normal 2"/>
    <tableColumn id="10" xr3:uid="{89DD7BBA-85AF-440B-A79B-A3E9B9387566}" name="End Use Category" dataDxfId="611" dataCellStyle="Normal 2"/>
  </tableColumns>
  <tableStyleInfo name="TableStyleMedium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457C7585-9733-4639-90A1-05587CC6E8BB}" name="REDESIGNBASE" displayName="REDESIGNBASE" ref="BF1:BP123" totalsRowShown="0">
  <autoFilter ref="BF1:BP123" xr:uid="{37CE92FD-CD55-44FB-AC99-1DEB587DF311}"/>
  <sortState xmlns:xlrd2="http://schemas.microsoft.com/office/spreadsheetml/2017/richdata2" ref="BF2:BP123">
    <sortCondition ref="BO1:BO123"/>
  </sortState>
  <tableColumns count="11">
    <tableColumn id="1" xr3:uid="{27DA717D-0D82-4756-91CE-CB2045113CA6}" name="Measure Number"/>
    <tableColumn id="2" xr3:uid="{455A3B84-8FC1-4B69-9847-1586AD287A4D}" name="Base Desc 1"/>
    <tableColumn id="3" xr3:uid="{61F51734-E0BB-4639-BF64-0DDC96339DEB}" name="Base Desc 2"/>
    <tableColumn id="4" xr3:uid="{135B5F1C-C63E-45EB-8491-CAC9684F0A8B}" name="Base Watt 1"/>
    <tableColumn id="5" xr3:uid="{45C9BD6C-1C95-4C03-943B-DBEF71E8A5E8}" name="Base Watt 2"/>
    <tableColumn id="6" xr3:uid="{B8683432-8192-4293-B438-5BF06B1CCBFE}" name="Measure Group"/>
    <tableColumn id="7" xr3:uid="{D8D7BA69-2183-4F84-8ADD-049D3F2FCCFC}" name="Measure Subgroup 1"/>
    <tableColumn id="8" xr3:uid="{6A62F27E-C2E1-47A8-BAB4-5551BD5C79CF}" name="Measure Subgroup 2"/>
    <tableColumn id="9" xr3:uid="{0C7723F0-C573-497A-A865-40D56BD44C96}" name="Unit"/>
    <tableColumn id="10" xr3:uid="{B37CC596-9C74-4685-8C91-FD32CDF8763D}" name="Order"/>
    <tableColumn id="11" xr3:uid="{B67F1980-C576-41ED-A88C-EFFF13604154}" name="Source (Standard Wattage Table)"/>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8AEBC74-D6D0-4313-A087-0C099D67092A}" name="LEDREDEFF" displayName="LEDREDEFF" ref="AT37:AT40" totalsRowShown="0" headerRowDxfId="610" headerRowCellStyle="Normal 2">
  <autoFilter ref="AT37:AT40" xr:uid="{D796FDFF-6A05-41A5-8718-EF312C3B44DE}"/>
  <tableColumns count="1">
    <tableColumn id="1" xr3:uid="{D252B04D-454E-4F0C-8FA7-C9DCE0B15FFB}" name="Redesign LED"/>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B000000}" name="SBDILIGHT" displayName="SBDILIGHT" ref="A1:AA30" totalsRowShown="0" headerRowDxfId="609" headerRowCellStyle="Normal 2" dataCellStyle="Normal 2">
  <autoFilter ref="A1:AA30" xr:uid="{00000000-0009-0000-0100-000004000000}"/>
  <tableColumns count="27">
    <tableColumn id="1" xr3:uid="{00000000-0010-0000-0B00-000001000000}" name="Name" dataCellStyle="Normal 2"/>
    <tableColumn id="2" xr3:uid="{00000000-0010-0000-0B00-000002000000}" name="Measure Number" dataCellStyle="Normal 2"/>
    <tableColumn id="3" xr3:uid="{00000000-0010-0000-0B00-000003000000}" name="Program" dataCellStyle="Normal 2"/>
    <tableColumn id="4" xr3:uid="{00000000-0010-0000-0B00-000004000000}" name="Energy Type" dataCellStyle="Normal 2"/>
    <tableColumn id="5" xr3:uid="{00000000-0010-0000-0B00-000005000000}" name="Category" dataCellStyle="Normal 2"/>
    <tableColumn id="6" xr3:uid="{00000000-0010-0000-0B00-000006000000}" name="Measure Group" dataCellStyle="Normal 2"/>
    <tableColumn id="7" xr3:uid="{00000000-0010-0000-0B00-000007000000}" name="Measure Subgroup" dataCellStyle="Normal 2"/>
    <tableColumn id="8" xr3:uid="{00000000-0010-0000-0B00-000008000000}" name="Eff Equip Descr" dataCellStyle="Normal 2"/>
    <tableColumn id="9" xr3:uid="{00000000-0010-0000-0B00-000009000000}" name="Base Equip Descr" dataCellStyle="Normal 2"/>
    <tableColumn id="10" xr3:uid="{00000000-0010-0000-0B00-00000A000000}" name="Size" dataCellStyle="Normal 2"/>
    <tableColumn id="11" xr3:uid="{00000000-0010-0000-0B00-00000B000000}" name="Unit" dataCellStyle="Normal 2"/>
    <tableColumn id="12" xr3:uid="{00000000-0010-0000-0B00-00000C000000}" name="Inc Rate Unit" dataDxfId="608" dataCellStyle="Normal 2"/>
    <tableColumn id="13" xr3:uid="{00000000-0010-0000-0B00-00000D000000}" name="Measure Life" dataDxfId="607" dataCellStyle="Normal 2"/>
    <tableColumn id="14" xr3:uid="{00000000-0010-0000-0B00-00000E000000}" name="EUL" dataDxfId="606" dataCellStyle="Normal 2"/>
    <tableColumn id="15" xr3:uid="{00000000-0010-0000-0B00-00000F000000}" name="Savings per Unit kWh" dataDxfId="605" dataCellStyle="Normal 2"/>
    <tableColumn id="16" xr3:uid="{00000000-0010-0000-0B00-000010000000}" name="Savings per Unit KW" dataDxfId="604" dataCellStyle="Normal 2"/>
    <tableColumn id="17" xr3:uid="{00000000-0010-0000-0B00-000011000000}" name="Incremental Cost" dataDxfId="603" dataCellStyle="Normal 2"/>
    <tableColumn id="18" xr3:uid="{00000000-0010-0000-0B00-000012000000}" name="SUTO" dataDxfId="602" dataCellStyle="Normal 2"/>
    <tableColumn id="19" xr3:uid="{00000000-0010-0000-0B00-000013000000}" name="Equip Description" dataCellStyle="Normal 2"/>
    <tableColumn id="20" xr3:uid="{00000000-0010-0000-0B00-000014000000}" name="Client Description" dataCellStyle="Normal 2"/>
    <tableColumn id="21" xr3:uid="{00000000-0010-0000-0B00-000015000000}" name="Source" dataCellStyle="Normal 2"/>
    <tableColumn id="22" xr3:uid="{00000000-0010-0000-0B00-000016000000}" name="Base Desc 1" dataCellStyle="Normal 2"/>
    <tableColumn id="23" xr3:uid="{00000000-0010-0000-0B00-000017000000}" name="Base Desc 2" dataCellStyle="Normal 2"/>
    <tableColumn id="24" xr3:uid="{00000000-0010-0000-0B00-000018000000}" name="Base Watt" dataCellStyle="Normal 2"/>
    <tableColumn id="25" xr3:uid="{00000000-0010-0000-0B00-000019000000}" name="Eff Desc 1" dataDxfId="601" dataCellStyle="Normal 2"/>
    <tableColumn id="26" xr3:uid="{00000000-0010-0000-0B00-00001A000000}" name="Eff Desc 2" dataCellStyle="Normal 2"/>
    <tableColumn id="27" xr3:uid="{00000000-0010-0000-0B00-00001B000000}" name="Eff Watt" dataCellStyle="Normal 2"/>
  </tableColumns>
  <tableStyleInfo name="TableStyleMedium5"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C000000}" name="SBDINONLIGHT" displayName="SBDINONLIGHT" ref="A36:AA62" totalsRowShown="0" headerRowDxfId="600" headerRowCellStyle="Normal 2" dataCellStyle="Normal 2">
  <autoFilter ref="A36:AA62" xr:uid="{00000000-0009-0000-0100-000005000000}"/>
  <tableColumns count="27">
    <tableColumn id="1" xr3:uid="{00000000-0010-0000-0C00-000001000000}" name="Name" dataCellStyle="Normal 2"/>
    <tableColumn id="2" xr3:uid="{00000000-0010-0000-0C00-000002000000}" name="Measure Number" dataCellStyle="Normal 2"/>
    <tableColumn id="3" xr3:uid="{00000000-0010-0000-0C00-000003000000}" name="Program" dataCellStyle="Normal 2"/>
    <tableColumn id="4" xr3:uid="{00000000-0010-0000-0C00-000004000000}" name="Energy Type" dataCellStyle="Normal 2"/>
    <tableColumn id="5" xr3:uid="{00000000-0010-0000-0C00-000005000000}" name="Category" dataCellStyle="Normal 2"/>
    <tableColumn id="6" xr3:uid="{00000000-0010-0000-0C00-000006000000}" name="Measure Group" dataCellStyle="Normal 2"/>
    <tableColumn id="7" xr3:uid="{00000000-0010-0000-0C00-000007000000}" name="Measure Subgroup" dataCellStyle="Normal 2"/>
    <tableColumn id="8" xr3:uid="{00000000-0010-0000-0C00-000008000000}" name="Eff Equip Descr" dataCellStyle="Normal 2"/>
    <tableColumn id="9" xr3:uid="{00000000-0010-0000-0C00-000009000000}" name="Base Equip Descr" dataCellStyle="Normal 2"/>
    <tableColumn id="10" xr3:uid="{00000000-0010-0000-0C00-00000A000000}" name="Size" dataCellStyle="Normal 2"/>
    <tableColumn id="11" xr3:uid="{00000000-0010-0000-0C00-00000B000000}" name="Unit" dataCellStyle="Normal 2"/>
    <tableColumn id="12" xr3:uid="{00000000-0010-0000-0C00-00000C000000}" name="Inc Rate Unit" dataDxfId="599" dataCellStyle="Normal 2"/>
    <tableColumn id="13" xr3:uid="{00000000-0010-0000-0C00-00000D000000}" name="Measure Life" dataDxfId="598" dataCellStyle="Normal 2"/>
    <tableColumn id="14" xr3:uid="{00000000-0010-0000-0C00-00000E000000}" name="EUL" dataDxfId="597" dataCellStyle="Normal 2"/>
    <tableColumn id="15" xr3:uid="{00000000-0010-0000-0C00-00000F000000}" name="Savings per Unit kWh" dataDxfId="596" dataCellStyle="Normal 2"/>
    <tableColumn id="16" xr3:uid="{00000000-0010-0000-0C00-000010000000}" name="Savings per Unit KW" dataDxfId="595" dataCellStyle="Normal 2"/>
    <tableColumn id="17" xr3:uid="{00000000-0010-0000-0C00-000011000000}" name="Incremental Cost" dataDxfId="594" dataCellStyle="Normal 2"/>
    <tableColumn id="18" xr3:uid="{00000000-0010-0000-0C00-000012000000}" name="SUTO" dataDxfId="593" dataCellStyle="Normal 2"/>
    <tableColumn id="19" xr3:uid="{00000000-0010-0000-0C00-000013000000}" name="Equip Description" dataCellStyle="Normal 2"/>
    <tableColumn id="20" xr3:uid="{00000000-0010-0000-0C00-000014000000}" name="Client Description" dataCellStyle="Normal 2"/>
    <tableColumn id="21" xr3:uid="{00000000-0010-0000-0C00-000015000000}" name="Source" dataCellStyle="Normal 2"/>
    <tableColumn id="22" xr3:uid="{00000000-0010-0000-0C00-000016000000}" name="Base Desc 1" dataCellStyle="Normal 2"/>
    <tableColumn id="23" xr3:uid="{00000000-0010-0000-0C00-000017000000}" name="Base Desc 2" dataCellStyle="Normal 2"/>
    <tableColumn id="24" xr3:uid="{00000000-0010-0000-0C00-000018000000}" name="Base Watt" dataCellStyle="Normal 2"/>
    <tableColumn id="25" xr3:uid="{00000000-0010-0000-0C00-000019000000}" name="Eff Desc 1" dataCellStyle="Normal 2"/>
    <tableColumn id="26" xr3:uid="{00000000-0010-0000-0C00-00001A000000}" name="Eff Desc 2" dataDxfId="592" dataCellStyle="Normal 2"/>
    <tableColumn id="27" xr3:uid="{00000000-0010-0000-0C00-00001B000000}" name="Eff Watt"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D000000}" name="SBDIGAS" displayName="SBDIGAS" ref="A73:AA87" totalsRowShown="0" headerRowDxfId="591" headerRowCellStyle="Normal 2" dataCellStyle="Normal 2">
  <autoFilter ref="A73:AA87" xr:uid="{00000000-0009-0000-0100-000006000000}"/>
  <tableColumns count="27">
    <tableColumn id="1" xr3:uid="{00000000-0010-0000-0D00-000001000000}" name="Name" dataDxfId="590" dataCellStyle="Normal 2"/>
    <tableColumn id="2" xr3:uid="{00000000-0010-0000-0D00-000002000000}" name="Measure Number" dataDxfId="589" dataCellStyle="Normal 2"/>
    <tableColumn id="3" xr3:uid="{00000000-0010-0000-0D00-000003000000}" name="Program" dataDxfId="588" dataCellStyle="Normal 2"/>
    <tableColumn id="4" xr3:uid="{00000000-0010-0000-0D00-000004000000}" name="Energy Type" dataDxfId="587" dataCellStyle="Normal 2"/>
    <tableColumn id="5" xr3:uid="{00000000-0010-0000-0D00-000005000000}" name="Category" dataDxfId="586" dataCellStyle="Normal 2"/>
    <tableColumn id="6" xr3:uid="{00000000-0010-0000-0D00-000006000000}" name="Measure Group" dataDxfId="585" dataCellStyle="Normal 2"/>
    <tableColumn id="7" xr3:uid="{00000000-0010-0000-0D00-000007000000}" name="Measure Subgroup" dataDxfId="584" dataCellStyle="Normal 2"/>
    <tableColumn id="8" xr3:uid="{00000000-0010-0000-0D00-000008000000}" name="Eff Equip Descr" dataDxfId="583" dataCellStyle="Normal 2"/>
    <tableColumn id="9" xr3:uid="{00000000-0010-0000-0D00-000009000000}" name="Base Equip Descr" dataDxfId="582" dataCellStyle="Normal 2"/>
    <tableColumn id="10" xr3:uid="{00000000-0010-0000-0D00-00000A000000}" name="Size" dataDxfId="581" dataCellStyle="Normal 2"/>
    <tableColumn id="11" xr3:uid="{00000000-0010-0000-0D00-00000B000000}" name="Unit" dataDxfId="580" dataCellStyle="Normal 2"/>
    <tableColumn id="12" xr3:uid="{00000000-0010-0000-0D00-00000C000000}" name="Inc Rate Unit" dataDxfId="579" dataCellStyle="Normal 2"/>
    <tableColumn id="13" xr3:uid="{00000000-0010-0000-0D00-00000D000000}" name="Measure Life" dataDxfId="578" dataCellStyle="Normal 2"/>
    <tableColumn id="14" xr3:uid="{00000000-0010-0000-0D00-00000E000000}" name="EUL" dataDxfId="577" dataCellStyle="Normal 2"/>
    <tableColumn id="15" xr3:uid="{00000000-0010-0000-0D00-00000F000000}" name="Savings per Unit therms" dataDxfId="576" dataCellStyle="Normal 2"/>
    <tableColumn id="16" xr3:uid="{00000000-0010-0000-0D00-000010000000}" name="NA" dataDxfId="575" dataCellStyle="Normal 2"/>
    <tableColumn id="17" xr3:uid="{00000000-0010-0000-0D00-000011000000}" name="Incremental Cost" dataDxfId="574" dataCellStyle="Normal 2"/>
    <tableColumn id="18" xr3:uid="{00000000-0010-0000-0D00-000012000000}" name="SUTO" dataDxfId="573" dataCellStyle="Normal 2"/>
    <tableColumn id="19" xr3:uid="{00000000-0010-0000-0D00-000013000000}" name="Equip Description" dataDxfId="572" dataCellStyle="Normal 2"/>
    <tableColumn id="20" xr3:uid="{00000000-0010-0000-0D00-000014000000}" name="Client Description" dataDxfId="571" dataCellStyle="Normal 2"/>
    <tableColumn id="21" xr3:uid="{00000000-0010-0000-0D00-000015000000}" name="Source" dataDxfId="570" dataCellStyle="Normal 2"/>
    <tableColumn id="22" xr3:uid="{00000000-0010-0000-0D00-000016000000}" name="Base Desc 1" dataDxfId="569" dataCellStyle="Normal 2"/>
    <tableColumn id="23" xr3:uid="{00000000-0010-0000-0D00-000017000000}" name="Base Desc 2" dataCellStyle="Normal 2"/>
    <tableColumn id="24" xr3:uid="{00000000-0010-0000-0D00-000018000000}" name="Base Watt" dataCellStyle="Normal 2"/>
    <tableColumn id="25" xr3:uid="{00000000-0010-0000-0D00-000019000000}" name="Eff Desc 1" dataCellStyle="Normal 2"/>
    <tableColumn id="26" xr3:uid="{00000000-0010-0000-0D00-00001A000000}" name="Eff Desc 2" dataCellStyle="Normal 2"/>
    <tableColumn id="27" xr3:uid="{00000000-0010-0000-0D00-00001B000000}" name="Eff Watt" dataCellStyle="Normal 2"/>
  </tableColumns>
  <tableStyleInfo name="TableStyleMedium3"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F000000}" name="CMLIGHTEFF" displayName="CMLIGHTEFF" ref="N1:Z44" totalsRowShown="0" headerRowDxfId="568" dataDxfId="567" headerRowCellStyle="Normal 2">
  <autoFilter ref="N1:Z44" xr:uid="{00000000-0009-0000-0100-000002000000}"/>
  <tableColumns count="13">
    <tableColumn id="10" xr3:uid="{00000000-0010-0000-0F00-00000A000000}" name="Measure Number" dataDxfId="566"/>
    <tableColumn id="1" xr3:uid="{00000000-0010-0000-0F00-000001000000}" name="Eff Desc 1" dataDxfId="565"/>
    <tableColumn id="2" xr3:uid="{00000000-0010-0000-0F00-000002000000}" name="Eff Desc 2" dataDxfId="564"/>
    <tableColumn id="3" xr3:uid="{00000000-0010-0000-0F00-000003000000}" name="Eff Watt 1" dataDxfId="563"/>
    <tableColumn id="4" xr3:uid="{00000000-0010-0000-0F00-000004000000}" name="Eff Watt 2" dataDxfId="562"/>
    <tableColumn id="5" xr3:uid="{00000000-0010-0000-0F00-000005000000}" name="Measure Group" dataDxfId="561"/>
    <tableColumn id="6" xr3:uid="{00000000-0010-0000-0F00-000006000000}" name="Measure Subgroup 1" dataDxfId="560"/>
    <tableColumn id="7" xr3:uid="{00000000-0010-0000-0F00-000007000000}" name="Measure Subgroup 2" dataDxfId="559"/>
    <tableColumn id="8" xr3:uid="{00000000-0010-0000-0F00-000008000000}" name="Unit" dataDxfId="558"/>
    <tableColumn id="9" xr3:uid="{00000000-0010-0000-0F00-000009000000}" name="Order" dataDxfId="557"/>
    <tableColumn id="11" xr3:uid="{00000000-0010-0000-0F00-00000B000000}" name="Source (Standard Wattage Table)" dataDxfId="556"/>
    <tableColumn id="12" xr3:uid="{00000000-0010-0000-0F00-00000C000000}" name="Inc Rate" dataDxfId="555"/>
    <tableColumn id="13" xr3:uid="{00000000-0010-0000-0F00-00000D000000}" name="Inc Rate Exterior" dataDxfId="554"/>
  </tableColumns>
  <tableStyleInfo name="TableStyleMedium5"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INCRATE" displayName="INCRATE" ref="AB1:AD6" totalsRowShown="0" headerRowDxfId="553" dataDxfId="552">
  <autoFilter ref="AB1:AD6" xr:uid="{00000000-0009-0000-0100-000013000000}"/>
  <tableColumns count="3">
    <tableColumn id="1" xr3:uid="{00000000-0010-0000-1000-000001000000}" name="Incentive Type" dataDxfId="551"/>
    <tableColumn id="2" xr3:uid="{00000000-0010-0000-1000-000002000000}" name="Electric" dataDxfId="550"/>
    <tableColumn id="3" xr3:uid="{00000000-0010-0000-1000-000003000000}" name="Gas" dataDxfId="549"/>
  </tableColumns>
  <tableStyleInfo name="TableStyleMedium4"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11000000}" name="PROGRAMTYPE" displayName="PROGRAMTYPE" ref="AF1:AF2" totalsRowShown="0" headerRowDxfId="548" dataDxfId="547" headerRowCellStyle="Normal 2">
  <autoFilter ref="AF1:AF2" xr:uid="{00000000-0009-0000-0100-000003000000}"/>
  <sortState xmlns:xlrd2="http://schemas.microsoft.com/office/spreadsheetml/2017/richdata2" ref="AK2:AK5">
    <sortCondition ref="AK1:AK5"/>
  </sortState>
  <tableColumns count="1">
    <tableColumn id="1" xr3:uid="{00000000-0010-0000-1100-000001000000}" name="Program" dataDxfId="546"/>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PMEHVAC" displayName="PMEHVAC" ref="A146:AC164" totalsRowShown="0" headerRowDxfId="914" dataDxfId="913" headerRowCellStyle="Normal 2" dataCellStyle="Normal 2">
  <autoFilter ref="A146:AC164" xr:uid="{00000000-0009-0000-0100-000008000000}"/>
  <tableColumns count="29">
    <tableColumn id="1" xr3:uid="{00000000-0010-0000-0100-000001000000}" name="Name" dataDxfId="912" dataCellStyle="Normal 2"/>
    <tableColumn id="2" xr3:uid="{00000000-0010-0000-0100-000002000000}" name="Measure Number" dataDxfId="911" dataCellStyle="Normal 2"/>
    <tableColumn id="3" xr3:uid="{00000000-0010-0000-0100-000003000000}" name="Program" dataDxfId="910" dataCellStyle="Normal 2"/>
    <tableColumn id="4" xr3:uid="{00000000-0010-0000-0100-000004000000}" name="Energy Type" dataDxfId="909" dataCellStyle="Normal 2"/>
    <tableColumn id="5" xr3:uid="{00000000-0010-0000-0100-000005000000}" name="Category" dataDxfId="908" dataCellStyle="Normal 2"/>
    <tableColumn id="6" xr3:uid="{00000000-0010-0000-0100-000006000000}" name="Measure Group" dataDxfId="907" dataCellStyle="Normal 2"/>
    <tableColumn id="7" xr3:uid="{00000000-0010-0000-0100-000007000000}" name="Measure Subgroup" dataDxfId="906" dataCellStyle="Normal 2"/>
    <tableColumn id="8" xr3:uid="{00000000-0010-0000-0100-000008000000}" name="Eff Equip Descr" dataDxfId="905" dataCellStyle="Normal 2"/>
    <tableColumn id="9" xr3:uid="{00000000-0010-0000-0100-000009000000}" name="Base Equip Descr" dataDxfId="904" dataCellStyle="Normal 2"/>
    <tableColumn id="10" xr3:uid="{00000000-0010-0000-0100-00000A000000}" name="Size" dataDxfId="903" dataCellStyle="Normal 2"/>
    <tableColumn id="11" xr3:uid="{00000000-0010-0000-0100-00000B000000}" name="Unit" dataDxfId="902" dataCellStyle="Normal 2"/>
    <tableColumn id="12" xr3:uid="{00000000-0010-0000-0100-00000C000000}" name="Inc Rate Unit" dataDxfId="901" dataCellStyle="Normal 2"/>
    <tableColumn id="13" xr3:uid="{00000000-0010-0000-0100-00000D000000}" name="Measure Life" dataDxfId="900" dataCellStyle="Normal 2"/>
    <tableColumn id="14" xr3:uid="{00000000-0010-0000-0100-00000E000000}" name="EUL" dataDxfId="899" dataCellStyle="Normal 2"/>
    <tableColumn id="15" xr3:uid="{00000000-0010-0000-0100-00000F000000}" name="Savings per Unit kWh" dataDxfId="898" dataCellStyle="Normal 2"/>
    <tableColumn id="16" xr3:uid="{00000000-0010-0000-0100-000010000000}" name="Savings per Unit KW" dataDxfId="897" dataCellStyle="Normal 2"/>
    <tableColumn id="17" xr3:uid="{00000000-0010-0000-0100-000011000000}" name="Incremental Cost" dataDxfId="896" dataCellStyle="Normal 2"/>
    <tableColumn id="18" xr3:uid="{00000000-0010-0000-0100-000012000000}" name="SUTO" dataDxfId="895" dataCellStyle="Normal 2"/>
    <tableColumn id="19" xr3:uid="{00000000-0010-0000-0100-000013000000}" name="Equip Description" dataDxfId="894" dataCellStyle="Normal 2"/>
    <tableColumn id="20" xr3:uid="{00000000-0010-0000-0100-000014000000}" name="Client Description" dataDxfId="893" dataCellStyle="Normal 2"/>
    <tableColumn id="21" xr3:uid="{00000000-0010-0000-0100-000015000000}" name="Source" dataDxfId="892" dataCellStyle="Normal 2"/>
    <tableColumn id="22" xr3:uid="{00000000-0010-0000-0100-000016000000}" name="Base Desc 1" dataDxfId="891" dataCellStyle="Normal 2"/>
    <tableColumn id="23" xr3:uid="{00000000-0010-0000-0100-000017000000}" name="Base Desc 2" dataDxfId="890" dataCellStyle="Normal 2"/>
    <tableColumn id="24" xr3:uid="{00000000-0010-0000-0100-000018000000}" name="Base Watt" dataDxfId="889" dataCellStyle="Normal 2"/>
    <tableColumn id="28" xr3:uid="{00000000-0010-0000-0100-00001C000000}" name="Base Watt 2" dataDxfId="888" dataCellStyle="Normal 2"/>
    <tableColumn id="25" xr3:uid="{00000000-0010-0000-0100-000019000000}" name="Eff Desc 1" dataDxfId="887" dataCellStyle="Normal 2"/>
    <tableColumn id="26" xr3:uid="{00000000-0010-0000-0100-00001A000000}" name="Eff Desc 2" dataDxfId="886" dataCellStyle="Normal 2"/>
    <tableColumn id="27" xr3:uid="{00000000-0010-0000-0100-00001B000000}" name="Eff Watt" dataDxfId="885" dataCellStyle="Normal 2"/>
    <tableColumn id="29" xr3:uid="{00000000-0010-0000-0100-00001D000000}" name="Eff Watt 22" dataDxfId="884" dataCellStyle="Normal 2"/>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2000000}" name="PROGRAMECAT" displayName="PROGRAMECAT" ref="AH1:AN43" totalsRowShown="0" headerRowDxfId="545" dataDxfId="544">
  <autoFilter ref="AH1:AN43" xr:uid="{00000000-0009-0000-0100-000014000000}"/>
  <sortState xmlns:xlrd2="http://schemas.microsoft.com/office/spreadsheetml/2017/richdata2" ref="AM2:AQ37">
    <sortCondition ref="AM1:AM37"/>
  </sortState>
  <tableColumns count="7">
    <tableColumn id="1" xr3:uid="{00000000-0010-0000-1200-000001000000}" name="Program" dataDxfId="543"/>
    <tableColumn id="2" xr3:uid="{00000000-0010-0000-1200-000002000000}" name="Category 1" dataDxfId="542"/>
    <tableColumn id="3" xr3:uid="{00000000-0010-0000-1200-000003000000}" name="Category 2" dataDxfId="541"/>
    <tableColumn id="4" xr3:uid="{00000000-0010-0000-1200-000004000000}" name="Measure Number" dataDxfId="540"/>
    <tableColumn id="5" xr3:uid="{00000000-0010-0000-1200-000005000000}" name="EUL" dataDxfId="539"/>
    <tableColumn id="6" xr3:uid="{00000000-0010-0000-1200-000006000000}" name="End Use Category Equivalent" dataDxfId="538"/>
    <tableColumn id="7" xr3:uid="{00000000-0010-0000-1200-000007000000}" name="End Use Factor" dataDxfId="537"/>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3000000}" name="PROGRAMGCAT" displayName="PROGRAMGCAT" ref="AP1:AV29" totalsRowShown="0" headerRowDxfId="536" dataDxfId="535">
  <autoFilter ref="AP1:AV29" xr:uid="{00000000-0009-0000-0100-000015000000}"/>
  <sortState xmlns:xlrd2="http://schemas.microsoft.com/office/spreadsheetml/2017/richdata2" ref="AU2:AY29">
    <sortCondition ref="AU1:AU29"/>
  </sortState>
  <tableColumns count="7">
    <tableColumn id="1" xr3:uid="{00000000-0010-0000-1300-000001000000}" name="Program" dataDxfId="534"/>
    <tableColumn id="2" xr3:uid="{00000000-0010-0000-1300-000002000000}" name="Category 1" dataDxfId="533"/>
    <tableColumn id="3" xr3:uid="{00000000-0010-0000-1300-000003000000}" name="Category 2" dataDxfId="532"/>
    <tableColumn id="4" xr3:uid="{00000000-0010-0000-1300-000004000000}" name="Measure Number" dataDxfId="531"/>
    <tableColumn id="5" xr3:uid="{00000000-0010-0000-1300-000005000000}" name="EUL" dataDxfId="530"/>
    <tableColumn id="6" xr3:uid="{00000000-0010-0000-1300-000006000000}" name="End Use Category Equivalent" dataDxfId="529"/>
    <tableColumn id="7" xr3:uid="{00000000-0010-0000-1300-000007000000}" name="End Use Factor" dataDxfId="528"/>
  </tableColumns>
  <tableStyleInfo name="TableStyleMedium3"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4000000}" name="CMEHVAC" displayName="CMEHVAC" ref="AX1:BL41" totalsRowShown="0" headerRowDxfId="527" dataDxfId="526">
  <autoFilter ref="AX1:BL41" xr:uid="{00000000-0009-0000-0100-000020000000}"/>
  <sortState xmlns:xlrd2="http://schemas.microsoft.com/office/spreadsheetml/2017/richdata2" ref="AX2:BL33">
    <sortCondition ref="BH1:BH33"/>
  </sortState>
  <tableColumns count="15">
    <tableColumn id="1" xr3:uid="{00000000-0010-0000-1400-000001000000}" name="Measure Number" dataDxfId="525"/>
    <tableColumn id="14" xr3:uid="{00000000-0010-0000-1400-00000E000000}" name="Project Category" dataDxfId="524"/>
    <tableColumn id="2" xr3:uid="{00000000-0010-0000-1400-000002000000}" name="Proj Desc 1" dataDxfId="523"/>
    <tableColumn id="3" xr3:uid="{00000000-0010-0000-1400-000003000000}" name="Proj Desc 2" dataDxfId="522"/>
    <tableColumn id="4" xr3:uid="{00000000-0010-0000-1400-000004000000}" name="Inc Rate" dataDxfId="521"/>
    <tableColumn id="5" xr3:uid="{00000000-0010-0000-1400-000005000000}" name="EUL" dataDxfId="520"/>
    <tableColumn id="6" xr3:uid="{00000000-0010-0000-1400-000006000000}" name="Measure Group" dataDxfId="519"/>
    <tableColumn id="7" xr3:uid="{00000000-0010-0000-1400-000007000000}" name="Measure Subgroup 1" dataDxfId="518"/>
    <tableColumn id="8" xr3:uid="{00000000-0010-0000-1400-000008000000}" name="Measure Subgroup 2" dataDxfId="517"/>
    <tableColumn id="9" xr3:uid="{00000000-0010-0000-1400-000009000000}" name="Units" dataDxfId="516"/>
    <tableColumn id="10" xr3:uid="{00000000-0010-0000-1400-00000A000000}" name="Order" dataDxfId="515"/>
    <tableColumn id="11" xr3:uid="{00000000-0010-0000-1400-00000B000000}" name="End Use Category" dataDxfId="514"/>
    <tableColumn id="12" xr3:uid="{00000000-0010-0000-1400-00000C000000}" name="Factor" dataDxfId="513"/>
    <tableColumn id="15" xr3:uid="{00000000-0010-0000-1400-00000F000000}" name="Cost Basis" dataDxfId="512"/>
    <tableColumn id="13" xr3:uid="{00000000-0010-0000-1400-00000D000000}" name="Application Tab" dataDxfId="511"/>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5000000}" name="CMELIGHT" displayName="CMELIGHT" ref="AX42:BL47" totalsRowShown="0" headerRowDxfId="510" dataDxfId="509">
  <autoFilter ref="AX42:BL47" xr:uid="{00000000-0009-0000-0100-000021000000}"/>
  <sortState xmlns:xlrd2="http://schemas.microsoft.com/office/spreadsheetml/2017/richdata2" ref="AX36:BL40">
    <sortCondition ref="BH35:BH40"/>
  </sortState>
  <tableColumns count="15">
    <tableColumn id="1" xr3:uid="{00000000-0010-0000-1500-000001000000}" name="Measure Number" dataDxfId="508"/>
    <tableColumn id="14" xr3:uid="{00000000-0010-0000-1500-00000E000000}" name="Project Category" dataDxfId="507"/>
    <tableColumn id="2" xr3:uid="{00000000-0010-0000-1500-000002000000}" name="Proj Desc 1" dataDxfId="506"/>
    <tableColumn id="3" xr3:uid="{00000000-0010-0000-1500-000003000000}" name="Proj Desc 2" dataDxfId="505"/>
    <tableColumn id="4" xr3:uid="{00000000-0010-0000-1500-000004000000}" name="Inc Rate" dataDxfId="504"/>
    <tableColumn id="5" xr3:uid="{00000000-0010-0000-1500-000005000000}" name="EUL" dataDxfId="503"/>
    <tableColumn id="6" xr3:uid="{00000000-0010-0000-1500-000006000000}" name="Measure Group" dataDxfId="502"/>
    <tableColumn id="7" xr3:uid="{00000000-0010-0000-1500-000007000000}" name="Measure Subgroup 1" dataDxfId="501"/>
    <tableColumn id="8" xr3:uid="{00000000-0010-0000-1500-000008000000}" name="Measure Subgroup 2" dataDxfId="500"/>
    <tableColumn id="9" xr3:uid="{00000000-0010-0000-1500-000009000000}" name="Units" dataDxfId="499"/>
    <tableColumn id="10" xr3:uid="{00000000-0010-0000-1500-00000A000000}" name="Order" dataDxfId="498"/>
    <tableColumn id="11" xr3:uid="{00000000-0010-0000-1500-00000B000000}" name="End Use Category" dataDxfId="497"/>
    <tableColumn id="12" xr3:uid="{00000000-0010-0000-1500-00000C000000}" name="Factor" dataDxfId="496"/>
    <tableColumn id="15" xr3:uid="{00000000-0010-0000-1500-00000F000000}" name="Cost Basis" dataDxfId="495"/>
    <tableColumn id="13" xr3:uid="{00000000-0010-0000-1500-00000D000000}" name="Application Tab" dataDxfId="494"/>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6000000}" name="CMELIGHTCON" displayName="CMELIGHTCON" ref="AX49:BL59" totalsRowShown="0" headerRowDxfId="493" dataDxfId="492">
  <autoFilter ref="AX49:BL59" xr:uid="{00000000-0009-0000-0100-000022000000}"/>
  <sortState xmlns:xlrd2="http://schemas.microsoft.com/office/spreadsheetml/2017/richdata2" ref="AX44:BL53">
    <sortCondition ref="BH43:BH53"/>
  </sortState>
  <tableColumns count="15">
    <tableColumn id="1" xr3:uid="{00000000-0010-0000-1600-000001000000}" name="Measure Number" dataDxfId="491"/>
    <tableColumn id="14" xr3:uid="{00000000-0010-0000-1600-00000E000000}" name="Project Category" dataDxfId="490"/>
    <tableColumn id="2" xr3:uid="{00000000-0010-0000-1600-000002000000}" name="Proj Desc 1" dataDxfId="489"/>
    <tableColumn id="3" xr3:uid="{00000000-0010-0000-1600-000003000000}" name="Proj Desc 2" dataDxfId="488"/>
    <tableColumn id="4" xr3:uid="{00000000-0010-0000-1600-000004000000}" name="Inc Rate" dataDxfId="487"/>
    <tableColumn id="5" xr3:uid="{00000000-0010-0000-1600-000005000000}" name="EUL" dataDxfId="486"/>
    <tableColumn id="6" xr3:uid="{00000000-0010-0000-1600-000006000000}" name="Measure Group" dataDxfId="485"/>
    <tableColumn id="7" xr3:uid="{00000000-0010-0000-1600-000007000000}" name="Measure Subgroup 1" dataDxfId="484"/>
    <tableColumn id="8" xr3:uid="{00000000-0010-0000-1600-000008000000}" name="Measure Subgroup 2" dataDxfId="483"/>
    <tableColumn id="9" xr3:uid="{00000000-0010-0000-1600-000009000000}" name="Units" dataDxfId="482"/>
    <tableColumn id="10" xr3:uid="{00000000-0010-0000-1600-00000A000000}" name="Order" dataDxfId="481"/>
    <tableColumn id="11" xr3:uid="{00000000-0010-0000-1600-00000B000000}" name="End Use Category" dataDxfId="480"/>
    <tableColumn id="12" xr3:uid="{00000000-0010-0000-1600-00000C000000}" name="Factor" dataDxfId="479"/>
    <tableColumn id="15" xr3:uid="{00000000-0010-0000-1600-00000F000000}" name="Cost Basis" dataDxfId="478"/>
    <tableColumn id="13" xr3:uid="{00000000-0010-0000-1600-00000D000000}" name="Application Tab" dataDxfId="477"/>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7000000}" name="CMECOOK" displayName="CMECOOK" ref="AX61:BL77" totalsRowShown="0" headerRowDxfId="476" dataDxfId="475">
  <autoFilter ref="AX61:BL77" xr:uid="{00000000-0009-0000-0100-000023000000}"/>
  <sortState xmlns:xlrd2="http://schemas.microsoft.com/office/spreadsheetml/2017/richdata2" ref="AX56:BL71">
    <sortCondition ref="BH55:BH71"/>
  </sortState>
  <tableColumns count="15">
    <tableColumn id="1" xr3:uid="{00000000-0010-0000-1700-000001000000}" name="Measure Number" dataDxfId="474"/>
    <tableColumn id="14" xr3:uid="{00000000-0010-0000-1700-00000E000000}" name="Project Category" dataDxfId="473"/>
    <tableColumn id="2" xr3:uid="{00000000-0010-0000-1700-000002000000}" name="Proj Desc 1" dataDxfId="472"/>
    <tableColumn id="3" xr3:uid="{00000000-0010-0000-1700-000003000000}" name="Proj Desc 2" dataDxfId="471"/>
    <tableColumn id="4" xr3:uid="{00000000-0010-0000-1700-000004000000}" name="Inc Rate" dataDxfId="470"/>
    <tableColumn id="5" xr3:uid="{00000000-0010-0000-1700-000005000000}" name="EUL" dataDxfId="469"/>
    <tableColumn id="6" xr3:uid="{00000000-0010-0000-1700-000006000000}" name="Measure Group" dataDxfId="468"/>
    <tableColumn id="7" xr3:uid="{00000000-0010-0000-1700-000007000000}" name="Measure Subgroup 1" dataDxfId="467"/>
    <tableColumn id="8" xr3:uid="{00000000-0010-0000-1700-000008000000}" name="Measure Subgroup 2" dataDxfId="466"/>
    <tableColumn id="9" xr3:uid="{00000000-0010-0000-1700-000009000000}" name="Units" dataDxfId="465"/>
    <tableColumn id="10" xr3:uid="{00000000-0010-0000-1700-00000A000000}" name="Order" dataDxfId="464"/>
    <tableColumn id="11" xr3:uid="{00000000-0010-0000-1700-00000B000000}" name="End Use Category" dataDxfId="463"/>
    <tableColumn id="12" xr3:uid="{00000000-0010-0000-1700-00000C000000}" name="Factor" dataDxfId="462"/>
    <tableColumn id="15" xr3:uid="{00000000-0010-0000-1700-00000F000000}" name="Cost Basis" dataDxfId="461"/>
    <tableColumn id="13" xr3:uid="{00000000-0010-0000-1700-00000D000000}" name="Application Tab" dataDxfId="460"/>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8000000}" name="CMECOMPAIR" displayName="CMECOMPAIR" ref="AX79:BL95" totalsRowShown="0" headerRowDxfId="459" dataDxfId="458">
  <autoFilter ref="AX79:BL95" xr:uid="{00000000-0009-0000-0100-000024000000}"/>
  <sortState xmlns:xlrd2="http://schemas.microsoft.com/office/spreadsheetml/2017/richdata2" ref="AX74:BL89">
    <sortCondition ref="BH73:BH89"/>
  </sortState>
  <tableColumns count="15">
    <tableColumn id="1" xr3:uid="{00000000-0010-0000-1800-000001000000}" name="Measure Number" dataDxfId="457"/>
    <tableColumn id="14" xr3:uid="{00000000-0010-0000-1800-00000E000000}" name="Project Category" dataDxfId="456"/>
    <tableColumn id="2" xr3:uid="{00000000-0010-0000-1800-000002000000}" name="Proj Desc 1" dataDxfId="455"/>
    <tableColumn id="3" xr3:uid="{00000000-0010-0000-1800-000003000000}" name="Proj Desc 2" dataDxfId="454"/>
    <tableColumn id="4" xr3:uid="{00000000-0010-0000-1800-000004000000}" name="Inc Rate" dataDxfId="453"/>
    <tableColumn id="5" xr3:uid="{00000000-0010-0000-1800-000005000000}" name="EUL" dataDxfId="452"/>
    <tableColumn id="6" xr3:uid="{00000000-0010-0000-1800-000006000000}" name="Measure Group" dataDxfId="451"/>
    <tableColumn id="7" xr3:uid="{00000000-0010-0000-1800-000007000000}" name="Measure Subgroup 1" dataDxfId="450"/>
    <tableColumn id="8" xr3:uid="{00000000-0010-0000-1800-000008000000}" name="Measure Subgroup 2" dataDxfId="449"/>
    <tableColumn id="9" xr3:uid="{00000000-0010-0000-1800-000009000000}" name="Units" dataDxfId="448"/>
    <tableColumn id="10" xr3:uid="{00000000-0010-0000-1800-00000A000000}" name="Order" dataDxfId="447"/>
    <tableColumn id="11" xr3:uid="{00000000-0010-0000-1800-00000B000000}" name="End Use Category" dataDxfId="446"/>
    <tableColumn id="12" xr3:uid="{00000000-0010-0000-1800-00000C000000}" name="Factor" dataDxfId="445"/>
    <tableColumn id="15" xr3:uid="{00000000-0010-0000-1800-00000F000000}" name="Cost Basis" dataDxfId="444"/>
    <tableColumn id="13" xr3:uid="{00000000-0010-0000-1800-00000D000000}" name="Application Tab" dataDxfId="443"/>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9000000}" name="CMEMOTOR" displayName="CMEMOTOR" ref="AX97:BL117" totalsRowShown="0" headerRowDxfId="442" dataDxfId="441">
  <autoFilter ref="AX97:BL117" xr:uid="{00000000-0009-0000-0100-000025000000}"/>
  <sortState xmlns:xlrd2="http://schemas.microsoft.com/office/spreadsheetml/2017/richdata2" ref="AX92:BL109">
    <sortCondition ref="BH91:BH109"/>
  </sortState>
  <tableColumns count="15">
    <tableColumn id="1" xr3:uid="{00000000-0010-0000-1900-000001000000}" name="Measure Number" dataDxfId="440"/>
    <tableColumn id="14" xr3:uid="{00000000-0010-0000-1900-00000E000000}" name="Project Category" dataDxfId="439"/>
    <tableColumn id="2" xr3:uid="{00000000-0010-0000-1900-000002000000}" name="Proj Desc 1" dataDxfId="438"/>
    <tableColumn id="3" xr3:uid="{00000000-0010-0000-1900-000003000000}" name="Proj Desc 2" dataDxfId="437"/>
    <tableColumn id="4" xr3:uid="{00000000-0010-0000-1900-000004000000}" name="Inc Rate" dataDxfId="436"/>
    <tableColumn id="5" xr3:uid="{00000000-0010-0000-1900-000005000000}" name="EUL" dataDxfId="435"/>
    <tableColumn id="6" xr3:uid="{00000000-0010-0000-1900-000006000000}" name="Measure Group" dataDxfId="434"/>
    <tableColumn id="7" xr3:uid="{00000000-0010-0000-1900-000007000000}" name="Measure Subgroup 1" dataDxfId="433"/>
    <tableColumn id="8" xr3:uid="{00000000-0010-0000-1900-000008000000}" name="Measure Subgroup 2" dataDxfId="432"/>
    <tableColumn id="9" xr3:uid="{00000000-0010-0000-1900-000009000000}" name="Units" dataDxfId="431"/>
    <tableColumn id="10" xr3:uid="{00000000-0010-0000-1900-00000A000000}" name="Order" dataDxfId="430"/>
    <tableColumn id="11" xr3:uid="{00000000-0010-0000-1900-00000B000000}" name="End Use Category" dataDxfId="429"/>
    <tableColumn id="12" xr3:uid="{00000000-0010-0000-1900-00000C000000}" name="Factor" dataDxfId="428"/>
    <tableColumn id="15" xr3:uid="{00000000-0010-0000-1900-00000F000000}" name="Cost Basis" dataDxfId="427"/>
    <tableColumn id="13" xr3:uid="{00000000-0010-0000-1900-00000D000000}" name="Application Tab" dataDxfId="426"/>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A000000}" name="CMEREFRI" displayName="CMEREFRI" ref="AX119:BL133" totalsRowShown="0" headerRowDxfId="425" dataDxfId="424">
  <autoFilter ref="AX119:BL133" xr:uid="{00000000-0009-0000-0100-000026000000}"/>
  <sortState xmlns:xlrd2="http://schemas.microsoft.com/office/spreadsheetml/2017/richdata2" ref="AX112:BL125">
    <sortCondition ref="BH111:BH125"/>
  </sortState>
  <tableColumns count="15">
    <tableColumn id="1" xr3:uid="{00000000-0010-0000-1A00-000001000000}" name="Measure Number" dataDxfId="423"/>
    <tableColumn id="14" xr3:uid="{00000000-0010-0000-1A00-00000E000000}" name="Project Category" dataDxfId="422"/>
    <tableColumn id="2" xr3:uid="{00000000-0010-0000-1A00-000002000000}" name="Proj Desc 1" dataDxfId="421"/>
    <tableColumn id="3" xr3:uid="{00000000-0010-0000-1A00-000003000000}" name="Proj Desc 2" dataDxfId="420"/>
    <tableColumn id="4" xr3:uid="{00000000-0010-0000-1A00-000004000000}" name="Inc Rate" dataDxfId="419"/>
    <tableColumn id="5" xr3:uid="{00000000-0010-0000-1A00-000005000000}" name="EUL" dataDxfId="418"/>
    <tableColumn id="6" xr3:uid="{00000000-0010-0000-1A00-000006000000}" name="Measure Group" dataDxfId="417"/>
    <tableColumn id="7" xr3:uid="{00000000-0010-0000-1A00-000007000000}" name="Measure Subgroup 1" dataDxfId="416"/>
    <tableColumn id="8" xr3:uid="{00000000-0010-0000-1A00-000008000000}" name="Measure Subgroup 2" dataDxfId="415"/>
    <tableColumn id="9" xr3:uid="{00000000-0010-0000-1A00-000009000000}" name="Units" dataDxfId="414"/>
    <tableColumn id="10" xr3:uid="{00000000-0010-0000-1A00-00000A000000}" name="Order" dataDxfId="413"/>
    <tableColumn id="11" xr3:uid="{00000000-0010-0000-1A00-00000B000000}" name="End Use Category" dataDxfId="412"/>
    <tableColumn id="12" xr3:uid="{00000000-0010-0000-1A00-00000C000000}" name="Factor" dataDxfId="411"/>
    <tableColumn id="15" xr3:uid="{00000000-0010-0000-1A00-00000F000000}" name="Cost Basis" dataDxfId="410"/>
    <tableColumn id="13" xr3:uid="{00000000-0010-0000-1A00-00000D000000}" name="Application Tab" dataDxfId="409"/>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B000000}" name="CMEMISC" displayName="CMEMISC" ref="AX135:BL143" totalsRowShown="0" headerRowDxfId="408" dataDxfId="407">
  <autoFilter ref="AX135:BL143" xr:uid="{00000000-0009-0000-0100-000027000000}"/>
  <sortState xmlns:xlrd2="http://schemas.microsoft.com/office/spreadsheetml/2017/richdata2" ref="AX126:BL133">
    <sortCondition ref="BH125:BH133"/>
  </sortState>
  <tableColumns count="15">
    <tableColumn id="1" xr3:uid="{00000000-0010-0000-1B00-000001000000}" name="Measure Number" dataDxfId="406"/>
    <tableColumn id="14" xr3:uid="{00000000-0010-0000-1B00-00000E000000}" name="Project Category" dataDxfId="405"/>
    <tableColumn id="2" xr3:uid="{00000000-0010-0000-1B00-000002000000}" name="Proj Desc 1" dataDxfId="404"/>
    <tableColumn id="3" xr3:uid="{00000000-0010-0000-1B00-000003000000}" name="Proj Desc 2" dataDxfId="403"/>
    <tableColumn id="4" xr3:uid="{00000000-0010-0000-1B00-000004000000}" name="Inc Rate" dataDxfId="402"/>
    <tableColumn id="5" xr3:uid="{00000000-0010-0000-1B00-000005000000}" name="EUL" dataDxfId="401"/>
    <tableColumn id="6" xr3:uid="{00000000-0010-0000-1B00-000006000000}" name="Measure Group" dataDxfId="400"/>
    <tableColumn id="7" xr3:uid="{00000000-0010-0000-1B00-000007000000}" name="Measure Subgroup 1" dataDxfId="399"/>
    <tableColumn id="8" xr3:uid="{00000000-0010-0000-1B00-000008000000}" name="Measure Subgroup 2" dataDxfId="398"/>
    <tableColumn id="9" xr3:uid="{00000000-0010-0000-1B00-000009000000}" name="Units" dataDxfId="397"/>
    <tableColumn id="10" xr3:uid="{00000000-0010-0000-1B00-00000A000000}" name="Order" dataDxfId="396"/>
    <tableColumn id="11" xr3:uid="{00000000-0010-0000-1B00-00000B000000}" name="End Use Category" dataDxfId="395"/>
    <tableColumn id="12" xr3:uid="{00000000-0010-0000-1B00-00000C000000}" name="Factor" dataDxfId="394"/>
    <tableColumn id="15" xr3:uid="{00000000-0010-0000-1B00-00000F000000}" name="Cost Basis" dataDxfId="393"/>
    <tableColumn id="13" xr3:uid="{00000000-0010-0000-1B00-00000D000000}" name="Application Tab" dataDxfId="39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2000000}" name="PMEREFRI" displayName="PMEREFRI" ref="A40:AJ67" totalsRowShown="0" headerRowDxfId="883" dataDxfId="882" headerRowCellStyle="Normal 2" dataCellStyle="Normal 2">
  <autoFilter ref="A40:AJ67" xr:uid="{00000000-0009-0000-0100-000009000000}"/>
  <tableColumns count="36">
    <tableColumn id="1" xr3:uid="{00000000-0010-0000-0200-000001000000}" name="Measure #" dataDxfId="881" dataCellStyle="Normal 2"/>
    <tableColumn id="2" xr3:uid="{00000000-0010-0000-0200-000002000000}" name="Measure Name" dataDxfId="880" dataCellStyle="Normal 2"/>
    <tableColumn id="3" xr3:uid="{00000000-0010-0000-0200-000003000000}" name="Equipment Description" dataDxfId="879" dataCellStyle="Normal 2"/>
    <tableColumn id="4" xr3:uid="{00000000-0010-0000-0200-000004000000}" name="Eff Category" dataDxfId="878" dataCellStyle="Normal 2"/>
    <tableColumn id="5" xr3:uid="{00000000-0010-0000-0200-000005000000}" name="Eff Measure Group" dataDxfId="877" dataCellStyle="Normal 2"/>
    <tableColumn id="6" xr3:uid="{00000000-0010-0000-0200-000006000000}" name="Eff Equip Descr" dataDxfId="876" dataCellStyle="Normal 2"/>
    <tableColumn id="7" xr3:uid="{00000000-0010-0000-0200-000007000000}" name="Base Category" dataDxfId="875" dataCellStyle="Normal 2"/>
    <tableColumn id="8" xr3:uid="{00000000-0010-0000-0200-000008000000}" name="Base Measure Group" dataDxfId="874" dataCellStyle="Normal 2"/>
    <tableColumn id="9" xr3:uid="{00000000-0010-0000-0200-000009000000}" name="Base Equip Descr" dataDxfId="873" dataCellStyle="Normal 2"/>
    <tableColumn id="10" xr3:uid="{00000000-0010-0000-0200-00000A000000}" name="TRM Description" dataDxfId="872" dataCellStyle="Normal 2"/>
    <tableColumn id="11" xr3:uid="{00000000-0010-0000-0200-00000B000000}" name="TRM Reference No." dataDxfId="871" dataCellStyle="Normal 2"/>
    <tableColumn id="12" xr3:uid="{00000000-0010-0000-0200-00000C000000}" name="Measure Life" dataDxfId="870" dataCellStyle="Normal 2"/>
    <tableColumn id="13" xr3:uid="{00000000-0010-0000-0200-00000D000000}" name="Created On" dataDxfId="869" dataCellStyle="Normal 2"/>
    <tableColumn id="14" xr3:uid="{00000000-0010-0000-0200-00000E000000}" name="Source" dataDxfId="868" dataCellStyle="Normal 2"/>
    <tableColumn id="15" xr3:uid="{00000000-0010-0000-0200-00000F000000}" name="End Use Category" dataDxfId="867" dataCellStyle="Normal 2"/>
    <tableColumn id="16" xr3:uid="{00000000-0010-0000-0200-000010000000}" name="Inc Rate Unit" dataDxfId="866" dataCellStyle="Normal 2"/>
    <tableColumn id="17" xr3:uid="{00000000-0010-0000-0200-000011000000}" name="Savings per Unit kWh" dataDxfId="865" dataCellStyle="Normal 2"/>
    <tableColumn id="18" xr3:uid="{00000000-0010-0000-0200-000012000000}" name="Savings per Unit kW" dataDxfId="864" dataCellStyle="Normal 2"/>
    <tableColumn id="19" xr3:uid="{00000000-0010-0000-0200-000013000000}" name="Inc Rate kWh" dataDxfId="863" dataCellStyle="Normal 2"/>
    <tableColumn id="30" xr3:uid="{00000000-0010-0000-0200-00001E000000}" name="Inc Rate kW" dataDxfId="862" dataCellStyle="Normal 2"/>
    <tableColumn id="31" xr3:uid="{00000000-0010-0000-0200-00001F000000}" name="Energy Type" dataDxfId="861" dataCellStyle="Normal 2"/>
    <tableColumn id="36" xr3:uid="{00000000-0010-0000-0200-000024000000}" name="Program" dataDxfId="860" dataCellStyle="Normal 2"/>
    <tableColumn id="35" xr3:uid="{00000000-0010-0000-0200-000023000000}" name="Lighting vs Non Lighting" dataDxfId="859" dataCellStyle="Normal 2"/>
    <tableColumn id="34" xr3:uid="{00000000-0010-0000-0200-000022000000}" name="Status" dataDxfId="858" dataCellStyle="Normal 2"/>
    <tableColumn id="33" xr3:uid="{00000000-0010-0000-0200-000021000000}" name="SUTO" dataDxfId="857" dataCellStyle="Normal 2"/>
    <tableColumn id="32" xr3:uid="{00000000-0010-0000-0200-000020000000}" name="Cost Basis" dataDxfId="856" dataCellStyle="Normal 2"/>
    <tableColumn id="20" xr3:uid="{00000000-0010-0000-0200-000014000000}" name="Typical Unit Size" dataDxfId="855" dataCellStyle="Normal 2"/>
    <tableColumn id="21" xr3:uid="{00000000-0010-0000-0200-000015000000}" name="Unit of Measure" dataDxfId="854" dataCellStyle="Normal 2"/>
    <tableColumn id="22" xr3:uid="{00000000-0010-0000-0200-000016000000}" name="Base Desc 1" dataDxfId="853" dataCellStyle="Normal 2"/>
    <tableColumn id="23" xr3:uid="{00000000-0010-0000-0200-000017000000}" name="Base Desc 2" dataDxfId="852" dataCellStyle="Normal 2"/>
    <tableColumn id="24" xr3:uid="{00000000-0010-0000-0200-000018000000}" name="Base Watt" dataDxfId="851" dataCellStyle="Normal 2"/>
    <tableColumn id="28" xr3:uid="{00000000-0010-0000-0200-00001C000000}" name="Base Watt 2" dataDxfId="850" dataCellStyle="Normal 2"/>
    <tableColumn id="25" xr3:uid="{00000000-0010-0000-0200-000019000000}" name="Eff Desc 1" dataDxfId="849" dataCellStyle="Normal 2"/>
    <tableColumn id="26" xr3:uid="{00000000-0010-0000-0200-00001A000000}" name="Eff Desc 2" dataDxfId="848" dataCellStyle="Normal 2"/>
    <tableColumn id="27" xr3:uid="{00000000-0010-0000-0200-00001B000000}" name="Eff Watt" dataDxfId="847" dataCellStyle="Normal 2"/>
    <tableColumn id="29" xr3:uid="{00000000-0010-0000-0200-00001D000000}" name="Eff Watt 22" dataDxfId="846" dataCellStyle="Normal 2"/>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E000000}" name="CMLIGHTBASE" displayName="CMLIGHTBASE" ref="A1:L129" totalsRowShown="0" headerRowDxfId="391" dataDxfId="390" headerRowCellStyle="Normal 2">
  <autoFilter ref="A1:L129" xr:uid="{00000000-0009-0000-0100-000001000000}"/>
  <tableColumns count="12">
    <tableColumn id="5" xr3:uid="{00000000-0010-0000-0E00-000005000000}" name="Measure Number" dataDxfId="389"/>
    <tableColumn id="1" xr3:uid="{00000000-0010-0000-0E00-000001000000}" name="Base Desc 1" dataDxfId="388"/>
    <tableColumn id="2" xr3:uid="{00000000-0010-0000-0E00-000002000000}" name="Base Desc 2" dataDxfId="387"/>
    <tableColumn id="3" xr3:uid="{00000000-0010-0000-0E00-000003000000}" name="Base Watt 1" dataDxfId="386"/>
    <tableColumn id="4" xr3:uid="{00000000-0010-0000-0E00-000004000000}" name="Base Watt 2" dataDxfId="385"/>
    <tableColumn id="7" xr3:uid="{00000000-0010-0000-0E00-000007000000}" name="Measure Group" dataDxfId="384"/>
    <tableColumn id="8" xr3:uid="{00000000-0010-0000-0E00-000008000000}" name="Measure Subgroup 1" dataDxfId="383"/>
    <tableColumn id="6" xr3:uid="{00000000-0010-0000-0E00-000006000000}" name="Measure Subgroup 2" dataDxfId="382"/>
    <tableColumn id="9" xr3:uid="{00000000-0010-0000-0E00-000009000000}" name="Unit" dataDxfId="381"/>
    <tableColumn id="10" xr3:uid="{00000000-0010-0000-0E00-00000A000000}" name="Order" dataDxfId="380"/>
    <tableColumn id="11" xr3:uid="{00000000-0010-0000-0E00-00000B000000}" name="Source (Standard Wattage Table)" dataDxfId="379"/>
    <tableColumn id="12" xr3:uid="{00000000-0010-0000-0E00-00000C000000}" name="Inc Rate" dataDxfId="378"/>
  </tableColumns>
  <tableStyleInfo name="TableStyleMedium5"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C000000}" name="ELECCB" displayName="ELECCB" ref="A11:K39" totalsRowShown="0" headerRowDxfId="377">
  <autoFilter ref="A11:K39" xr:uid="{00000000-0009-0000-0100-000011000000}"/>
  <tableColumns count="11">
    <tableColumn id="1" xr3:uid="{00000000-0010-0000-1C00-000001000000}" name="Year"/>
    <tableColumn id="2" xr3:uid="{00000000-0010-0000-1C00-000002000000}" name="Year Number"/>
    <tableColumn id="11" xr3:uid="{00000000-0010-0000-1C00-00000B000000}" name="Capacity Reserve Margin"/>
    <tableColumn id="3" xr3:uid="{00000000-0010-0000-1C00-000003000000}" name="Elec. AEC Factor" dataDxfId="376"/>
    <tableColumn id="4" xr3:uid="{00000000-0010-0000-1C00-000004000000}" name="Avoid Energy Cost $/MWh" dataDxfId="375"/>
    <tableColumn id="5" xr3:uid="{00000000-0010-0000-1C00-000005000000}" name="Elec. ACC Factor" dataDxfId="374"/>
    <tableColumn id="6" xr3:uid="{00000000-0010-0000-1C00-000006000000}" name="Avoided Capacity Cost $/kW" dataDxfId="373"/>
    <tableColumn id="7" xr3:uid="{00000000-0010-0000-1C00-000007000000}" name="AT&amp;D Factor" dataDxfId="372"/>
    <tableColumn id="8" xr3:uid="{00000000-0010-0000-1C00-000008000000}" name="Avoided T&amp;D $/kW" dataDxfId="371"/>
    <tableColumn id="9" xr3:uid="{00000000-0010-0000-1C00-000009000000}" name="NPV AEC $/kWh" dataDxfId="370">
      <calculatedColumnFormula>E12/((1+EDR)^B12)+J11</calculatedColumnFormula>
    </tableColumn>
    <tableColumn id="10" xr3:uid="{00000000-0010-0000-1C00-00000A000000}" name="NPV ACC+T&amp;D $/kW" dataDxfId="369">
      <calculatedColumnFormula>(G12+I12)/((1+EDR)^B12)+K11</calculatedColumnFormula>
    </tableColumn>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D000000}" name="GASCB" displayName="GASCB" ref="N11:R44" totalsRowShown="0" headerRowDxfId="368" dataDxfId="367">
  <autoFilter ref="N11:R44" xr:uid="{00000000-0009-0000-0100-000012000000}"/>
  <tableColumns count="5">
    <tableColumn id="1" xr3:uid="{00000000-0010-0000-1D00-000001000000}" name="Year" dataDxfId="366"/>
    <tableColumn id="2" xr3:uid="{00000000-0010-0000-1D00-000002000000}" name="Year Number" dataDxfId="365"/>
    <tableColumn id="3" xr3:uid="{00000000-0010-0000-1D00-000003000000}" name="Gas AEC Factor" dataDxfId="364"/>
    <tableColumn id="4" xr3:uid="{00000000-0010-0000-1D00-000004000000}" name="Avoided Energy Cost $/MMBTU" dataDxfId="363"/>
    <tableColumn id="5" xr3:uid="{00000000-0010-0000-1D00-000005000000}" name="NPV GAEC $/therm" dataDxfId="362">
      <calculatedColumnFormula>Q12/((1+GDR)^O12)+R11</calculatedColumnFormula>
    </tableColumn>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E000000}" name="BUILDINGTYPE" displayName="BUILDINGTYPE" ref="A4:A20" totalsRowShown="0">
  <autoFilter ref="A4:A20" xr:uid="{00000000-0009-0000-0100-000016000000}"/>
  <tableColumns count="1">
    <tableColumn id="1" xr3:uid="{00000000-0010-0000-1E00-000001000000}" name="Building Type"/>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F000000}" name="STATES" displayName="STATES" ref="E4:F68" totalsRowShown="0">
  <autoFilter ref="E4:F68" xr:uid="{00000000-0009-0000-0100-000018000000}"/>
  <tableColumns count="2">
    <tableColumn id="1" xr3:uid="{00000000-0010-0000-1F00-000001000000}" name="States"/>
    <tableColumn id="2" xr3:uid="{00000000-0010-0000-1F00-000002000000}" name="Abbrev"/>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20000000}" name="SPACEHEAT" displayName="SPACEHEAT" ref="J4:K10" totalsRowShown="0">
  <autoFilter ref="J4:K10" xr:uid="{00000000-0009-0000-0100-000019000000}"/>
  <tableColumns count="2">
    <tableColumn id="1" xr3:uid="{00000000-0010-0000-2000-000001000000}" name="Space Conditioning"/>
    <tableColumn id="2" xr3:uid="{00000000-0010-0000-2000-000002000000}" name="HIF"/>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21000000}" name="WATERHEAT" displayName="WATERHEAT" ref="A23:A30" totalsRowShown="0">
  <autoFilter ref="A23:A30" xr:uid="{00000000-0009-0000-0100-00001A000000}"/>
  <tableColumns count="1">
    <tableColumn id="1" xr3:uid="{00000000-0010-0000-2100-000001000000}" name="Water Heating"/>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22000000}" name="PROGRAMS" displayName="PROGRAMS" ref="A32:A35" totalsRowShown="0">
  <autoFilter ref="A32:A35" xr:uid="{00000000-0009-0000-0100-00001B000000}"/>
  <tableColumns count="1">
    <tableColumn id="1" xr3:uid="{00000000-0010-0000-2200-000001000000}" name="Program"/>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3000000}" name="INSTALLER" displayName="INSTALLER" ref="A38:A40" totalsRowShown="0">
  <autoFilter ref="A38:A40" xr:uid="{00000000-0009-0000-0100-00001C000000}"/>
  <tableColumns count="1">
    <tableColumn id="1" xr3:uid="{00000000-0010-0000-2300-000001000000}" name="Installer"/>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4000000}" name="PAYMENT" displayName="PAYMENT" ref="O4:Z9" totalsRowShown="0">
  <autoFilter ref="O4:Z9" xr:uid="{00000000-0009-0000-0100-00001D000000}"/>
  <sortState xmlns:xlrd2="http://schemas.microsoft.com/office/spreadsheetml/2017/richdata2" ref="O5:Z9">
    <sortCondition ref="O4:O9"/>
  </sortState>
  <tableColumns count="12">
    <tableColumn id="1" xr3:uid="{00000000-0010-0000-2400-000001000000}" name="Payment to"/>
    <tableColumn id="2" xr3:uid="{00000000-0010-0000-2400-000002000000}" name="Company"/>
    <tableColumn id="3" xr3:uid="{00000000-0010-0000-2400-000003000000}" name="First"/>
    <tableColumn id="4" xr3:uid="{00000000-0010-0000-2400-000004000000}" name="Last"/>
    <tableColumn id="5" xr3:uid="{00000000-0010-0000-2400-000005000000}" name="Phone"/>
    <tableColumn id="6" xr3:uid="{00000000-0010-0000-2400-000006000000}" name="Email"/>
    <tableColumn id="7" xr3:uid="{00000000-0010-0000-2400-000007000000}" name="Address"/>
    <tableColumn id="8" xr3:uid="{00000000-0010-0000-2400-000008000000}" name="City"/>
    <tableColumn id="9" xr3:uid="{00000000-0010-0000-2400-000009000000}" name="State"/>
    <tableColumn id="10" xr3:uid="{00000000-0010-0000-2400-00000A000000}" name="Zip"/>
    <tableColumn id="11" xr3:uid="{00000000-0010-0000-2400-00000B000000}" name="Terms"/>
    <tableColumn id="12" xr3:uid="{00000000-0010-0000-2400-00000C000000}" name="Payment Preferenc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3000000}" name="PMEMOTOR" displayName="PMEMOTOR" ref="A73:AJ81" totalsRowShown="0" headerRowDxfId="845" dataDxfId="844" headerRowCellStyle="Normal 2" dataCellStyle="Normal 2">
  <autoFilter ref="A73:AJ81" xr:uid="{00000000-0009-0000-0100-00000A000000}"/>
  <tableColumns count="36">
    <tableColumn id="1" xr3:uid="{00000000-0010-0000-0300-000001000000}" name="Measure #" dataDxfId="843" dataCellStyle="Normal 2"/>
    <tableColumn id="2" xr3:uid="{00000000-0010-0000-0300-000002000000}" name="Measure Name" dataDxfId="842" dataCellStyle="Normal 2"/>
    <tableColumn id="3" xr3:uid="{00000000-0010-0000-0300-000003000000}" name="Equipment Description" dataDxfId="841" dataCellStyle="Normal 2"/>
    <tableColumn id="4" xr3:uid="{00000000-0010-0000-0300-000004000000}" name="Eff Category" dataDxfId="840" dataCellStyle="Normal 2"/>
    <tableColumn id="5" xr3:uid="{00000000-0010-0000-0300-000005000000}" name="Eff Measure Group" dataDxfId="839" dataCellStyle="Normal 2"/>
    <tableColumn id="6" xr3:uid="{00000000-0010-0000-0300-000006000000}" name="Eff Equip Descr" dataDxfId="838" dataCellStyle="Normal 2"/>
    <tableColumn id="7" xr3:uid="{00000000-0010-0000-0300-000007000000}" name="Base Category" dataDxfId="837" dataCellStyle="Normal 2"/>
    <tableColumn id="8" xr3:uid="{00000000-0010-0000-0300-000008000000}" name="Base Measure Group" dataDxfId="836" dataCellStyle="Normal 2"/>
    <tableColumn id="9" xr3:uid="{00000000-0010-0000-0300-000009000000}" name="Base Equip Descr" dataDxfId="835" dataCellStyle="Normal 2"/>
    <tableColumn id="10" xr3:uid="{00000000-0010-0000-0300-00000A000000}" name="TRM Description" dataDxfId="834" dataCellStyle="Normal 2"/>
    <tableColumn id="11" xr3:uid="{00000000-0010-0000-0300-00000B000000}" name="TRM Reference No." dataDxfId="833" dataCellStyle="Normal 2"/>
    <tableColumn id="12" xr3:uid="{00000000-0010-0000-0300-00000C000000}" name="Measure Life" dataDxfId="832" dataCellStyle="Normal 2"/>
    <tableColumn id="13" xr3:uid="{00000000-0010-0000-0300-00000D000000}" name="Created On" dataDxfId="831" dataCellStyle="Normal 2"/>
    <tableColumn id="14" xr3:uid="{00000000-0010-0000-0300-00000E000000}" name="Source" dataDxfId="830" dataCellStyle="Normal 2"/>
    <tableColumn id="15" xr3:uid="{00000000-0010-0000-0300-00000F000000}" name="End Use Category" dataDxfId="829" dataCellStyle="Normal 2"/>
    <tableColumn id="16" xr3:uid="{00000000-0010-0000-0300-000010000000}" name="Inc Rate Unit" dataDxfId="828" dataCellStyle="Normal 2"/>
    <tableColumn id="17" xr3:uid="{00000000-0010-0000-0300-000011000000}" name="Savings per Unit kWh" dataDxfId="827" dataCellStyle="Normal 2"/>
    <tableColumn id="18" xr3:uid="{00000000-0010-0000-0300-000012000000}" name="Savings per Unit kW" dataDxfId="826" dataCellStyle="Normal 2"/>
    <tableColumn id="19" xr3:uid="{00000000-0010-0000-0300-000013000000}" name="Inc Rate kWh" dataDxfId="825" dataCellStyle="Normal 2"/>
    <tableColumn id="20" xr3:uid="{00000000-0010-0000-0300-000014000000}" name="Inc Rate kW" dataDxfId="824" dataCellStyle="Normal 2"/>
    <tableColumn id="32" xr3:uid="{00000000-0010-0000-0300-000020000000}" name="Energy Type" dataDxfId="823" dataCellStyle="Normal 2"/>
    <tableColumn id="36" xr3:uid="{00000000-0010-0000-0300-000024000000}" name="Program" dataDxfId="822" dataCellStyle="Normal 2"/>
    <tableColumn id="35" xr3:uid="{00000000-0010-0000-0300-000023000000}" name="Lighting vs Non Lighting" dataDxfId="821" dataCellStyle="Normal 2"/>
    <tableColumn id="34" xr3:uid="{00000000-0010-0000-0300-000022000000}" name="Status" dataDxfId="820" dataCellStyle="Normal 2"/>
    <tableColumn id="33" xr3:uid="{00000000-0010-0000-0300-000021000000}" name="SUTO" dataDxfId="819" dataCellStyle="Normal 2"/>
    <tableColumn id="30" xr3:uid="{00000000-0010-0000-0300-00001E000000}" name="Cost Basis" dataDxfId="818" dataCellStyle="Normal 2"/>
    <tableColumn id="31" xr3:uid="{00000000-0010-0000-0300-00001F000000}" name="Typical Unit Size" dataDxfId="817" dataCellStyle="Normal 2"/>
    <tableColumn id="21" xr3:uid="{00000000-0010-0000-0300-000015000000}" name="Unit of Measure" dataDxfId="816" dataCellStyle="Normal 2"/>
    <tableColumn id="22" xr3:uid="{00000000-0010-0000-0300-000016000000}" name="Base Desc 1" dataDxfId="815" dataCellStyle="Normal 2"/>
    <tableColumn id="23" xr3:uid="{00000000-0010-0000-0300-000017000000}" name="Base Desc 2" dataDxfId="814" dataCellStyle="Normal 2"/>
    <tableColumn id="24" xr3:uid="{00000000-0010-0000-0300-000018000000}" name="Base Watt" dataDxfId="813" dataCellStyle="Normal 2"/>
    <tableColumn id="28" xr3:uid="{00000000-0010-0000-0300-00001C000000}" name="Base Watt 2" dataDxfId="812" dataCellStyle="Normal 2"/>
    <tableColumn id="25" xr3:uid="{00000000-0010-0000-0300-000019000000}" name="Eff Desc 1" dataDxfId="811" dataCellStyle="Normal 2"/>
    <tableColumn id="26" xr3:uid="{00000000-0010-0000-0300-00001A000000}" name="Eff Desc 2" dataDxfId="810" dataCellStyle="Normal 2"/>
    <tableColumn id="27" xr3:uid="{00000000-0010-0000-0300-00001B000000}" name="Eff Watt" dataDxfId="809" dataCellStyle="Normal 2"/>
    <tableColumn id="29" xr3:uid="{00000000-0010-0000-0300-00001D000000}" name="Eff Watt 22" dataDxfId="808" dataCellStyle="Normal 2"/>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5000000}" name="TAXENTITY" displayName="TAXENTITY" ref="J47:K52" totalsRowShown="0">
  <autoFilter ref="J47:K52" xr:uid="{00000000-0009-0000-0100-00001E000000}"/>
  <tableColumns count="2">
    <tableColumn id="1" xr3:uid="{00000000-0010-0000-2500-000001000000}" name="Tax Entity"/>
    <tableColumn id="2" xr3:uid="{00000000-0010-0000-2500-000002000000}" name="System Text"/>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6000000}" name="ENDUSEALL" displayName="ENDUSEALL" ref="J12:M25" totalsRowShown="0">
  <autoFilter ref="J12:M25" xr:uid="{00000000-0009-0000-0100-000017000000}"/>
  <sortState xmlns:xlrd2="http://schemas.microsoft.com/office/spreadsheetml/2017/richdata2" ref="J13:M25">
    <sortCondition descending="1" ref="M12:M25"/>
  </sortState>
  <tableColumns count="4">
    <tableColumn id="1" xr3:uid="{00000000-0010-0000-2600-000001000000}" name="End Use to Coincident Peak Demand Factors"/>
    <tableColumn id="2" xr3:uid="{00000000-0010-0000-2600-000002000000}" name="Factor" dataDxfId="361"/>
    <tableColumn id="3" xr3:uid="{00000000-0010-0000-2600-000003000000}" name="Extended Factors"/>
    <tableColumn id="4" xr3:uid="{00000000-0010-0000-2600-000004000000}" name="Inc Rate"/>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7000000}" name="DIVERSITYTYPE" displayName="DIVERSITYTYPE" ref="A62:A70" totalsRowShown="0" headerRowDxfId="360">
  <autoFilter ref="A62:A70" xr:uid="{00000000-0009-0000-0100-00001F000000}"/>
  <tableColumns count="1">
    <tableColumn id="1" xr3:uid="{00000000-0010-0000-2700-000001000000}" name="Diversity Business Type"/>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8000000}" name="DIVERSITYISSUED" displayName="DIVERSITYISSUED" ref="A72:A76" totalsRowShown="0">
  <autoFilter ref="A72:A76" xr:uid="{00000000-0009-0000-0100-000028000000}"/>
  <tableColumns count="1">
    <tableColumn id="1" xr3:uid="{00000000-0010-0000-2800-000001000000}" name="Diversity Issued Org"/>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9000000}" name="PROJSTAT" displayName="PROJSTAT" ref="A79:A86" totalsRowShown="0">
  <autoFilter ref="A79:A86" xr:uid="{00000000-0009-0000-0100-000029000000}"/>
  <tableColumns count="1">
    <tableColumn id="1" xr3:uid="{00000000-0010-0000-2900-000001000000}" name="Project Status"/>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A000000}" name="SPILLOVER" displayName="SPILLOVER" ref="J28:K37" totalsRowShown="0">
  <autoFilter ref="J28:K37" xr:uid="{00000000-0009-0000-0100-00002A000000}"/>
  <tableColumns count="2">
    <tableColumn id="1" xr3:uid="{00000000-0010-0000-2A00-000001000000}" name="Spillover Text"/>
    <tableColumn id="2" xr3:uid="{00000000-0010-0000-2A00-000002000000}" name="Spillover Reason"/>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B000000}" name="RATECLASS" displayName="RATECLASS" ref="J39:K44" totalsRowShown="0">
  <autoFilter ref="J39:K44" xr:uid="{00000000-0009-0000-0100-00002B000000}"/>
  <tableColumns count="2">
    <tableColumn id="1" xr3:uid="{00000000-0010-0000-2B00-000001000000}" name="Rate Schedules"/>
    <tableColumn id="2" xr3:uid="{00000000-0010-0000-2B00-000002000000}" name="Rate"/>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C000000}" name="IMPLSPEC" displayName="IMPLSPEC" ref="A43:A51" totalsRowShown="0">
  <autoFilter ref="A43:A51" xr:uid="{00000000-0009-0000-0100-00002C000000}"/>
  <tableColumns count="1">
    <tableColumn id="1" xr3:uid="{00000000-0010-0000-2C00-000001000000}" name="Impl. Specialist"/>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D000000}" name="NCPROJTYPE" displayName="NCPROJTYPE" ref="A90:A94" totalsRowShown="0">
  <autoFilter ref="A90:A94" xr:uid="{00000000-0009-0000-0100-00002E000000}"/>
  <tableColumns count="1">
    <tableColumn id="1" xr3:uid="{00000000-0010-0000-2D00-000001000000}" name="NC Project Type"/>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E000000}" name="NCBASELINE" displayName="NCBASELINE" ref="A98:A109" totalsRowShown="0">
  <autoFilter ref="A98:A109" xr:uid="{00000000-0009-0000-0100-00002F000000}"/>
  <tableColumns count="1">
    <tableColumn id="1" xr3:uid="{00000000-0010-0000-2E00-000001000000}" name="NC Baselin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4000000}" name="PMEKITCHEN" displayName="PMEKITCHEN" ref="A87:AJ92" totalsRowShown="0" headerRowDxfId="807" dataDxfId="806" headerRowCellStyle="Normal 2" dataCellStyle="Normal 2">
  <autoFilter ref="A87:AJ92" xr:uid="{00000000-0009-0000-0100-00000B000000}"/>
  <tableColumns count="36">
    <tableColumn id="1" xr3:uid="{00000000-0010-0000-0400-000001000000}" name="Measure #" dataDxfId="805" dataCellStyle="Normal 2"/>
    <tableColumn id="2" xr3:uid="{00000000-0010-0000-0400-000002000000}" name="Measure Name" dataDxfId="804" dataCellStyle="Normal 2"/>
    <tableColumn id="3" xr3:uid="{00000000-0010-0000-0400-000003000000}" name="Equipment Description" dataDxfId="803" dataCellStyle="Normal 2"/>
    <tableColumn id="4" xr3:uid="{00000000-0010-0000-0400-000004000000}" name="Eff Category" dataDxfId="802" dataCellStyle="Normal 2"/>
    <tableColumn id="5" xr3:uid="{00000000-0010-0000-0400-000005000000}" name="Eff Measure Group" dataDxfId="801" dataCellStyle="Normal 2"/>
    <tableColumn id="6" xr3:uid="{00000000-0010-0000-0400-000006000000}" name="Eff Equip Descr" dataDxfId="800" dataCellStyle="Normal 2"/>
    <tableColumn id="7" xr3:uid="{00000000-0010-0000-0400-000007000000}" name="Base Category" dataDxfId="799" dataCellStyle="Normal 2"/>
    <tableColumn id="8" xr3:uid="{00000000-0010-0000-0400-000008000000}" name="Base Measure Group" dataDxfId="798" dataCellStyle="Normal 2"/>
    <tableColumn id="9" xr3:uid="{00000000-0010-0000-0400-000009000000}" name="Base Equip Descr" dataDxfId="797" dataCellStyle="Normal 2"/>
    <tableColumn id="10" xr3:uid="{00000000-0010-0000-0400-00000A000000}" name="TRM Description" dataDxfId="796" dataCellStyle="Normal 2"/>
    <tableColumn id="11" xr3:uid="{00000000-0010-0000-0400-00000B000000}" name="TRM Reference No." dataDxfId="795" dataCellStyle="Normal 2"/>
    <tableColumn id="12" xr3:uid="{00000000-0010-0000-0400-00000C000000}" name="Measure Life" dataDxfId="794" dataCellStyle="Normal 2"/>
    <tableColumn id="13" xr3:uid="{00000000-0010-0000-0400-00000D000000}" name="Created On" dataDxfId="793" dataCellStyle="Normal 2"/>
    <tableColumn id="14" xr3:uid="{00000000-0010-0000-0400-00000E000000}" name="Source" dataDxfId="792" dataCellStyle="Normal 2"/>
    <tableColumn id="15" xr3:uid="{00000000-0010-0000-0400-00000F000000}" name="End Use Category" dataDxfId="791" dataCellStyle="Normal 2"/>
    <tableColumn id="16" xr3:uid="{00000000-0010-0000-0400-000010000000}" name="Inc Rate Unit" dataDxfId="790" dataCellStyle="Normal 2"/>
    <tableColumn id="17" xr3:uid="{00000000-0010-0000-0400-000011000000}" name="Savings per Unit kWh" dataDxfId="789" dataCellStyle="Normal 2"/>
    <tableColumn id="18" xr3:uid="{00000000-0010-0000-0400-000012000000}" name="Savings per Unit kW" dataDxfId="788" dataCellStyle="Normal 2"/>
    <tableColumn id="19" xr3:uid="{00000000-0010-0000-0400-000013000000}" name="Inc Rate kWh" dataDxfId="787" dataCellStyle="Normal 2"/>
    <tableColumn id="20" xr3:uid="{00000000-0010-0000-0400-000014000000}" name="Inc Rate kW" dataDxfId="786" dataCellStyle="Normal 2"/>
    <tableColumn id="21" xr3:uid="{00000000-0010-0000-0400-000015000000}" name="Energy Type" dataDxfId="785" dataCellStyle="Normal 2"/>
    <tableColumn id="34" xr3:uid="{00000000-0010-0000-0400-000022000000}" name="Program" dataDxfId="784" dataCellStyle="Normal 2"/>
    <tableColumn id="33" xr3:uid="{00000000-0010-0000-0400-000021000000}" name="Lighting vs Non Lighting" dataDxfId="783" dataCellStyle="Normal 2"/>
    <tableColumn id="32" xr3:uid="{00000000-0010-0000-0400-000020000000}" name="Status" dataDxfId="782" dataCellStyle="Normal 2"/>
    <tableColumn id="35" xr3:uid="{00000000-0010-0000-0400-000023000000}" name="SUTO" dataDxfId="781" dataCellStyle="Normal 2"/>
    <tableColumn id="36" xr3:uid="{00000000-0010-0000-0400-000024000000}" name="Cost Basis" dataDxfId="780" dataCellStyle="Normal 2"/>
    <tableColumn id="31" xr3:uid="{00000000-0010-0000-0400-00001F000000}" name="Typical Unit Size" dataDxfId="779" dataCellStyle="Normal 2"/>
    <tableColumn id="30" xr3:uid="{00000000-0010-0000-0400-00001E000000}" name="Unit of Measure" dataDxfId="778" dataCellStyle="Normal 2"/>
    <tableColumn id="22" xr3:uid="{00000000-0010-0000-0400-000016000000}" name="Base Desc 1" dataDxfId="777" dataCellStyle="Normal 2"/>
    <tableColumn id="23" xr3:uid="{00000000-0010-0000-0400-000017000000}" name="Base Desc 2" dataDxfId="776" dataCellStyle="Normal 2"/>
    <tableColumn id="24" xr3:uid="{00000000-0010-0000-0400-000018000000}" name="Base Watt" dataDxfId="775" dataCellStyle="Normal 2"/>
    <tableColumn id="28" xr3:uid="{00000000-0010-0000-0400-00001C000000}" name="Base Watt 2" dataDxfId="774" dataCellStyle="Normal 2"/>
    <tableColumn id="25" xr3:uid="{00000000-0010-0000-0400-000019000000}" name="Eff Desc 1" dataDxfId="773" dataCellStyle="Normal 2"/>
    <tableColumn id="26" xr3:uid="{00000000-0010-0000-0400-00001A000000}" name="Eff Desc 2" dataDxfId="772" dataCellStyle="Normal 2"/>
    <tableColumn id="27" xr3:uid="{00000000-0010-0000-0400-00001B000000}" name="Eff Watt" dataDxfId="771" dataCellStyle="Normal 2"/>
    <tableColumn id="29" xr3:uid="{00000000-0010-0000-0400-00001D000000}" name="Eff Watt 22" dataDxfId="770" dataCellStyle="Normal 2"/>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F000000}" name="NCPROJSTATUS" displayName="NCPROJSTATUS" ref="A111:A118" totalsRowShown="0">
  <autoFilter ref="A111:A118" xr:uid="{00000000-0009-0000-0100-000030000000}"/>
  <tableColumns count="1">
    <tableColumn id="1" xr3:uid="{00000000-0010-0000-2F00-000001000000}" name="Project Status"/>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0000000}" name="NCLPD" displayName="NCLPD" ref="O13:Z46" totalsRowShown="0">
  <autoFilter ref="O13:Z46" xr:uid="{00000000-0009-0000-0100-000031000000}"/>
  <tableColumns count="12">
    <tableColumn id="1" xr3:uid="{00000000-0010-0000-3000-000001000000}" name="Building Area Type"/>
    <tableColumn id="12" xr3:uid="{3F598BC4-2E5D-4C75-B542-D2C814EA666B}" name="IECC 2018"/>
    <tableColumn id="10" xr3:uid="{00000000-0010-0000-3000-00000A000000}" name="ASHRAE 90.1 2016"/>
    <tableColumn id="11" xr3:uid="{775F4282-8615-4762-AE9D-D012ADEF0043}" name="IECC 2015"/>
    <tableColumn id="2" xr3:uid="{00000000-0010-0000-3000-000002000000}" name="ASHRAE 90.1 2013" dataDxfId="359"/>
    <tableColumn id="6" xr3:uid="{A4BEDAA0-7A36-4BC3-BE3D-9BAC6DCE4FAE}" name="IECC 2012" dataDxfId="358"/>
    <tableColumn id="3" xr3:uid="{00000000-0010-0000-3000-000003000000}" name="ASHRAE 90.1 2010"/>
    <tableColumn id="5" xr3:uid="{29B9C22C-6AE8-405E-8C43-219FBE128B02}" name="IECC 2009"/>
    <tableColumn id="4" xr3:uid="{00000000-0010-0000-3000-000004000000}" name="ASHRAE 90.1 2007"/>
    <tableColumn id="7" xr3:uid="{00000000-0010-0000-3000-000007000000}" name="Completed Design"/>
    <tableColumn id="8" xr3:uid="{00000000-0010-0000-3000-000008000000}" name="Local Energy/Building Code"/>
    <tableColumn id="9" xr3:uid="{00000000-0010-0000-3000-000009000000}" name="Legal/Contractual Requirement"/>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1000000}" name="BDLEAD" displayName="BDLEAD" ref="A53:A60" totalsRowShown="0">
  <autoFilter ref="A53:A60" xr:uid="{00000000-0009-0000-0100-000032000000}"/>
  <tableColumns count="1">
    <tableColumn id="1" xr3:uid="{00000000-0010-0000-3100-000001000000}" name="BD Lead"/>
  </tableColumns>
  <tableStyleInfo name="TableStyleMedium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2000000}" name="HVACUSES" displayName="HVACUSES" ref="J55:J57" totalsRowShown="0">
  <autoFilter ref="J55:J57" xr:uid="{00000000-0009-0000-0100-000033000000}"/>
  <tableColumns count="1">
    <tableColumn id="1" xr3:uid="{00000000-0010-0000-3200-000001000000}" name="HVAC Uses"/>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EXTAREAS" displayName="EXTAREAS" ref="O49:O64" totalsRowShown="0">
  <autoFilter ref="O49:O64" xr:uid="{00000000-0009-0000-0100-000034000000}"/>
  <tableColumns count="1">
    <tableColumn id="1" xr3:uid="{00000000-0010-0000-3300-000001000000}" name="Exterior Area Type"/>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C822BED-05FF-49CA-BB98-5710A630DB7B}" name="MARKETING" displayName="MARKETING" ref="E70:E84" totalsRowShown="0">
  <autoFilter ref="E70:E84" xr:uid="{51628925-6AA4-4A0A-9BDA-0BF2E9B381DA}"/>
  <tableColumns count="1">
    <tableColumn id="1" xr3:uid="{673ADBA9-03FE-414F-A1AE-AB8036FEE206}" name="Marketing"/>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5000000}" name="PMGHVAC" displayName="PMGHVAC" ref="A99:AC122" totalsRowShown="0" headerRowDxfId="769" dataDxfId="768" headerRowCellStyle="Normal 2" dataCellStyle="Normal 2">
  <autoFilter ref="A99:AC122" xr:uid="{00000000-0009-0000-0100-00000C000000}"/>
  <tableColumns count="29">
    <tableColumn id="1" xr3:uid="{00000000-0010-0000-0500-000001000000}" name="Name" dataDxfId="767" dataCellStyle="Normal 2"/>
    <tableColumn id="2" xr3:uid="{00000000-0010-0000-0500-000002000000}" name="Measure Number" dataDxfId="766" dataCellStyle="Normal 2"/>
    <tableColumn id="3" xr3:uid="{00000000-0010-0000-0500-000003000000}" name="Program" dataDxfId="765" dataCellStyle="Normal 2"/>
    <tableColumn id="4" xr3:uid="{00000000-0010-0000-0500-000004000000}" name="Energy Type" dataDxfId="764" dataCellStyle="Normal 2"/>
    <tableColumn id="5" xr3:uid="{00000000-0010-0000-0500-000005000000}" name="Category" dataDxfId="763" dataCellStyle="Normal 2"/>
    <tableColumn id="6" xr3:uid="{00000000-0010-0000-0500-000006000000}" name="Measure Group" dataDxfId="762" dataCellStyle="Normal 2"/>
    <tableColumn id="7" xr3:uid="{00000000-0010-0000-0500-000007000000}" name="Measure Subgroup" dataDxfId="761" dataCellStyle="Normal 2"/>
    <tableColumn id="8" xr3:uid="{00000000-0010-0000-0500-000008000000}" name="Eff Equip Descr" dataDxfId="760" dataCellStyle="Normal 2"/>
    <tableColumn id="9" xr3:uid="{00000000-0010-0000-0500-000009000000}" name="Base Equip Descr" dataDxfId="759" dataCellStyle="Normal 2"/>
    <tableColumn id="10" xr3:uid="{00000000-0010-0000-0500-00000A000000}" name="Size" dataDxfId="758" dataCellStyle="Normal 2"/>
    <tableColumn id="11" xr3:uid="{00000000-0010-0000-0500-00000B000000}" name="Unit" dataDxfId="757" dataCellStyle="Normal 2"/>
    <tableColumn id="12" xr3:uid="{00000000-0010-0000-0500-00000C000000}" name="Inc Rate Unit" dataDxfId="756" dataCellStyle="Normal 2"/>
    <tableColumn id="13" xr3:uid="{00000000-0010-0000-0500-00000D000000}" name="Measure Life" dataDxfId="755" dataCellStyle="Normal 2"/>
    <tableColumn id="14" xr3:uid="{00000000-0010-0000-0500-00000E000000}" name="EUL" dataDxfId="754" dataCellStyle="Normal 2"/>
    <tableColumn id="15" xr3:uid="{00000000-0010-0000-0500-00000F000000}" name="Savings per Unit therms" dataDxfId="753" dataCellStyle="Normal 2"/>
    <tableColumn id="16" xr3:uid="{00000000-0010-0000-0500-000010000000}" name="NA" dataDxfId="752" dataCellStyle="Normal 2"/>
    <tableColumn id="17" xr3:uid="{00000000-0010-0000-0500-000011000000}" name="Incremental Cost" dataDxfId="751" dataCellStyle="Normal 2"/>
    <tableColumn id="18" xr3:uid="{00000000-0010-0000-0500-000012000000}" name="SUTO" dataDxfId="750" dataCellStyle="Normal 2"/>
    <tableColumn id="19" xr3:uid="{00000000-0010-0000-0500-000013000000}" name="Equip Description" dataDxfId="749" dataCellStyle="Normal 2"/>
    <tableColumn id="20" xr3:uid="{00000000-0010-0000-0500-000014000000}" name="Client Description" dataDxfId="748" dataCellStyle="Normal 2"/>
    <tableColumn id="21" xr3:uid="{00000000-0010-0000-0500-000015000000}" name="Source" dataDxfId="747" dataCellStyle="Normal 2"/>
    <tableColumn id="22" xr3:uid="{00000000-0010-0000-0500-000016000000}" name="Base Desc 1" dataDxfId="746" dataCellStyle="Normal 2"/>
    <tableColumn id="23" xr3:uid="{00000000-0010-0000-0500-000017000000}" name="Base Desc 2" dataDxfId="745" dataCellStyle="Normal 2"/>
    <tableColumn id="24" xr3:uid="{00000000-0010-0000-0500-000018000000}" name="Base Watt" dataDxfId="744" dataCellStyle="Normal 2"/>
    <tableColumn id="28" xr3:uid="{00000000-0010-0000-0500-00001C000000}" name="Base Watt 2" dataDxfId="743" dataCellStyle="Normal 2"/>
    <tableColumn id="25" xr3:uid="{00000000-0010-0000-0500-000019000000}" name="Eff Desc 1" dataDxfId="742" dataCellStyle="Normal 2"/>
    <tableColumn id="26" xr3:uid="{00000000-0010-0000-0500-00001A000000}" name="Eff Desc 2" dataDxfId="741" dataCellStyle="Normal 2"/>
    <tableColumn id="27" xr3:uid="{00000000-0010-0000-0500-00001B000000}" name="Eff Watt" dataDxfId="740" dataCellStyle="Normal 2"/>
    <tableColumn id="29" xr3:uid="{00000000-0010-0000-0500-00001D000000}" name="Eff Watt 22" dataDxfId="739" dataCellStyle="Normal 2"/>
  </tableColumns>
  <tableStyleInfo name="TableStyleMedium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6000000}" name="PMGKITCHEN" displayName="PMGKITCHEN" ref="A128:AC132" totalsRowShown="0" headerRowDxfId="738" dataDxfId="737" headerRowCellStyle="Normal 2" dataCellStyle="Normal 2">
  <autoFilter ref="A128:AC132" xr:uid="{00000000-0009-0000-0100-00000D000000}"/>
  <tableColumns count="29">
    <tableColumn id="1" xr3:uid="{00000000-0010-0000-0600-000001000000}" name="Name" dataDxfId="736" dataCellStyle="Normal 2"/>
    <tableColumn id="2" xr3:uid="{00000000-0010-0000-0600-000002000000}" name="Measure Number" dataDxfId="735" dataCellStyle="Normal 2"/>
    <tableColumn id="3" xr3:uid="{00000000-0010-0000-0600-000003000000}" name="Program" dataDxfId="734" dataCellStyle="Normal 2"/>
    <tableColumn id="4" xr3:uid="{00000000-0010-0000-0600-000004000000}" name="Energy Type" dataDxfId="733" dataCellStyle="Normal 2"/>
    <tableColumn id="5" xr3:uid="{00000000-0010-0000-0600-000005000000}" name="Category" dataDxfId="732" dataCellStyle="Normal 2"/>
    <tableColumn id="6" xr3:uid="{00000000-0010-0000-0600-000006000000}" name="Measure Group" dataDxfId="731" dataCellStyle="Normal 2"/>
    <tableColumn id="7" xr3:uid="{00000000-0010-0000-0600-000007000000}" name="Measure Subgroup" dataDxfId="730" dataCellStyle="Normal 2"/>
    <tableColumn id="8" xr3:uid="{00000000-0010-0000-0600-000008000000}" name="Eff Equip Descr" dataDxfId="729" dataCellStyle="Normal 2"/>
    <tableColumn id="9" xr3:uid="{00000000-0010-0000-0600-000009000000}" name="Base Equip Descr" dataDxfId="728" dataCellStyle="Normal 2"/>
    <tableColumn id="10" xr3:uid="{00000000-0010-0000-0600-00000A000000}" name="Size" dataDxfId="727" dataCellStyle="Normal 2"/>
    <tableColumn id="11" xr3:uid="{00000000-0010-0000-0600-00000B000000}" name="Unit" dataDxfId="726" dataCellStyle="Normal 2"/>
    <tableColumn id="12" xr3:uid="{00000000-0010-0000-0600-00000C000000}" name="Inc Rate Unit" dataDxfId="725" dataCellStyle="Normal 2"/>
    <tableColumn id="13" xr3:uid="{00000000-0010-0000-0600-00000D000000}" name="Measure Life" dataDxfId="724" dataCellStyle="Normal 2"/>
    <tableColumn id="14" xr3:uid="{00000000-0010-0000-0600-00000E000000}" name="EUL" dataDxfId="723" dataCellStyle="Normal 2"/>
    <tableColumn id="15" xr3:uid="{00000000-0010-0000-0600-00000F000000}" name="Savings per Unit therms" dataDxfId="722" dataCellStyle="Normal 2"/>
    <tableColumn id="16" xr3:uid="{00000000-0010-0000-0600-000010000000}" name="NA" dataDxfId="721" dataCellStyle="Normal 2"/>
    <tableColumn id="17" xr3:uid="{00000000-0010-0000-0600-000011000000}" name="Incremental Cost" dataDxfId="720" dataCellStyle="Normal 2"/>
    <tableColumn id="18" xr3:uid="{00000000-0010-0000-0600-000012000000}" name="SUTO" dataDxfId="719" dataCellStyle="Normal 2"/>
    <tableColumn id="19" xr3:uid="{00000000-0010-0000-0600-000013000000}" name="Equip Description" dataDxfId="718" dataCellStyle="Normal 2"/>
    <tableColumn id="20" xr3:uid="{00000000-0010-0000-0600-000014000000}" name="Client Description" dataDxfId="717" dataCellStyle="Normal 2"/>
    <tableColumn id="21" xr3:uid="{00000000-0010-0000-0600-000015000000}" name="Source" dataDxfId="716" dataCellStyle="Normal 2"/>
    <tableColumn id="22" xr3:uid="{00000000-0010-0000-0600-000016000000}" name="Base Desc 1" dataDxfId="715" dataCellStyle="Normal 2"/>
    <tableColumn id="23" xr3:uid="{00000000-0010-0000-0600-000017000000}" name="Base Desc 2" dataDxfId="714" dataCellStyle="Normal 2"/>
    <tableColumn id="24" xr3:uid="{00000000-0010-0000-0600-000018000000}" name="Base Watt" dataDxfId="713" dataCellStyle="Normal 2"/>
    <tableColumn id="29" xr3:uid="{00000000-0010-0000-0600-00001D000000}" name="Base Watt 2" dataDxfId="712" dataCellStyle="Normal 2"/>
    <tableColumn id="25" xr3:uid="{00000000-0010-0000-0600-000019000000}" name="Eff Desc 1" dataDxfId="711" dataCellStyle="Normal 2"/>
    <tableColumn id="26" xr3:uid="{00000000-0010-0000-0600-00001A000000}" name="Eff Desc 2" dataDxfId="710" dataCellStyle="Normal 2"/>
    <tableColumn id="27" xr3:uid="{00000000-0010-0000-0600-00001B000000}" name="Eff Watt" dataDxfId="709" dataCellStyle="Normal 2"/>
    <tableColumn id="30" xr3:uid="{00000000-0010-0000-0600-00001E000000}" name="Eff Watt 22" dataDxfId="708" dataCellStyle="Normal 2"/>
  </tableColumns>
  <tableStyleInfo name="TableStyleMedium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7000000}" name="PMGWATER" displayName="PMGWATER" ref="A138:AC142" totalsRowShown="0" headerRowDxfId="707" dataDxfId="706" headerRowCellStyle="Normal 2" dataCellStyle="Normal 2">
  <autoFilter ref="A138:AC142" xr:uid="{00000000-0009-0000-0100-00000E000000}"/>
  <tableColumns count="29">
    <tableColumn id="1" xr3:uid="{00000000-0010-0000-0700-000001000000}" name="Name" dataDxfId="705" dataCellStyle="Normal 2"/>
    <tableColumn id="2" xr3:uid="{00000000-0010-0000-0700-000002000000}" name="Measure Number" dataDxfId="704" dataCellStyle="Normal 2"/>
    <tableColumn id="3" xr3:uid="{00000000-0010-0000-0700-000003000000}" name="Program" dataDxfId="703" dataCellStyle="Normal 2"/>
    <tableColumn id="4" xr3:uid="{00000000-0010-0000-0700-000004000000}" name="Energy Type" dataDxfId="702" dataCellStyle="Normal 2"/>
    <tableColumn id="5" xr3:uid="{00000000-0010-0000-0700-000005000000}" name="Category" dataDxfId="701" dataCellStyle="Normal 2"/>
    <tableColumn id="6" xr3:uid="{00000000-0010-0000-0700-000006000000}" name="Measure Group" dataDxfId="700" dataCellStyle="Normal 2"/>
    <tableColumn id="7" xr3:uid="{00000000-0010-0000-0700-000007000000}" name="Measure Subgroup" dataDxfId="699" dataCellStyle="Normal 2"/>
    <tableColumn id="8" xr3:uid="{00000000-0010-0000-0700-000008000000}" name="Eff Equip Descr" dataDxfId="698" dataCellStyle="Normal 2"/>
    <tableColumn id="9" xr3:uid="{00000000-0010-0000-0700-000009000000}" name="Base Equip Descr" dataDxfId="697" dataCellStyle="Normal 2"/>
    <tableColumn id="10" xr3:uid="{00000000-0010-0000-0700-00000A000000}" name="Size" dataDxfId="696" dataCellStyle="Normal 2"/>
    <tableColumn id="11" xr3:uid="{00000000-0010-0000-0700-00000B000000}" name="Unit" dataDxfId="695" dataCellStyle="Normal 2"/>
    <tableColumn id="12" xr3:uid="{00000000-0010-0000-0700-00000C000000}" name="Inc Rate Unit" dataDxfId="694" dataCellStyle="Normal 2"/>
    <tableColumn id="13" xr3:uid="{00000000-0010-0000-0700-00000D000000}" name="Measure Life" dataDxfId="693" dataCellStyle="Normal 2"/>
    <tableColumn id="14" xr3:uid="{00000000-0010-0000-0700-00000E000000}" name="EUL" dataDxfId="692" dataCellStyle="Normal 2"/>
    <tableColumn id="15" xr3:uid="{00000000-0010-0000-0700-00000F000000}" name="Savings per Unit therms" dataDxfId="691" dataCellStyle="Normal 2"/>
    <tableColumn id="16" xr3:uid="{00000000-0010-0000-0700-000010000000}" name="NA" dataDxfId="690" dataCellStyle="Normal 2"/>
    <tableColumn id="17" xr3:uid="{00000000-0010-0000-0700-000011000000}" name="Incremental Cost" dataDxfId="689" dataCellStyle="Normal 2"/>
    <tableColumn id="18" xr3:uid="{00000000-0010-0000-0700-000012000000}" name="SUTO" dataDxfId="688" dataCellStyle="Normal 2"/>
    <tableColumn id="19" xr3:uid="{00000000-0010-0000-0700-000013000000}" name="Equip Description" dataDxfId="687" dataCellStyle="Normal 2"/>
    <tableColumn id="20" xr3:uid="{00000000-0010-0000-0700-000014000000}" name="Client Description" dataDxfId="686" dataCellStyle="Normal 2"/>
    <tableColumn id="21" xr3:uid="{00000000-0010-0000-0700-000015000000}" name="Source" dataDxfId="685" dataCellStyle="Normal 2"/>
    <tableColumn id="22" xr3:uid="{00000000-0010-0000-0700-000016000000}" name="Base Desc 1" dataDxfId="684" dataCellStyle="Normal 2"/>
    <tableColumn id="23" xr3:uid="{00000000-0010-0000-0700-000017000000}" name="Base Desc 2" dataDxfId="683" dataCellStyle="Normal 2"/>
    <tableColumn id="24" xr3:uid="{00000000-0010-0000-0700-000018000000}" name="Base Watt" dataDxfId="682" dataCellStyle="Normal 2"/>
    <tableColumn id="28" xr3:uid="{00000000-0010-0000-0700-00001C000000}" name="Base Watt 2" dataDxfId="681" dataCellStyle="Normal 2"/>
    <tableColumn id="25" xr3:uid="{00000000-0010-0000-0700-000019000000}" name="Eff Desc 1" dataDxfId="680" dataCellStyle="Normal 2"/>
    <tableColumn id="26" xr3:uid="{00000000-0010-0000-0700-00001A000000}" name="Eff Desc 2" dataDxfId="679" dataCellStyle="Normal 2"/>
    <tableColumn id="27" xr3:uid="{00000000-0010-0000-0700-00001B000000}" name="Eff Watt" dataDxfId="678" dataCellStyle="Normal 2"/>
    <tableColumn id="29" xr3:uid="{00000000-0010-0000-0700-00001D000000}" name="Eff Watt 22" dataDxfId="677" dataCellStyle="Normal 2"/>
  </tableColumns>
  <tableStyleInfo name="TableStyleMedium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PMELIGHTTYPE" displayName="PMELIGHTTYPE" ref="AN1:AR19" totalsRowShown="0" headerRowDxfId="676" dataDxfId="674" headerRowBorderDxfId="675" tableBorderDxfId="673" totalsRowBorderDxfId="672" headerRowCellStyle="Normal 2" dataCellStyle="Normal 2">
  <autoFilter ref="AN1:AR19" xr:uid="{00000000-0009-0000-0100-00000F000000}"/>
  <sortState xmlns:xlrd2="http://schemas.microsoft.com/office/spreadsheetml/2017/richdata2" ref="AN2:AR19">
    <sortCondition ref="AR1:AR19"/>
  </sortState>
  <tableColumns count="5">
    <tableColumn id="1" xr3:uid="{00000000-0010-0000-0800-000001000000}" name="Base Desc 1" dataDxfId="671" dataCellStyle="Normal 2"/>
    <tableColumn id="2" xr3:uid="{00000000-0010-0000-0800-000002000000}" name="Base Desc 2" dataDxfId="670" dataCellStyle="Normal 2"/>
    <tableColumn id="3" xr3:uid="{00000000-0010-0000-0800-000003000000}" name="Base Watt" dataDxfId="669" dataCellStyle="Normal 2"/>
    <tableColumn id="4" xr3:uid="{00000000-0010-0000-0800-000004000000}" name="Base W 2" dataDxfId="668" dataCellStyle="Normal 2"/>
    <tableColumn id="5" xr3:uid="{00000000-0010-0000-0800-000005000000}" name="Order" dataDxfId="667" dataCellStyle="Normal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7.bin"/><Relationship Id="rId1" Type="http://schemas.openxmlformats.org/officeDocument/2006/relationships/hyperlink" Target="mailto:NIPSCO.Savings@LMCO.com"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amerenmissouri.com/BizSavers" TargetMode="External"/><Relationship Id="rId2" Type="http://schemas.openxmlformats.org/officeDocument/2006/relationships/hyperlink" Target="mailto:BIZefficiency@ameren.com" TargetMode="External"/><Relationship Id="rId1" Type="http://schemas.openxmlformats.org/officeDocument/2006/relationships/hyperlink" Target="mailto:NIPSCO.Savings@LMCO.com" TargetMode="External"/><Relationship Id="rId5" Type="http://schemas.openxmlformats.org/officeDocument/2006/relationships/drawing" Target="../drawings/drawing3.xml"/><Relationship Id="rId4"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hyperlink" Target="mailto:NIPSCO.Savings@LMCO.com" TargetMode="Externa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5.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0.bin"/><Relationship Id="rId1" Type="http://schemas.openxmlformats.org/officeDocument/2006/relationships/hyperlink" Target="mailto:NIPSCO.Savings@LMCO.com"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1.bin"/><Relationship Id="rId1" Type="http://schemas.openxmlformats.org/officeDocument/2006/relationships/hyperlink" Target="mailto:NIPSCO.Savings@LMCO.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2.bin"/><Relationship Id="rId1" Type="http://schemas.openxmlformats.org/officeDocument/2006/relationships/hyperlink" Target="mailto:NIPSCO.Savings@LMCO.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3.bin"/><Relationship Id="rId1" Type="http://schemas.openxmlformats.org/officeDocument/2006/relationships/hyperlink" Target="mailto:NIPSCO.Savings@LMCO.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4.bin"/><Relationship Id="rId1" Type="http://schemas.openxmlformats.org/officeDocument/2006/relationships/hyperlink" Target="mailto:NIPSCO.Savings@LMCO.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bin"/><Relationship Id="rId1" Type="http://schemas.openxmlformats.org/officeDocument/2006/relationships/hyperlink" Target="mailto:NIPSCO.Savings@LMCO.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6.bin"/><Relationship Id="rId1" Type="http://schemas.openxmlformats.org/officeDocument/2006/relationships/hyperlink" Target="mailto:NIPSCO.Savings@LMCO.com" TargetMode="External"/></Relationships>
</file>

<file path=xl/worksheets/_rels/sheet2.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drawing" Target="../drawings/drawing12.xml"/><Relationship Id="rId7" Type="http://schemas.openxmlformats.org/officeDocument/2006/relationships/ctrlProp" Target="../ctrlProps/ctrlProp14.xml"/><Relationship Id="rId2" Type="http://schemas.openxmlformats.org/officeDocument/2006/relationships/printerSettings" Target="../printerSettings/printerSettings17.bin"/><Relationship Id="rId1" Type="http://schemas.openxmlformats.org/officeDocument/2006/relationships/hyperlink" Target="mailto:NIPSCO.Savings@LMCO.com" TargetMode="External"/><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0" Type="http://schemas.openxmlformats.org/officeDocument/2006/relationships/ctrlProp" Target="../ctrlProps/ctrlProp17.xml"/><Relationship Id="rId4" Type="http://schemas.openxmlformats.org/officeDocument/2006/relationships/vmlDrawing" Target="../drawings/vmlDrawing3.vml"/><Relationship Id="rId9" Type="http://schemas.openxmlformats.org/officeDocument/2006/relationships/ctrlProp" Target="../ctrlProps/ctrlProp16.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8.bin"/><Relationship Id="rId1" Type="http://schemas.openxmlformats.org/officeDocument/2006/relationships/hyperlink" Target="mailto:NIPSCO.Savings@LMCO.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NIPSCO.Savings@LMCO.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0.bin"/><Relationship Id="rId1" Type="http://schemas.openxmlformats.org/officeDocument/2006/relationships/hyperlink" Target="mailto:NIPSCO.Savings@LMCO.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1.bin"/><Relationship Id="rId1" Type="http://schemas.openxmlformats.org/officeDocument/2006/relationships/hyperlink" Target="mailto:NIPSCO.Savings@LMCO.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2.bin"/><Relationship Id="rId1" Type="http://schemas.openxmlformats.org/officeDocument/2006/relationships/hyperlink" Target="mailto:NIPSCO.Savings@LMCO.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3.bin"/><Relationship Id="rId1" Type="http://schemas.openxmlformats.org/officeDocument/2006/relationships/hyperlink" Target="mailto:NIPSCO.Savings@LMCO.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mailto:NIPSCO.Savings@LMCO.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mailto:NIPSCO.Savings@LMCO.com"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hyperlink" Target="mailto:NIPSCO.Savings@LMCO.com"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table" Target="../tables/table15.xml"/><Relationship Id="rId1" Type="http://schemas.openxmlformats.org/officeDocument/2006/relationships/table" Target="../tables/table14.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6.bin"/><Relationship Id="rId1" Type="http://schemas.openxmlformats.org/officeDocument/2006/relationships/hyperlink" Target="mailto:NIPSCO.Savings@LMCO.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7.bin"/><Relationship Id="rId1" Type="http://schemas.openxmlformats.org/officeDocument/2006/relationships/hyperlink" Target="mailto:NIPSCO.Savings@LMCO.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8.bin"/><Relationship Id="rId1" Type="http://schemas.openxmlformats.org/officeDocument/2006/relationships/hyperlink" Target="mailto:NIPSCO.Savings@LMCO.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9.bin"/><Relationship Id="rId1" Type="http://schemas.openxmlformats.org/officeDocument/2006/relationships/hyperlink" Target="mailto:NIPSCO.Savings@LMCO.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30.bin"/><Relationship Id="rId1" Type="http://schemas.openxmlformats.org/officeDocument/2006/relationships/hyperlink" Target="mailto:NIPSCO.Savings@LMCO.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31.bin"/><Relationship Id="rId1" Type="http://schemas.openxmlformats.org/officeDocument/2006/relationships/hyperlink" Target="mailto:NIPSCO.Savings@LMCO.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2.bin"/><Relationship Id="rId1" Type="http://schemas.openxmlformats.org/officeDocument/2006/relationships/hyperlink" Target="mailto:NIPSCO.Savings@LMCO.com" TargetMode="Externa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22.xml"/><Relationship Id="rId13" Type="http://schemas.openxmlformats.org/officeDocument/2006/relationships/ctrlProp" Target="../ctrlProps/ctrlProp27.xml"/><Relationship Id="rId18" Type="http://schemas.openxmlformats.org/officeDocument/2006/relationships/ctrlProp" Target="../ctrlProps/ctrlProp32.xml"/><Relationship Id="rId26" Type="http://schemas.openxmlformats.org/officeDocument/2006/relationships/ctrlProp" Target="../ctrlProps/ctrlProp40.xml"/><Relationship Id="rId3" Type="http://schemas.openxmlformats.org/officeDocument/2006/relationships/drawing" Target="../drawings/drawing29.xml"/><Relationship Id="rId21" Type="http://schemas.openxmlformats.org/officeDocument/2006/relationships/ctrlProp" Target="../ctrlProps/ctrlProp35.xml"/><Relationship Id="rId7" Type="http://schemas.openxmlformats.org/officeDocument/2006/relationships/ctrlProp" Target="../ctrlProps/ctrlProp21.xml"/><Relationship Id="rId12" Type="http://schemas.openxmlformats.org/officeDocument/2006/relationships/ctrlProp" Target="../ctrlProps/ctrlProp26.xml"/><Relationship Id="rId17" Type="http://schemas.openxmlformats.org/officeDocument/2006/relationships/ctrlProp" Target="../ctrlProps/ctrlProp31.xml"/><Relationship Id="rId25" Type="http://schemas.openxmlformats.org/officeDocument/2006/relationships/ctrlProp" Target="../ctrlProps/ctrlProp39.xml"/><Relationship Id="rId2" Type="http://schemas.openxmlformats.org/officeDocument/2006/relationships/printerSettings" Target="../printerSettings/printerSettings33.bin"/><Relationship Id="rId16" Type="http://schemas.openxmlformats.org/officeDocument/2006/relationships/ctrlProp" Target="../ctrlProps/ctrlProp30.xml"/><Relationship Id="rId20" Type="http://schemas.openxmlformats.org/officeDocument/2006/relationships/ctrlProp" Target="../ctrlProps/ctrlProp34.xml"/><Relationship Id="rId1" Type="http://schemas.openxmlformats.org/officeDocument/2006/relationships/hyperlink" Target="mailto:NIPSCO.Savings@LMCO.com" TargetMode="External"/><Relationship Id="rId6" Type="http://schemas.openxmlformats.org/officeDocument/2006/relationships/ctrlProp" Target="../ctrlProps/ctrlProp20.xml"/><Relationship Id="rId11" Type="http://schemas.openxmlformats.org/officeDocument/2006/relationships/ctrlProp" Target="../ctrlProps/ctrlProp25.xml"/><Relationship Id="rId24" Type="http://schemas.openxmlformats.org/officeDocument/2006/relationships/ctrlProp" Target="../ctrlProps/ctrlProp38.xml"/><Relationship Id="rId5" Type="http://schemas.openxmlformats.org/officeDocument/2006/relationships/ctrlProp" Target="../ctrlProps/ctrlProp19.xml"/><Relationship Id="rId15" Type="http://schemas.openxmlformats.org/officeDocument/2006/relationships/ctrlProp" Target="../ctrlProps/ctrlProp29.xml"/><Relationship Id="rId23" Type="http://schemas.openxmlformats.org/officeDocument/2006/relationships/ctrlProp" Target="../ctrlProps/ctrlProp37.xml"/><Relationship Id="rId28" Type="http://schemas.openxmlformats.org/officeDocument/2006/relationships/ctrlProp" Target="../ctrlProps/ctrlProp42.xml"/><Relationship Id="rId10" Type="http://schemas.openxmlformats.org/officeDocument/2006/relationships/ctrlProp" Target="../ctrlProps/ctrlProp24.xml"/><Relationship Id="rId19" Type="http://schemas.openxmlformats.org/officeDocument/2006/relationships/ctrlProp" Target="../ctrlProps/ctrlProp33.xml"/><Relationship Id="rId4" Type="http://schemas.openxmlformats.org/officeDocument/2006/relationships/vmlDrawing" Target="../drawings/vmlDrawing4.vml"/><Relationship Id="rId9" Type="http://schemas.openxmlformats.org/officeDocument/2006/relationships/ctrlProp" Target="../ctrlProps/ctrlProp23.xml"/><Relationship Id="rId14" Type="http://schemas.openxmlformats.org/officeDocument/2006/relationships/ctrlProp" Target="../ctrlProps/ctrlProp28.xml"/><Relationship Id="rId22" Type="http://schemas.openxmlformats.org/officeDocument/2006/relationships/ctrlProp" Target="../ctrlProps/ctrlProp36.xml"/><Relationship Id="rId27" Type="http://schemas.openxmlformats.org/officeDocument/2006/relationships/ctrlProp" Target="../ctrlProps/ctrlProp41.x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4.bin"/><Relationship Id="rId1" Type="http://schemas.openxmlformats.org/officeDocument/2006/relationships/hyperlink" Target="mailto:NIPSCO.Savings@LMCO.com" TargetMode="External"/><Relationship Id="rId5" Type="http://schemas.openxmlformats.org/officeDocument/2006/relationships/ctrlProp" Target="../ctrlProps/ctrlProp43.xml"/><Relationship Id="rId4" Type="http://schemas.openxmlformats.org/officeDocument/2006/relationships/vmlDrawing" Target="../drawings/vmlDrawing5.v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5.bin"/><Relationship Id="rId1" Type="http://schemas.openxmlformats.org/officeDocument/2006/relationships/hyperlink" Target="mailto:NIPSCO.Savings@LMCO.com" TargetMode="External"/></Relationships>
</file>

<file path=xl/worksheets/_rels/sheet4.xml.rels><?xml version="1.0" encoding="UTF-8" standalone="yes"?>
<Relationships xmlns="http://schemas.openxmlformats.org/package/2006/relationships"><Relationship Id="rId8" Type="http://schemas.openxmlformats.org/officeDocument/2006/relationships/table" Target="../tables/table23.xml"/><Relationship Id="rId13" Type="http://schemas.openxmlformats.org/officeDocument/2006/relationships/table" Target="../tables/table28.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table" Target="../tables/table17.xml"/><Relationship Id="rId1" Type="http://schemas.openxmlformats.org/officeDocument/2006/relationships/printerSettings" Target="../printerSettings/printerSettings3.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5" Type="http://schemas.openxmlformats.org/officeDocument/2006/relationships/table" Target="../tables/table3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 Id="rId14" Type="http://schemas.openxmlformats.org/officeDocument/2006/relationships/table" Target="../tables/table29.xm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6.bin"/><Relationship Id="rId1" Type="http://schemas.openxmlformats.org/officeDocument/2006/relationships/hyperlink" Target="mailto:NIPSCO.Savings@LMCO.com" TargetMode="External"/><Relationship Id="rId6" Type="http://schemas.openxmlformats.org/officeDocument/2006/relationships/ctrlProp" Target="../ctrlProps/ctrlProp45.xml"/><Relationship Id="rId5" Type="http://schemas.openxmlformats.org/officeDocument/2006/relationships/ctrlProp" Target="../ctrlProps/ctrlProp44.xml"/><Relationship Id="rId4" Type="http://schemas.openxmlformats.org/officeDocument/2006/relationships/vmlDrawing" Target="../drawings/vmlDrawing6.v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49.xml"/><Relationship Id="rId3" Type="http://schemas.openxmlformats.org/officeDocument/2006/relationships/drawing" Target="../drawings/drawing33.xml"/><Relationship Id="rId7" Type="http://schemas.openxmlformats.org/officeDocument/2006/relationships/ctrlProp" Target="../ctrlProps/ctrlProp48.xml"/><Relationship Id="rId12" Type="http://schemas.openxmlformats.org/officeDocument/2006/relationships/ctrlProp" Target="../ctrlProps/ctrlProp53.xml"/><Relationship Id="rId2" Type="http://schemas.openxmlformats.org/officeDocument/2006/relationships/printerSettings" Target="../printerSettings/printerSettings37.bin"/><Relationship Id="rId1" Type="http://schemas.openxmlformats.org/officeDocument/2006/relationships/hyperlink" Target="mailto:NIPSCO.Savings@LMCO.com" TargetMode="External"/><Relationship Id="rId6" Type="http://schemas.openxmlformats.org/officeDocument/2006/relationships/ctrlProp" Target="../ctrlProps/ctrlProp47.xml"/><Relationship Id="rId11" Type="http://schemas.openxmlformats.org/officeDocument/2006/relationships/ctrlProp" Target="../ctrlProps/ctrlProp52.xml"/><Relationship Id="rId5" Type="http://schemas.openxmlformats.org/officeDocument/2006/relationships/ctrlProp" Target="../ctrlProps/ctrlProp46.xml"/><Relationship Id="rId10" Type="http://schemas.openxmlformats.org/officeDocument/2006/relationships/ctrlProp" Target="../ctrlProps/ctrlProp51.xml"/><Relationship Id="rId4" Type="http://schemas.openxmlformats.org/officeDocument/2006/relationships/vmlDrawing" Target="../drawings/vmlDrawing7.vml"/><Relationship Id="rId9" Type="http://schemas.openxmlformats.org/officeDocument/2006/relationships/ctrlProp" Target="../ctrlProps/ctrlProp50.x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8.bin"/><Relationship Id="rId1" Type="http://schemas.openxmlformats.org/officeDocument/2006/relationships/hyperlink" Target="mailto:NIPSCO.Savings@LMCO.com"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9.bin"/><Relationship Id="rId1" Type="http://schemas.openxmlformats.org/officeDocument/2006/relationships/hyperlink" Target="mailto:NIPSCO.Savings@LMCO.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table" Target="../tables/table32.xml"/></Relationships>
</file>

<file path=xl/worksheets/_rels/sheet6.xml.rels><?xml version="1.0" encoding="UTF-8" standalone="yes"?>
<Relationships xmlns="http://schemas.openxmlformats.org/package/2006/relationships"><Relationship Id="rId8" Type="http://schemas.openxmlformats.org/officeDocument/2006/relationships/table" Target="../tables/table40.xml"/><Relationship Id="rId13" Type="http://schemas.openxmlformats.org/officeDocument/2006/relationships/table" Target="../tables/table45.xml"/><Relationship Id="rId18" Type="http://schemas.openxmlformats.org/officeDocument/2006/relationships/table" Target="../tables/table50.xml"/><Relationship Id="rId3" Type="http://schemas.openxmlformats.org/officeDocument/2006/relationships/table" Target="../tables/table35.xml"/><Relationship Id="rId21" Type="http://schemas.openxmlformats.org/officeDocument/2006/relationships/table" Target="../tables/table53.xml"/><Relationship Id="rId7" Type="http://schemas.openxmlformats.org/officeDocument/2006/relationships/table" Target="../tables/table39.xml"/><Relationship Id="rId12" Type="http://schemas.openxmlformats.org/officeDocument/2006/relationships/table" Target="../tables/table44.xml"/><Relationship Id="rId17" Type="http://schemas.openxmlformats.org/officeDocument/2006/relationships/table" Target="../tables/table49.xml"/><Relationship Id="rId2" Type="http://schemas.openxmlformats.org/officeDocument/2006/relationships/table" Target="../tables/table34.xml"/><Relationship Id="rId16" Type="http://schemas.openxmlformats.org/officeDocument/2006/relationships/table" Target="../tables/table48.xml"/><Relationship Id="rId20" Type="http://schemas.openxmlformats.org/officeDocument/2006/relationships/table" Target="../tables/table52.xml"/><Relationship Id="rId1" Type="http://schemas.openxmlformats.org/officeDocument/2006/relationships/table" Target="../tables/table33.xml"/><Relationship Id="rId6" Type="http://schemas.openxmlformats.org/officeDocument/2006/relationships/table" Target="../tables/table38.xml"/><Relationship Id="rId11" Type="http://schemas.openxmlformats.org/officeDocument/2006/relationships/table" Target="../tables/table43.xml"/><Relationship Id="rId5" Type="http://schemas.openxmlformats.org/officeDocument/2006/relationships/table" Target="../tables/table37.xml"/><Relationship Id="rId15" Type="http://schemas.openxmlformats.org/officeDocument/2006/relationships/table" Target="../tables/table47.xml"/><Relationship Id="rId23" Type="http://schemas.openxmlformats.org/officeDocument/2006/relationships/table" Target="../tables/table55.xml"/><Relationship Id="rId10" Type="http://schemas.openxmlformats.org/officeDocument/2006/relationships/table" Target="../tables/table42.xml"/><Relationship Id="rId19" Type="http://schemas.openxmlformats.org/officeDocument/2006/relationships/table" Target="../tables/table51.xml"/><Relationship Id="rId4" Type="http://schemas.openxmlformats.org/officeDocument/2006/relationships/table" Target="../tables/table36.xml"/><Relationship Id="rId9" Type="http://schemas.openxmlformats.org/officeDocument/2006/relationships/table" Target="../tables/table41.xml"/><Relationship Id="rId14" Type="http://schemas.openxmlformats.org/officeDocument/2006/relationships/table" Target="../tables/table46.xml"/><Relationship Id="rId22" Type="http://schemas.openxmlformats.org/officeDocument/2006/relationships/table" Target="../tables/table5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6.bin"/><Relationship Id="rId1" Type="http://schemas.openxmlformats.org/officeDocument/2006/relationships/hyperlink" Target="mailto:BizSavers@amere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Z221"/>
  <sheetViews>
    <sheetView zoomScale="85" zoomScaleNormal="85" workbookViewId="0">
      <pane xSplit="2" topLeftCell="C1" activePane="topRight" state="frozen"/>
      <selection pane="topRight" activeCell="C73" sqref="C73"/>
    </sheetView>
  </sheetViews>
  <sheetFormatPr defaultRowHeight="15" x14ac:dyDescent="0.25"/>
  <cols>
    <col min="1" max="1" width="24.140625" customWidth="1"/>
    <col min="2" max="2" width="29.85546875" customWidth="1"/>
    <col min="5" max="5" width="40.7109375" customWidth="1"/>
    <col min="6" max="10" width="15.7109375" customWidth="1"/>
    <col min="11" max="13" width="15.7109375" style="63" customWidth="1"/>
    <col min="14" max="14" width="14.85546875" customWidth="1"/>
    <col min="15" max="15" width="11.28515625" bestFit="1" customWidth="1"/>
  </cols>
  <sheetData>
    <row r="1" spans="1:26" ht="15.75" thickBot="1" x14ac:dyDescent="0.3">
      <c r="A1" s="10" t="s">
        <v>67</v>
      </c>
      <c r="B1" s="1" t="str">
        <f>VERSION</f>
        <v>New Construction v3.8.0</v>
      </c>
      <c r="E1" s="72" t="s">
        <v>267</v>
      </c>
      <c r="F1" s="66">
        <f ca="1">IF(EXPIRATION&lt;&gt;"","---",IF(F47=0,0,F47))</f>
        <v>0</v>
      </c>
    </row>
    <row r="2" spans="1:26" ht="15.75" thickTop="1" x14ac:dyDescent="0.25">
      <c r="A2" s="10" t="s">
        <v>0</v>
      </c>
      <c r="B2" s="1" t="s">
        <v>626</v>
      </c>
      <c r="E2" s="72" t="s">
        <v>496</v>
      </c>
      <c r="F2" s="66">
        <f ca="1">IF(EXPIRATION&lt;&gt;"","---",IF(H47=0,0,H47))</f>
        <v>0</v>
      </c>
      <c r="T2" s="700" t="e">
        <f ca="1">HYPERLINK("mailto:IMenergyefficiency@LMBPS.com?subject=" &amp;"IM Custom Application Submittal" &amp;"-"&amp;PICO1 &amp;"-"&amp;MONTH(TODAY())&amp;"/"&amp;DAY(TODAY()) &amp;"/"&amp;YEAR(TODAY())&amp; "&amp;body=" &amp;"Please attach Custom Incentive Application with relevent information including new equipment specification, calculations, etc in this email","Draft E-mail")</f>
        <v>#NAME?</v>
      </c>
      <c r="U2" s="701"/>
      <c r="V2" s="701"/>
      <c r="W2" s="701"/>
      <c r="X2" s="701"/>
      <c r="Y2" s="701"/>
      <c r="Z2" s="702"/>
    </row>
    <row r="3" spans="1:26" x14ac:dyDescent="0.25">
      <c r="A3" s="10" t="s">
        <v>1</v>
      </c>
      <c r="B3" s="1" t="s">
        <v>215</v>
      </c>
      <c r="E3" s="72" t="s">
        <v>268</v>
      </c>
      <c r="F3" s="66" t="str">
        <f ca="1">IF(EXPIRATION&lt;&gt;"","---",IF(M02S02F41="Yes","---",IF(J47=0,"---",IF(J47&lt;150,"---",J47))))</f>
        <v>---</v>
      </c>
      <c r="T3" s="703"/>
      <c r="U3" s="704"/>
      <c r="V3" s="704"/>
      <c r="W3" s="704"/>
      <c r="X3" s="704"/>
      <c r="Y3" s="704"/>
      <c r="Z3" s="705"/>
    </row>
    <row r="4" spans="1:26" ht="15.75" thickBot="1" x14ac:dyDescent="0.3">
      <c r="E4" s="72" t="s">
        <v>495</v>
      </c>
      <c r="F4" s="66" t="str">
        <f ca="1">IF(EXPIRATION&lt;&gt;"",PROJSTATEXP,IF(M02S02F41="Yes",PROJSTATELI,IF(AND(ENGSIGNDATE&lt;&gt;"",INCENTOTAL&gt;150),PROJSTATREVIEW,IF(AND(INCENTOTAL&gt;1,INCENTOTAL&lt;150,PROGRESSSTATUS&gt;0.9),PROJSTATUNDER,IF(AND(INCENTOTALCUSE&gt;1,PROGRESSSTATUS&gt;0.9,),PROJSTATPREAPPROVE,IF(AND(INCENTOTALCUSE&gt;1,PROGRESSSTATUS&gt;0.9),PROJSTATPREAPPROVE,IF(PROGRESSSTATUS=1,PROJSTATSSUBMITINITIAL,PROJSTATFILLINITIAL)))))))</f>
        <v>Please Complete Initial Application</v>
      </c>
      <c r="H4" t="s">
        <v>495</v>
      </c>
      <c r="T4" s="706"/>
      <c r="U4" s="707"/>
      <c r="V4" s="707"/>
      <c r="W4" s="707"/>
      <c r="X4" s="707"/>
      <c r="Y4" s="707"/>
      <c r="Z4" s="708"/>
    </row>
    <row r="5" spans="1:26" ht="15.75" thickTop="1" x14ac:dyDescent="0.25">
      <c r="E5" s="72" t="s">
        <v>511</v>
      </c>
      <c r="F5" s="71">
        <f ca="1">SUM(A72,A81,A135,A155)/SUM(D72,D81,D135,D155)</f>
        <v>0</v>
      </c>
    </row>
    <row r="6" spans="1:26" x14ac:dyDescent="0.25">
      <c r="A6" s="2" t="s">
        <v>2</v>
      </c>
      <c r="B6" s="3" t="s">
        <v>3</v>
      </c>
      <c r="T6" t="s">
        <v>987</v>
      </c>
    </row>
    <row r="7" spans="1:26" x14ac:dyDescent="0.25">
      <c r="A7" s="4" t="s">
        <v>36</v>
      </c>
      <c r="B7" s="5" t="s">
        <v>75</v>
      </c>
    </row>
    <row r="8" spans="1:26" x14ac:dyDescent="0.25">
      <c r="A8" s="6" t="s">
        <v>4</v>
      </c>
      <c r="B8" s="7" t="s">
        <v>651</v>
      </c>
    </row>
    <row r="9" spans="1:26" x14ac:dyDescent="0.25">
      <c r="A9" s="6" t="s">
        <v>5</v>
      </c>
      <c r="B9" s="7" t="s">
        <v>1448</v>
      </c>
    </row>
    <row r="10" spans="1:26" x14ac:dyDescent="0.25">
      <c r="A10" s="6" t="s">
        <v>6</v>
      </c>
      <c r="B10" s="7" t="s">
        <v>1020</v>
      </c>
    </row>
    <row r="11" spans="1:26" x14ac:dyDescent="0.25">
      <c r="A11" s="6" t="s">
        <v>7</v>
      </c>
      <c r="B11" s="7" t="s">
        <v>941</v>
      </c>
    </row>
    <row r="12" spans="1:26" x14ac:dyDescent="0.25">
      <c r="A12" s="6" t="s">
        <v>8</v>
      </c>
      <c r="B12" s="7" t="s">
        <v>8</v>
      </c>
    </row>
    <row r="13" spans="1:26" x14ac:dyDescent="0.25">
      <c r="A13" s="6" t="s">
        <v>9</v>
      </c>
      <c r="B13" s="7" t="s">
        <v>9</v>
      </c>
    </row>
    <row r="14" spans="1:26" x14ac:dyDescent="0.25">
      <c r="A14" s="6" t="s">
        <v>10</v>
      </c>
      <c r="B14" s="7" t="s">
        <v>10</v>
      </c>
    </row>
    <row r="15" spans="1:26" x14ac:dyDescent="0.25">
      <c r="A15" s="8" t="s">
        <v>11</v>
      </c>
      <c r="B15" s="9" t="s">
        <v>11</v>
      </c>
    </row>
    <row r="16" spans="1:26" x14ac:dyDescent="0.25">
      <c r="A16" s="4" t="s">
        <v>37</v>
      </c>
      <c r="B16" s="5" t="s">
        <v>76</v>
      </c>
    </row>
    <row r="17" spans="1:14" x14ac:dyDescent="0.25">
      <c r="A17" s="6" t="s">
        <v>12</v>
      </c>
      <c r="B17" s="7" t="s">
        <v>77</v>
      </c>
    </row>
    <row r="18" spans="1:14" x14ac:dyDescent="0.25">
      <c r="A18" s="6" t="s">
        <v>13</v>
      </c>
      <c r="B18" s="7" t="s">
        <v>1449</v>
      </c>
    </row>
    <row r="19" spans="1:14" x14ac:dyDescent="0.25">
      <c r="A19" s="6" t="s">
        <v>14</v>
      </c>
      <c r="B19" s="7" t="s">
        <v>1450</v>
      </c>
    </row>
    <row r="20" spans="1:14" x14ac:dyDescent="0.25">
      <c r="A20" s="6" t="s">
        <v>15</v>
      </c>
      <c r="B20" s="7" t="s">
        <v>1451</v>
      </c>
    </row>
    <row r="21" spans="1:14" x14ac:dyDescent="0.25">
      <c r="A21" s="6" t="s">
        <v>16</v>
      </c>
      <c r="B21" s="43" t="s">
        <v>1452</v>
      </c>
    </row>
    <row r="22" spans="1:14" x14ac:dyDescent="0.25">
      <c r="A22" s="6" t="s">
        <v>17</v>
      </c>
      <c r="B22" s="7" t="s">
        <v>17</v>
      </c>
    </row>
    <row r="23" spans="1:14" x14ac:dyDescent="0.25">
      <c r="A23" s="6" t="s">
        <v>18</v>
      </c>
      <c r="B23" s="7" t="s">
        <v>18</v>
      </c>
    </row>
    <row r="24" spans="1:14" x14ac:dyDescent="0.25">
      <c r="A24" s="8" t="s">
        <v>19</v>
      </c>
      <c r="B24" s="9" t="s">
        <v>19</v>
      </c>
    </row>
    <row r="25" spans="1:14" x14ac:dyDescent="0.25">
      <c r="A25" s="4" t="s">
        <v>62</v>
      </c>
      <c r="B25" s="5" t="s">
        <v>2276</v>
      </c>
      <c r="E25" s="69" t="str">
        <f>MAIN3</f>
        <v>CODE-BASELINE MEASURES</v>
      </c>
      <c r="F25" s="69" t="s">
        <v>259</v>
      </c>
      <c r="G25" s="69" t="s">
        <v>260</v>
      </c>
      <c r="H25" s="69" t="s">
        <v>493</v>
      </c>
      <c r="I25" s="69" t="s">
        <v>261</v>
      </c>
      <c r="J25" s="69" t="s">
        <v>133</v>
      </c>
      <c r="K25" s="69" t="s">
        <v>1406</v>
      </c>
      <c r="L25" s="69" t="s">
        <v>1407</v>
      </c>
      <c r="M25" s="69" t="s">
        <v>1408</v>
      </c>
      <c r="N25" s="69" t="s">
        <v>498</v>
      </c>
    </row>
    <row r="26" spans="1:14" x14ac:dyDescent="0.25">
      <c r="A26" s="6" t="s">
        <v>20</v>
      </c>
      <c r="B26" s="7" t="s">
        <v>1453</v>
      </c>
      <c r="E26" s="91" t="str">
        <f>B26</f>
        <v>Whole Building Performance</v>
      </c>
      <c r="F26" s="67">
        <f>KWHTOTALWBP</f>
        <v>0</v>
      </c>
      <c r="G26" s="67">
        <f>'M03-S01'!AV200</f>
        <v>0</v>
      </c>
      <c r="H26" s="67"/>
      <c r="I26" s="67">
        <f>'M03-S01'!V12</f>
        <v>0</v>
      </c>
      <c r="J26" s="67">
        <f>'M03-S01'!R12</f>
        <v>0</v>
      </c>
      <c r="K26" s="67"/>
      <c r="L26" s="67"/>
      <c r="M26" s="67"/>
      <c r="N26" s="67">
        <f t="shared" ref="N26:N42" si="0">I26</f>
        <v>0</v>
      </c>
    </row>
    <row r="27" spans="1:14" x14ac:dyDescent="0.25">
      <c r="A27" s="6" t="s">
        <v>21</v>
      </c>
      <c r="B27" s="7" t="s">
        <v>2273</v>
      </c>
      <c r="E27" s="91" t="str">
        <f t="shared" ref="E27:E42" si="1">B27</f>
        <v>LPD Interior Lighting</v>
      </c>
      <c r="F27" s="67">
        <f>'M03-S02'!Z12</f>
        <v>0</v>
      </c>
      <c r="G27" s="67">
        <f>'M03-S02'!AV200</f>
        <v>0</v>
      </c>
      <c r="H27" s="67"/>
      <c r="I27" s="67">
        <f>'M03-S02'!V12</f>
        <v>0</v>
      </c>
      <c r="J27" s="67">
        <f>'M03-S02'!R12</f>
        <v>0</v>
      </c>
      <c r="K27" s="67"/>
      <c r="L27" s="67"/>
      <c r="M27" s="67"/>
      <c r="N27" s="67">
        <f t="shared" si="0"/>
        <v>0</v>
      </c>
    </row>
    <row r="28" spans="1:14" x14ac:dyDescent="0.25">
      <c r="A28" s="6" t="s">
        <v>22</v>
      </c>
      <c r="B28" s="7" t="str">
        <f t="shared" ref="B28:B33" si="2">A28</f>
        <v>M3S3</v>
      </c>
      <c r="E28" s="91" t="str">
        <f t="shared" si="1"/>
        <v>M3S3</v>
      </c>
      <c r="F28" s="67"/>
      <c r="G28" s="67"/>
      <c r="H28" s="67"/>
      <c r="I28" s="67"/>
      <c r="J28" s="67"/>
      <c r="K28" s="67"/>
      <c r="L28" s="67"/>
      <c r="M28" s="67"/>
      <c r="N28" s="67"/>
    </row>
    <row r="29" spans="1:14" x14ac:dyDescent="0.25">
      <c r="A29" s="6" t="s">
        <v>23</v>
      </c>
      <c r="B29" s="7" t="str">
        <f t="shared" si="2"/>
        <v>M3S4</v>
      </c>
      <c r="E29" s="91" t="str">
        <f t="shared" si="1"/>
        <v>M3S4</v>
      </c>
      <c r="F29" s="67">
        <f>'M03-S04'!Z12</f>
        <v>0</v>
      </c>
      <c r="G29" s="67">
        <f>'M03-S04'!AV200</f>
        <v>0</v>
      </c>
      <c r="H29" s="67"/>
      <c r="I29" s="67">
        <f>'M03-S04'!V12</f>
        <v>0</v>
      </c>
      <c r="J29" s="67">
        <f>'M03-S04'!R12</f>
        <v>0</v>
      </c>
      <c r="K29" s="67"/>
      <c r="L29" s="67"/>
      <c r="M29" s="67"/>
      <c r="N29" s="67">
        <f t="shared" si="0"/>
        <v>0</v>
      </c>
    </row>
    <row r="30" spans="1:14" x14ac:dyDescent="0.25">
      <c r="A30" s="6" t="s">
        <v>24</v>
      </c>
      <c r="B30" s="7" t="str">
        <f t="shared" si="2"/>
        <v>M3S5</v>
      </c>
      <c r="E30" s="91" t="str">
        <f t="shared" si="1"/>
        <v>M3S5</v>
      </c>
      <c r="F30" s="67">
        <f>'M03-S05'!Z12</f>
        <v>0</v>
      </c>
      <c r="G30" s="67">
        <f>'M03-S05'!AV200</f>
        <v>0</v>
      </c>
      <c r="H30" s="67"/>
      <c r="I30" s="67">
        <f>'M03-S05'!V12</f>
        <v>0</v>
      </c>
      <c r="J30" s="67">
        <f>'M03-S05'!R12</f>
        <v>0</v>
      </c>
      <c r="K30" s="67"/>
      <c r="L30" s="67"/>
      <c r="M30" s="67"/>
      <c r="N30" s="67">
        <f t="shared" si="0"/>
        <v>0</v>
      </c>
    </row>
    <row r="31" spans="1:14" x14ac:dyDescent="0.25">
      <c r="A31" s="6" t="s">
        <v>25</v>
      </c>
      <c r="B31" s="7" t="str">
        <f t="shared" si="2"/>
        <v>M3S6</v>
      </c>
      <c r="E31" s="91" t="str">
        <f t="shared" si="1"/>
        <v>M3S6</v>
      </c>
      <c r="F31" s="67"/>
      <c r="G31" s="67"/>
      <c r="H31" s="67">
        <f>'M03-S06'!Z12</f>
        <v>0</v>
      </c>
      <c r="I31" s="67">
        <f>'M03-S06'!V12</f>
        <v>0</v>
      </c>
      <c r="J31" s="67">
        <f>'M03-S06'!R12</f>
        <v>0</v>
      </c>
      <c r="K31" s="67"/>
      <c r="L31" s="67"/>
      <c r="M31" s="67"/>
      <c r="N31" s="67">
        <f t="shared" si="0"/>
        <v>0</v>
      </c>
    </row>
    <row r="32" spans="1:14" x14ac:dyDescent="0.25">
      <c r="A32" s="6" t="s">
        <v>26</v>
      </c>
      <c r="B32" s="7" t="str">
        <f t="shared" si="2"/>
        <v>M3S7</v>
      </c>
      <c r="E32" s="91" t="str">
        <f t="shared" si="1"/>
        <v>M3S7</v>
      </c>
      <c r="F32" s="67"/>
      <c r="G32" s="67"/>
      <c r="H32" s="67">
        <f>'M03-S07'!Z12</f>
        <v>0</v>
      </c>
      <c r="I32" s="67">
        <f>'M03-S07'!V12</f>
        <v>0</v>
      </c>
      <c r="J32" s="67">
        <f>'M03-S07'!R12</f>
        <v>0</v>
      </c>
      <c r="K32" s="67"/>
      <c r="L32" s="67"/>
      <c r="M32" s="67"/>
      <c r="N32" s="67">
        <f t="shared" si="0"/>
        <v>0</v>
      </c>
    </row>
    <row r="33" spans="1:16" x14ac:dyDescent="0.25">
      <c r="A33" s="8" t="s">
        <v>27</v>
      </c>
      <c r="B33" s="9" t="str">
        <f t="shared" si="2"/>
        <v>M3S8</v>
      </c>
      <c r="E33" s="91" t="str">
        <f t="shared" si="1"/>
        <v>M3S8</v>
      </c>
      <c r="F33" s="67"/>
      <c r="G33" s="67"/>
      <c r="H33" s="67">
        <f>'M03-S08'!Z12</f>
        <v>0</v>
      </c>
      <c r="I33" s="67">
        <f>'M03-S08'!V12</f>
        <v>0</v>
      </c>
      <c r="J33" s="67">
        <f>'M03-S08'!R12</f>
        <v>0</v>
      </c>
      <c r="K33" s="67"/>
      <c r="L33" s="67"/>
      <c r="M33" s="67"/>
      <c r="N33" s="67">
        <f t="shared" si="0"/>
        <v>0</v>
      </c>
    </row>
    <row r="34" spans="1:16" x14ac:dyDescent="0.25">
      <c r="A34" s="4" t="s">
        <v>63</v>
      </c>
      <c r="B34" s="5" t="s">
        <v>2275</v>
      </c>
      <c r="E34" s="69" t="str">
        <f t="shared" si="1"/>
        <v>PRE-APPROVAL MEASURES</v>
      </c>
      <c r="F34" s="67"/>
      <c r="G34" s="67"/>
      <c r="H34" s="67"/>
      <c r="I34" s="67"/>
      <c r="J34" s="67"/>
      <c r="K34" s="67"/>
      <c r="L34" s="67"/>
      <c r="M34" s="67"/>
      <c r="N34" s="67">
        <f t="shared" si="0"/>
        <v>0</v>
      </c>
    </row>
    <row r="35" spans="1:16" x14ac:dyDescent="0.25">
      <c r="A35" s="6" t="s">
        <v>28</v>
      </c>
      <c r="B35" s="43" t="s">
        <v>167</v>
      </c>
      <c r="E35" s="91" t="str">
        <f t="shared" si="1"/>
        <v>HVAC</v>
      </c>
      <c r="F35" s="67">
        <f>'M04-S01'!Z12</f>
        <v>0</v>
      </c>
      <c r="G35" s="67">
        <f>SUM('M04-S01'!AV16:AV199)</f>
        <v>0</v>
      </c>
      <c r="H35" s="67"/>
      <c r="I35" s="67">
        <f>'M04-S01'!V12</f>
        <v>0</v>
      </c>
      <c r="J35" s="67">
        <f>'M04-S01'!R12</f>
        <v>0</v>
      </c>
      <c r="K35" s="67"/>
      <c r="L35" s="67"/>
      <c r="M35" s="67"/>
      <c r="N35" s="67">
        <f t="shared" si="0"/>
        <v>0</v>
      </c>
    </row>
    <row r="36" spans="1:16" x14ac:dyDescent="0.25">
      <c r="A36" s="6" t="s">
        <v>29</v>
      </c>
      <c r="B36" s="43" t="s">
        <v>2274</v>
      </c>
      <c r="E36" s="91" t="str">
        <f t="shared" si="1"/>
        <v>LPD-Exempt Interior Lighting</v>
      </c>
      <c r="F36" s="67">
        <f>'M04-S02'!Z12</f>
        <v>0</v>
      </c>
      <c r="G36" s="67">
        <f>'M04-S02'!AV200</f>
        <v>0</v>
      </c>
      <c r="H36" s="67"/>
      <c r="I36" s="67">
        <f>'M04-S02'!V12</f>
        <v>0</v>
      </c>
      <c r="J36" s="67">
        <f>'M04-S02'!R12</f>
        <v>0</v>
      </c>
      <c r="K36" s="67"/>
      <c r="L36" s="67"/>
      <c r="M36" s="67"/>
      <c r="N36" s="67">
        <f t="shared" si="0"/>
        <v>0</v>
      </c>
    </row>
    <row r="37" spans="1:16" ht="30" x14ac:dyDescent="0.25">
      <c r="A37" s="6" t="s">
        <v>30</v>
      </c>
      <c r="B37" s="43" t="s">
        <v>1299</v>
      </c>
      <c r="E37" s="91" t="str">
        <f t="shared" si="1"/>
        <v>Commercial Cooking / Water Heating</v>
      </c>
      <c r="F37" s="67">
        <f>'M04-S03'!Z12</f>
        <v>0</v>
      </c>
      <c r="G37" s="67">
        <f>SUM('M04-S03'!AV16:AV199)</f>
        <v>0</v>
      </c>
      <c r="H37" s="67"/>
      <c r="I37" s="67">
        <f>'M04-S03'!V12</f>
        <v>0</v>
      </c>
      <c r="J37" s="67">
        <f>'M04-S03'!R12</f>
        <v>0</v>
      </c>
      <c r="K37" s="67"/>
      <c r="L37" s="67"/>
      <c r="M37" s="67"/>
      <c r="N37" s="67">
        <f t="shared" si="0"/>
        <v>0</v>
      </c>
    </row>
    <row r="38" spans="1:16" x14ac:dyDescent="0.25">
      <c r="A38" s="6" t="s">
        <v>31</v>
      </c>
      <c r="B38" s="43" t="s">
        <v>652</v>
      </c>
      <c r="E38" s="91" t="str">
        <f t="shared" si="1"/>
        <v>Motor / VFD / Pump</v>
      </c>
      <c r="F38" s="67">
        <f>'M04-S04'!Z12</f>
        <v>0</v>
      </c>
      <c r="G38" s="67">
        <f>SUM('M04-S04'!AV16:AV199)</f>
        <v>0</v>
      </c>
      <c r="H38" s="67"/>
      <c r="I38" s="67">
        <f>'M04-S04'!V12</f>
        <v>0</v>
      </c>
      <c r="J38" s="67">
        <f>'M04-S04'!R12</f>
        <v>0</v>
      </c>
      <c r="K38" s="67"/>
      <c r="L38" s="67"/>
      <c r="M38" s="67"/>
      <c r="N38" s="67">
        <f t="shared" si="0"/>
        <v>0</v>
      </c>
    </row>
    <row r="39" spans="1:16" x14ac:dyDescent="0.25">
      <c r="A39" s="6" t="s">
        <v>32</v>
      </c>
      <c r="B39" s="43" t="s">
        <v>171</v>
      </c>
      <c r="E39" s="91" t="str">
        <f t="shared" si="1"/>
        <v>Compressed Air</v>
      </c>
      <c r="F39" s="67">
        <f>'M04-S05'!Z12</f>
        <v>0</v>
      </c>
      <c r="G39" s="67">
        <f>SUM('M04-S05'!AV16:AV199)</f>
        <v>0</v>
      </c>
      <c r="H39" s="67"/>
      <c r="I39" s="67">
        <f>'M04-S05'!V12</f>
        <v>0</v>
      </c>
      <c r="J39" s="67">
        <f>'M04-S05'!R12</f>
        <v>0</v>
      </c>
      <c r="K39" s="67"/>
      <c r="L39" s="67"/>
      <c r="M39" s="67"/>
      <c r="N39" s="67">
        <f t="shared" si="0"/>
        <v>0</v>
      </c>
    </row>
    <row r="40" spans="1:16" x14ac:dyDescent="0.25">
      <c r="A40" s="6" t="s">
        <v>33</v>
      </c>
      <c r="B40" s="43" t="s">
        <v>169</v>
      </c>
      <c r="E40" s="91" t="str">
        <f t="shared" si="1"/>
        <v>Refrigeration</v>
      </c>
      <c r="F40" s="67">
        <f>'M04-S06'!Z12</f>
        <v>0</v>
      </c>
      <c r="G40" s="67">
        <f>SUM('M04-S06'!AV16:AV199)</f>
        <v>0</v>
      </c>
      <c r="H40" s="67"/>
      <c r="I40" s="67">
        <f>'M04-S06'!V12</f>
        <v>0</v>
      </c>
      <c r="J40" s="67">
        <f>'M04-S06'!R12</f>
        <v>0</v>
      </c>
      <c r="K40" s="67"/>
      <c r="L40" s="67"/>
      <c r="M40" s="67"/>
      <c r="N40" s="67">
        <f t="shared" si="0"/>
        <v>0</v>
      </c>
    </row>
    <row r="41" spans="1:16" x14ac:dyDescent="0.25">
      <c r="A41" s="6" t="s">
        <v>34</v>
      </c>
      <c r="B41" s="43" t="s">
        <v>594</v>
      </c>
      <c r="E41" s="91" t="str">
        <f t="shared" si="1"/>
        <v>Miscellaneous</v>
      </c>
      <c r="F41" s="67">
        <f>'M04-S07'!Z12</f>
        <v>0</v>
      </c>
      <c r="G41" s="67">
        <f>SUM('M04-S07'!AV16:AV199)</f>
        <v>0</v>
      </c>
      <c r="H41" s="67"/>
      <c r="I41" s="67">
        <f>'M04-S07'!V12</f>
        <v>0</v>
      </c>
      <c r="J41" s="67">
        <f>'M04-S07'!R12</f>
        <v>0</v>
      </c>
      <c r="K41" s="67"/>
      <c r="L41" s="67"/>
      <c r="M41" s="67"/>
      <c r="N41" s="67">
        <f t="shared" si="0"/>
        <v>0</v>
      </c>
    </row>
    <row r="42" spans="1:16" x14ac:dyDescent="0.25">
      <c r="A42" s="8" t="s">
        <v>35</v>
      </c>
      <c r="B42" s="9" t="s">
        <v>2162</v>
      </c>
      <c r="E42" s="91" t="str">
        <f t="shared" si="1"/>
        <v>Exterior Lighting</v>
      </c>
      <c r="F42" s="67">
        <f>'M04-S08'!Z12</f>
        <v>0</v>
      </c>
      <c r="G42" s="67">
        <f>SUM('M04-S08'!AV16:AV199)</f>
        <v>0</v>
      </c>
      <c r="H42" s="67"/>
      <c r="I42" s="67">
        <f>'M04-S08'!V12</f>
        <v>0</v>
      </c>
      <c r="J42" s="67">
        <f>'M04-S08'!R12</f>
        <v>0</v>
      </c>
      <c r="K42" s="67"/>
      <c r="L42" s="67"/>
      <c r="M42" s="67"/>
      <c r="N42" s="67">
        <f t="shared" si="0"/>
        <v>0</v>
      </c>
      <c r="O42" s="70" t="s">
        <v>237</v>
      </c>
      <c r="P42" s="70" t="s">
        <v>642</v>
      </c>
    </row>
    <row r="43" spans="1:16" x14ac:dyDescent="0.25">
      <c r="A43" s="4" t="s">
        <v>64</v>
      </c>
      <c r="B43" s="5" t="s">
        <v>986</v>
      </c>
      <c r="E43" s="70" t="s">
        <v>263</v>
      </c>
      <c r="F43" s="68">
        <f>SUM(F29:F33)</f>
        <v>0</v>
      </c>
      <c r="G43" s="68">
        <f t="shared" ref="G43:N43" si="3">SUM(G29:G33)</f>
        <v>0</v>
      </c>
      <c r="H43" s="68">
        <f t="shared" si="3"/>
        <v>0</v>
      </c>
      <c r="I43" s="68">
        <f t="shared" si="3"/>
        <v>0</v>
      </c>
      <c r="J43" s="68">
        <f t="shared" si="3"/>
        <v>0</v>
      </c>
      <c r="K43" s="68"/>
      <c r="L43" s="68"/>
      <c r="M43" s="68"/>
      <c r="N43" s="68">
        <f t="shared" si="3"/>
        <v>0</v>
      </c>
      <c r="O43" s="68" t="str">
        <f>IFERROR(ROUND(((1+ELOSS)*((KWHTOTALPRESE*INDEX(ELECCB[NPV AEC $/kWh],MATCH(12,ELECCB[Year Number],0)))+(KWTOTALPRESE*INDEX(ELECCB[NPV ACC+T&amp;D $/kW],MATCH(12,ELECCB[Year Number],0))))/COSTTOTALALLPRESE),2),"NA")</f>
        <v>NA</v>
      </c>
      <c r="P43" s="68" t="str">
        <f>IFERROR(ROUND(COSTTOTALALLPRESE/M02S02F35/KWHTOTALPRESE,2),"NA")</f>
        <v>NA</v>
      </c>
    </row>
    <row r="44" spans="1:16" x14ac:dyDescent="0.25">
      <c r="A44" s="6" t="s">
        <v>38</v>
      </c>
      <c r="B44" s="7" t="s">
        <v>1456</v>
      </c>
      <c r="E44" s="70" t="s">
        <v>262</v>
      </c>
      <c r="F44" s="68"/>
      <c r="G44" s="68"/>
      <c r="H44" s="68"/>
      <c r="I44" s="68"/>
      <c r="J44" s="68"/>
      <c r="K44" s="68"/>
      <c r="L44" s="68"/>
      <c r="M44" s="68"/>
      <c r="N44" s="68"/>
      <c r="O44" s="68" t="str">
        <f>IFERROR(ROUND(((1+GLOSS)*((THERMTOTALPRESG*INDEX(GASCB[NPV GAEC $/therm],MATCH(10,GASCB[Year Number],1))))/COSTTOTALALLPRESG),2),"NA")</f>
        <v>NA</v>
      </c>
      <c r="P44" s="68" t="str">
        <f>IFERROR(ROUND(COSTTOTALALLPRESG/M02S02F36/THERMTOTALPRESG,2),"NA")</f>
        <v>NA</v>
      </c>
    </row>
    <row r="45" spans="1:16" x14ac:dyDescent="0.25">
      <c r="A45" s="6" t="s">
        <v>39</v>
      </c>
      <c r="B45" s="7" t="s">
        <v>1457</v>
      </c>
      <c r="E45" s="70" t="s">
        <v>264</v>
      </c>
      <c r="F45" s="68">
        <f>SUM(F35:F42)</f>
        <v>0</v>
      </c>
      <c r="G45" s="68">
        <f>SUM(G35:G42)</f>
        <v>0</v>
      </c>
      <c r="H45" s="68">
        <f>SUM(H35:H42)</f>
        <v>0</v>
      </c>
      <c r="I45" s="68">
        <f>SUM(I35:I42)</f>
        <v>0</v>
      </c>
      <c r="J45" s="68">
        <f>SUM(J35:J42)</f>
        <v>0</v>
      </c>
      <c r="K45" s="68"/>
      <c r="L45" s="68"/>
      <c r="M45" s="68"/>
      <c r="N45" s="68">
        <f>SUM(N35:N42)</f>
        <v>0</v>
      </c>
      <c r="O45" s="68" t="str">
        <f>IFERROR(ROUND(((1+ELOSS)*((KWHTOTALCUSE*INDEX(ELECCB[NPV AEC $/kWh],MATCH(12,ELECCB[Year Number],0)))+(KWTOTALCUSE*INDEX(ELECCB[NPV ACC+T&amp;D $/kW],MATCH(15,ELECCB[Year Number],0))))/COSTTOTALALLCUSE),2),"NA")</f>
        <v>NA</v>
      </c>
      <c r="P45" s="68" t="str">
        <f>IFERROR(ROUND(COSTTOTALALLCUSE/M02S02F35/KWHTOTALCUSE,2),"NA")</f>
        <v>NA</v>
      </c>
    </row>
    <row r="46" spans="1:16" x14ac:dyDescent="0.25">
      <c r="A46" s="6" t="s">
        <v>40</v>
      </c>
      <c r="B46" s="7" t="s">
        <v>1919</v>
      </c>
      <c r="E46" s="70" t="s">
        <v>265</v>
      </c>
      <c r="F46" s="68"/>
      <c r="G46" s="68"/>
      <c r="H46" s="68"/>
      <c r="I46" s="68"/>
      <c r="J46" s="68"/>
      <c r="K46" s="68"/>
      <c r="L46" s="68"/>
      <c r="M46" s="68"/>
      <c r="N46" s="68"/>
      <c r="O46" s="68" t="str">
        <f>IFERROR(ROUND(((1+GLOSS)*((THERMTOTALCUSG*INDEX(GASCB[NPV GAEC $/therm],MATCH(10,GASCB[Year Number],1))))/COSTTOTALALLCUSG),2),"NA")</f>
        <v>NA</v>
      </c>
      <c r="P46" s="68" t="str">
        <f>IFERROR(ROUND(COSTTOTALALLCUSG/M02S02F36/THERMTOTALCUSG,2),"NA")</f>
        <v>NA</v>
      </c>
    </row>
    <row r="47" spans="1:16" x14ac:dyDescent="0.25">
      <c r="A47" s="6" t="s">
        <v>41</v>
      </c>
      <c r="B47" s="7" t="s">
        <v>118</v>
      </c>
      <c r="E47" s="70" t="s">
        <v>266</v>
      </c>
      <c r="F47" s="68">
        <f>SUM(F26:F42)</f>
        <v>0</v>
      </c>
      <c r="G47" s="68">
        <f t="shared" ref="G47:N47" si="4">SUM(G26:G42)</f>
        <v>0</v>
      </c>
      <c r="H47" s="68">
        <f t="shared" si="4"/>
        <v>0</v>
      </c>
      <c r="I47" s="68">
        <f t="shared" si="4"/>
        <v>0</v>
      </c>
      <c r="J47" s="68">
        <f t="shared" si="4"/>
        <v>0</v>
      </c>
      <c r="K47" s="68"/>
      <c r="L47" s="68"/>
      <c r="M47" s="68"/>
      <c r="N47" s="68">
        <f t="shared" si="4"/>
        <v>0</v>
      </c>
      <c r="O47" s="68" t="str">
        <f>IFERROR(ROUND(((1+ELOSS)*((KWHTOTAL*INDEX(ELECCB[NPV AEC $/kWh],MATCH(12,ELECCB[Year Number],0)))+(KWTOTAL*INDEX(ELECCB[NPV ACC+T&amp;D $/kW],MATCH(12,ELECCB[Year Number],0))))/COSTTOTALALL),2),"NA")</f>
        <v>NA</v>
      </c>
      <c r="P47" s="68" t="str">
        <f>IFERROR(ROUND(COSTTOTALALL/M02S02F35/KWHTOTAL,2),"NA")</f>
        <v>NA</v>
      </c>
    </row>
    <row r="48" spans="1:16" x14ac:dyDescent="0.25">
      <c r="A48" s="6" t="s">
        <v>42</v>
      </c>
      <c r="B48" s="7" t="s">
        <v>119</v>
      </c>
    </row>
    <row r="49" spans="1:2" x14ac:dyDescent="0.25">
      <c r="A49" s="6" t="s">
        <v>43</v>
      </c>
      <c r="B49" s="7" t="s">
        <v>253</v>
      </c>
    </row>
    <row r="50" spans="1:2" x14ac:dyDescent="0.25">
      <c r="A50" s="6" t="s">
        <v>44</v>
      </c>
      <c r="B50" s="7" t="s">
        <v>1301</v>
      </c>
    </row>
    <row r="51" spans="1:2" x14ac:dyDescent="0.25">
      <c r="A51" s="8" t="s">
        <v>45</v>
      </c>
      <c r="B51" s="9" t="s">
        <v>53</v>
      </c>
    </row>
    <row r="52" spans="1:2" x14ac:dyDescent="0.25">
      <c r="A52" s="4" t="s">
        <v>65</v>
      </c>
      <c r="B52" s="5" t="s">
        <v>1458</v>
      </c>
    </row>
    <row r="53" spans="1:2" x14ac:dyDescent="0.25">
      <c r="A53" s="6" t="s">
        <v>46</v>
      </c>
      <c r="B53" s="7" t="s">
        <v>79</v>
      </c>
    </row>
    <row r="54" spans="1:2" x14ac:dyDescent="0.25">
      <c r="A54" s="6" t="s">
        <v>47</v>
      </c>
      <c r="B54" s="7" t="s">
        <v>121</v>
      </c>
    </row>
    <row r="55" spans="1:2" x14ac:dyDescent="0.25">
      <c r="A55" s="6" t="s">
        <v>48</v>
      </c>
      <c r="B55" s="7" t="s">
        <v>78</v>
      </c>
    </row>
    <row r="56" spans="1:2" x14ac:dyDescent="0.25">
      <c r="A56" s="6" t="s">
        <v>49</v>
      </c>
      <c r="B56" s="7" t="s">
        <v>118</v>
      </c>
    </row>
    <row r="57" spans="1:2" x14ac:dyDescent="0.25">
      <c r="A57" s="6" t="s">
        <v>50</v>
      </c>
      <c r="B57" s="7" t="s">
        <v>119</v>
      </c>
    </row>
    <row r="58" spans="1:2" x14ac:dyDescent="0.25">
      <c r="A58" s="6" t="s">
        <v>51</v>
      </c>
      <c r="B58" s="7" t="s">
        <v>51</v>
      </c>
    </row>
    <row r="59" spans="1:2" x14ac:dyDescent="0.25">
      <c r="A59" s="6" t="s">
        <v>52</v>
      </c>
      <c r="B59" s="7" t="s">
        <v>52</v>
      </c>
    </row>
    <row r="60" spans="1:2" x14ac:dyDescent="0.25">
      <c r="A60" s="8" t="s">
        <v>53</v>
      </c>
      <c r="B60" s="9" t="s">
        <v>53</v>
      </c>
    </row>
    <row r="61" spans="1:2" x14ac:dyDescent="0.25">
      <c r="A61" s="4" t="s">
        <v>66</v>
      </c>
      <c r="B61" s="5" t="s">
        <v>74</v>
      </c>
    </row>
    <row r="62" spans="1:2" x14ac:dyDescent="0.25">
      <c r="A62" s="6" t="s">
        <v>54</v>
      </c>
      <c r="B62" s="7" t="s">
        <v>54</v>
      </c>
    </row>
    <row r="63" spans="1:2" x14ac:dyDescent="0.25">
      <c r="A63" s="6" t="s">
        <v>55</v>
      </c>
      <c r="B63" s="7" t="s">
        <v>55</v>
      </c>
    </row>
    <row r="64" spans="1:2" x14ac:dyDescent="0.25">
      <c r="A64" s="6" t="s">
        <v>56</v>
      </c>
      <c r="B64" s="7" t="s">
        <v>56</v>
      </c>
    </row>
    <row r="65" spans="1:5" x14ac:dyDescent="0.25">
      <c r="A65" s="6" t="s">
        <v>57</v>
      </c>
      <c r="B65" s="7" t="s">
        <v>57</v>
      </c>
    </row>
    <row r="66" spans="1:5" x14ac:dyDescent="0.25">
      <c r="A66" s="6" t="s">
        <v>58</v>
      </c>
      <c r="B66" s="7" t="s">
        <v>58</v>
      </c>
    </row>
    <row r="67" spans="1:5" x14ac:dyDescent="0.25">
      <c r="A67" s="6" t="s">
        <v>59</v>
      </c>
      <c r="B67" s="7" t="s">
        <v>59</v>
      </c>
    </row>
    <row r="68" spans="1:5" x14ac:dyDescent="0.25">
      <c r="A68" s="6" t="s">
        <v>60</v>
      </c>
      <c r="B68" s="7" t="s">
        <v>60</v>
      </c>
    </row>
    <row r="69" spans="1:5" x14ac:dyDescent="0.25">
      <c r="A69" s="8" t="s">
        <v>61</v>
      </c>
      <c r="B69" s="9" t="s">
        <v>61</v>
      </c>
    </row>
    <row r="71" spans="1:5" s="63" customFormat="1" x14ac:dyDescent="0.25">
      <c r="C71" t="s">
        <v>134</v>
      </c>
      <c r="D71" t="s">
        <v>505</v>
      </c>
    </row>
    <row r="72" spans="1:5" x14ac:dyDescent="0.25">
      <c r="A72">
        <f ca="1">SUM(D73:D78)</f>
        <v>0</v>
      </c>
      <c r="B72" t="str">
        <f>M2S1</f>
        <v>Terms &amp; Conditions</v>
      </c>
      <c r="C72">
        <f ca="1">COUNT(C73:C78)</f>
        <v>5</v>
      </c>
      <c r="D72">
        <f ca="1">COUNT(D73:D78)</f>
        <v>4</v>
      </c>
    </row>
    <row r="73" spans="1:5" x14ac:dyDescent="0.25">
      <c r="A73" t="s">
        <v>516</v>
      </c>
      <c r="B73" t="s">
        <v>1070</v>
      </c>
      <c r="C73" s="64"/>
      <c r="D73" s="63"/>
    </row>
    <row r="74" spans="1:5" s="63" customFormat="1" x14ac:dyDescent="0.25">
      <c r="A74" s="63" t="s">
        <v>1071</v>
      </c>
      <c r="B74" s="63" t="str">
        <f ca="1">OFFSET(INDIRECT(A74),-1,0)</f>
        <v>Electronic Signature (Account Owner or Authorized Representative)*</v>
      </c>
      <c r="C74" s="63">
        <f ca="1">IF(INDIRECT($A74)="",0,1)</f>
        <v>0</v>
      </c>
      <c r="D74" s="63">
        <f ca="1">IF(INDIRECT($A74)="",0,1)</f>
        <v>0</v>
      </c>
      <c r="E74" s="63">
        <f t="shared" ref="E74:E78" ca="1" si="5">INDIRECT(A74)</f>
        <v>0</v>
      </c>
    </row>
    <row r="75" spans="1:5" s="63" customFormat="1" x14ac:dyDescent="0.25">
      <c r="A75" s="63" t="s">
        <v>1072</v>
      </c>
      <c r="B75" s="63" t="str">
        <f t="shared" ref="B75:B76" ca="1" si="6">OFFSET(INDIRECT(A75),-1,0)</f>
        <v>Signatory Title*</v>
      </c>
      <c r="C75" s="63">
        <f t="shared" ref="C75:D78" ca="1" si="7">IF(INDIRECT($A75)="",0,1)</f>
        <v>0</v>
      </c>
      <c r="D75" s="63">
        <f t="shared" ca="1" si="7"/>
        <v>0</v>
      </c>
      <c r="E75" s="63">
        <f t="shared" ca="1" si="5"/>
        <v>0</v>
      </c>
    </row>
    <row r="76" spans="1:5" s="63" customFormat="1" x14ac:dyDescent="0.25">
      <c r="A76" s="63" t="s">
        <v>1073</v>
      </c>
      <c r="B76" s="63" t="str">
        <f t="shared" ca="1" si="6"/>
        <v>Date Signed*</v>
      </c>
      <c r="C76" s="63">
        <f t="shared" ca="1" si="7"/>
        <v>0</v>
      </c>
      <c r="D76" s="63">
        <f t="shared" ca="1" si="7"/>
        <v>0</v>
      </c>
      <c r="E76" s="63">
        <f t="shared" ca="1" si="5"/>
        <v>0</v>
      </c>
    </row>
    <row r="77" spans="1:5" s="63" customFormat="1" x14ac:dyDescent="0.25">
      <c r="A77" s="63" t="s">
        <v>2376</v>
      </c>
      <c r="B77" s="63" t="str">
        <f ca="1">OFFSET(INDIRECT(A77),-2,0)</f>
        <v>How Did You Hear About the Program?*</v>
      </c>
      <c r="C77" s="63">
        <f t="shared" ca="1" si="7"/>
        <v>0</v>
      </c>
      <c r="D77" s="63">
        <f t="shared" ca="1" si="7"/>
        <v>0</v>
      </c>
      <c r="E77" s="63">
        <f t="shared" ca="1" si="5"/>
        <v>0</v>
      </c>
    </row>
    <row r="78" spans="1:5" s="63" customFormat="1" x14ac:dyDescent="0.25">
      <c r="A78" s="63" t="s">
        <v>2377</v>
      </c>
      <c r="B78" s="63" t="s">
        <v>2378</v>
      </c>
      <c r="C78" s="63">
        <f t="shared" ca="1" si="7"/>
        <v>0</v>
      </c>
      <c r="E78" s="63" t="str">
        <f t="shared" ca="1" si="5"/>
        <v/>
      </c>
    </row>
    <row r="80" spans="1:5" x14ac:dyDescent="0.25">
      <c r="C80" s="63" t="s">
        <v>134</v>
      </c>
      <c r="D80" s="63" t="s">
        <v>505</v>
      </c>
    </row>
    <row r="81" spans="1:5" x14ac:dyDescent="0.25">
      <c r="A81">
        <f ca="1">SUM(D82:D131)</f>
        <v>0</v>
      </c>
      <c r="B81" t="str">
        <f>M2S2</f>
        <v>Applicant and Site Information</v>
      </c>
      <c r="C81">
        <f ca="1">COUNT(C82:C131)</f>
        <v>46</v>
      </c>
      <c r="D81">
        <f ca="1">COUNT(D82:D131)</f>
        <v>32</v>
      </c>
    </row>
    <row r="82" spans="1:5" x14ac:dyDescent="0.25">
      <c r="A82" t="s">
        <v>258</v>
      </c>
      <c r="B82" t="str">
        <f ca="1">OFFSET(INDIRECT(A82),-1,0)</f>
        <v>Legal Company Name*</v>
      </c>
      <c r="C82">
        <f ca="1">IF(INDIRECT($A82)="",0,1)</f>
        <v>0</v>
      </c>
      <c r="D82">
        <f ca="1">IF(INDIRECT($A82)="",0,1)</f>
        <v>0</v>
      </c>
      <c r="E82">
        <f t="shared" ref="E82:E131" ca="1" si="8">INDIRECT(A82)</f>
        <v>0</v>
      </c>
    </row>
    <row r="83" spans="1:5" x14ac:dyDescent="0.25">
      <c r="A83" t="s">
        <v>271</v>
      </c>
      <c r="B83" t="str">
        <f t="shared" ref="B83:B152" ca="1" si="9">OFFSET(INDIRECT(A83),-1,0)</f>
        <v>First Name*</v>
      </c>
      <c r="C83">
        <f t="shared" ref="C83:D131" ca="1" si="10">IF(INDIRECT($A83)="",0,1)</f>
        <v>0</v>
      </c>
      <c r="D83">
        <f t="shared" ca="1" si="10"/>
        <v>0</v>
      </c>
      <c r="E83">
        <f t="shared" ca="1" si="8"/>
        <v>0</v>
      </c>
    </row>
    <row r="84" spans="1:5" x14ac:dyDescent="0.25">
      <c r="A84" t="s">
        <v>272</v>
      </c>
      <c r="B84" t="str">
        <f t="shared" ca="1" si="9"/>
        <v>Last Name*</v>
      </c>
      <c r="C84">
        <f t="shared" ca="1" si="10"/>
        <v>0</v>
      </c>
      <c r="D84">
        <f t="shared" ca="1" si="10"/>
        <v>0</v>
      </c>
      <c r="E84">
        <f t="shared" ca="1" si="8"/>
        <v>0</v>
      </c>
    </row>
    <row r="85" spans="1:5" x14ac:dyDescent="0.25">
      <c r="A85" t="s">
        <v>273</v>
      </c>
      <c r="B85" t="str">
        <f t="shared" ca="1" si="9"/>
        <v>Title*</v>
      </c>
      <c r="C85">
        <f t="shared" ca="1" si="10"/>
        <v>0</v>
      </c>
      <c r="D85">
        <f t="shared" ca="1" si="10"/>
        <v>0</v>
      </c>
      <c r="E85">
        <f t="shared" ca="1" si="8"/>
        <v>0</v>
      </c>
    </row>
    <row r="86" spans="1:5" x14ac:dyDescent="0.25">
      <c r="A86" t="s">
        <v>274</v>
      </c>
      <c r="B86" t="str">
        <f t="shared" ca="1" si="9"/>
        <v>Primary Phone*</v>
      </c>
      <c r="C86">
        <f t="shared" ca="1" si="10"/>
        <v>0</v>
      </c>
      <c r="D86">
        <f t="shared" ca="1" si="10"/>
        <v>0</v>
      </c>
      <c r="E86">
        <f t="shared" ca="1" si="8"/>
        <v>0</v>
      </c>
    </row>
    <row r="87" spans="1:5" x14ac:dyDescent="0.25">
      <c r="A87" t="s">
        <v>275</v>
      </c>
      <c r="B87" t="str">
        <f t="shared" ca="1" si="9"/>
        <v>Secondary Phone</v>
      </c>
      <c r="C87">
        <f t="shared" ca="1" si="10"/>
        <v>0</v>
      </c>
      <c r="E87">
        <f t="shared" ca="1" si="8"/>
        <v>0</v>
      </c>
    </row>
    <row r="88" spans="1:5" x14ac:dyDescent="0.25">
      <c r="A88" t="s">
        <v>276</v>
      </c>
      <c r="B88" t="str">
        <f t="shared" ca="1" si="9"/>
        <v>Email*</v>
      </c>
      <c r="C88">
        <f t="shared" ca="1" si="10"/>
        <v>0</v>
      </c>
      <c r="D88">
        <f t="shared" ca="1" si="10"/>
        <v>0</v>
      </c>
      <c r="E88">
        <f t="shared" ca="1" si="8"/>
        <v>0</v>
      </c>
    </row>
    <row r="89" spans="1:5" x14ac:dyDescent="0.25">
      <c r="A89" t="s">
        <v>277</v>
      </c>
      <c r="B89" t="str">
        <f t="shared" ca="1" si="9"/>
        <v>Company Address*</v>
      </c>
      <c r="C89">
        <f t="shared" ca="1" si="10"/>
        <v>0</v>
      </c>
      <c r="D89">
        <f t="shared" ca="1" si="10"/>
        <v>0</v>
      </c>
      <c r="E89">
        <f t="shared" ca="1" si="8"/>
        <v>0</v>
      </c>
    </row>
    <row r="90" spans="1:5" x14ac:dyDescent="0.25">
      <c r="A90" t="s">
        <v>278</v>
      </c>
      <c r="B90" t="str">
        <f t="shared" ca="1" si="9"/>
        <v>City*</v>
      </c>
      <c r="C90">
        <f t="shared" ca="1" si="10"/>
        <v>0</v>
      </c>
      <c r="D90">
        <f t="shared" ca="1" si="10"/>
        <v>0</v>
      </c>
      <c r="E90">
        <f t="shared" ca="1" si="8"/>
        <v>0</v>
      </c>
    </row>
    <row r="91" spans="1:5" x14ac:dyDescent="0.25">
      <c r="A91" t="s">
        <v>279</v>
      </c>
      <c r="B91" t="str">
        <f t="shared" ca="1" si="9"/>
        <v>State/ Province*</v>
      </c>
      <c r="C91">
        <f t="shared" ca="1" si="10"/>
        <v>0</v>
      </c>
      <c r="D91">
        <f t="shared" ca="1" si="10"/>
        <v>0</v>
      </c>
      <c r="E91">
        <f t="shared" ca="1" si="8"/>
        <v>0</v>
      </c>
    </row>
    <row r="92" spans="1:5" x14ac:dyDescent="0.25">
      <c r="A92" t="s">
        <v>280</v>
      </c>
      <c r="B92" t="str">
        <f t="shared" ca="1" si="9"/>
        <v>Zip/ Postal Code*</v>
      </c>
      <c r="C92">
        <f t="shared" ca="1" si="10"/>
        <v>0</v>
      </c>
      <c r="D92">
        <f t="shared" ca="1" si="10"/>
        <v>0</v>
      </c>
      <c r="E92">
        <f t="shared" ca="1" si="8"/>
        <v>0</v>
      </c>
    </row>
    <row r="93" spans="1:5" s="63" customFormat="1" x14ac:dyDescent="0.25">
      <c r="A93" s="63" t="s">
        <v>1053</v>
      </c>
      <c r="B93" s="63" t="str">
        <f t="shared" ca="1" si="9"/>
        <v>Diverse Business Type*</v>
      </c>
      <c r="C93" s="63">
        <f t="shared" ca="1" si="10"/>
        <v>0</v>
      </c>
      <c r="D93" s="63">
        <f t="shared" ca="1" si="10"/>
        <v>0</v>
      </c>
      <c r="E93" s="63">
        <f t="shared" ca="1" si="8"/>
        <v>0</v>
      </c>
    </row>
    <row r="94" spans="1:5" s="63" customFormat="1" x14ac:dyDescent="0.25">
      <c r="A94" s="63" t="s">
        <v>1054</v>
      </c>
      <c r="B94" s="63" t="str">
        <f t="shared" ca="1" si="9"/>
        <v>Issued Organization Type*</v>
      </c>
      <c r="C94" s="63">
        <f t="shared" ca="1" si="10"/>
        <v>0</v>
      </c>
      <c r="D94" s="63">
        <f ca="1">IF(M02S02F11.1="Not Applicable",1,IF(INDIRECT($A94)="",0,1))</f>
        <v>0</v>
      </c>
      <c r="E94" s="63">
        <f t="shared" ca="1" si="8"/>
        <v>0</v>
      </c>
    </row>
    <row r="95" spans="1:5" s="63" customFormat="1" x14ac:dyDescent="0.25">
      <c r="A95" s="63" t="s">
        <v>1055</v>
      </c>
      <c r="B95" s="63" t="str">
        <f t="shared" ca="1" si="9"/>
        <v>Certificate Number*</v>
      </c>
      <c r="C95" s="63">
        <f t="shared" ca="1" si="10"/>
        <v>0</v>
      </c>
      <c r="D95" s="63">
        <f ca="1">IF(M02S02F11.1="Not Applicable",1,IF(INDIRECT($A95)="",0,1))</f>
        <v>0</v>
      </c>
      <c r="E95" s="63">
        <f t="shared" ca="1" si="8"/>
        <v>0</v>
      </c>
    </row>
    <row r="96" spans="1:5" s="63" customFormat="1" x14ac:dyDescent="0.25">
      <c r="A96" s="63" t="s">
        <v>1056</v>
      </c>
      <c r="B96" s="63" t="str">
        <f t="shared" ca="1" si="9"/>
        <v>Certificate Issued Date*</v>
      </c>
      <c r="C96" s="63">
        <f t="shared" ca="1" si="10"/>
        <v>0</v>
      </c>
      <c r="D96" s="63">
        <f ca="1">IF(M02S02F11.1="Not Applicable",1,IF(INDIRECT($A96)="",0,1))</f>
        <v>0</v>
      </c>
      <c r="E96" s="63">
        <f t="shared" ca="1" si="8"/>
        <v>0</v>
      </c>
    </row>
    <row r="97" spans="1:5" s="63" customFormat="1" x14ac:dyDescent="0.25">
      <c r="A97" s="63" t="s">
        <v>1057</v>
      </c>
      <c r="B97" s="63" t="str">
        <f t="shared" ca="1" si="9"/>
        <v>Certificate Expiration Date*</v>
      </c>
      <c r="C97" s="63">
        <f t="shared" ca="1" si="10"/>
        <v>0</v>
      </c>
      <c r="D97" s="63">
        <f ca="1">IF(M02S02F11.1="Not Applicable",1,IF(INDIRECT($A97)="",0,1))</f>
        <v>0</v>
      </c>
      <c r="E97" s="63">
        <f t="shared" ca="1" si="8"/>
        <v>0</v>
      </c>
    </row>
    <row r="98" spans="1:5" x14ac:dyDescent="0.25">
      <c r="A98" t="s">
        <v>281</v>
      </c>
      <c r="B98" t="str">
        <f t="shared" ca="1" si="9"/>
        <v>Project Type*</v>
      </c>
      <c r="C98">
        <f t="shared" ca="1" si="10"/>
        <v>1</v>
      </c>
      <c r="D98" s="63"/>
      <c r="E98" t="str">
        <f t="shared" ca="1" si="8"/>
        <v>New Construction</v>
      </c>
    </row>
    <row r="99" spans="1:5" x14ac:dyDescent="0.25">
      <c r="A99" t="s">
        <v>282</v>
      </c>
      <c r="B99" t="str">
        <f t="shared" ca="1" si="9"/>
        <v>Project ID*</v>
      </c>
      <c r="C99">
        <f t="shared" ca="1" si="10"/>
        <v>0</v>
      </c>
      <c r="D99">
        <f t="shared" ca="1" si="10"/>
        <v>0</v>
      </c>
      <c r="E99">
        <f t="shared" ca="1" si="8"/>
        <v>0</v>
      </c>
    </row>
    <row r="100" spans="1:5" x14ac:dyDescent="0.25">
      <c r="A100" t="s">
        <v>283</v>
      </c>
      <c r="B100">
        <f ca="1">OFFSET(INDIRECT(A100),0,-9)</f>
        <v>0</v>
      </c>
      <c r="C100">
        <f t="shared" ca="1" si="10"/>
        <v>0</v>
      </c>
      <c r="E100">
        <f t="shared" ca="1" si="8"/>
        <v>0</v>
      </c>
    </row>
    <row r="101" spans="1:5" x14ac:dyDescent="0.25">
      <c r="A101" t="s">
        <v>284</v>
      </c>
      <c r="B101">
        <f ca="1">OFFSET(INDIRECT(A101),0,-9)</f>
        <v>0</v>
      </c>
      <c r="C101">
        <f t="shared" ca="1" si="10"/>
        <v>0</v>
      </c>
      <c r="E101">
        <f t="shared" ca="1" si="8"/>
        <v>0</v>
      </c>
    </row>
    <row r="102" spans="1:5" x14ac:dyDescent="0.25">
      <c r="A102" t="s">
        <v>285</v>
      </c>
      <c r="B102" t="str">
        <f t="shared" ca="1" si="9"/>
        <v>Construction Type*</v>
      </c>
      <c r="C102">
        <f t="shared" ca="1" si="10"/>
        <v>0</v>
      </c>
      <c r="D102">
        <f t="shared" ca="1" si="10"/>
        <v>0</v>
      </c>
      <c r="E102">
        <f t="shared" ca="1" si="8"/>
        <v>0</v>
      </c>
    </row>
    <row r="103" spans="1:5" x14ac:dyDescent="0.25">
      <c r="A103" t="s">
        <v>286</v>
      </c>
      <c r="B103" t="str">
        <f t="shared" ca="1" si="9"/>
        <v>Estimated Design Date*</v>
      </c>
      <c r="C103">
        <f t="shared" ca="1" si="10"/>
        <v>0</v>
      </c>
      <c r="D103">
        <f t="shared" ca="1" si="10"/>
        <v>0</v>
      </c>
      <c r="E103">
        <f t="shared" ca="1" si="8"/>
        <v>0</v>
      </c>
    </row>
    <row r="104" spans="1:5" x14ac:dyDescent="0.25">
      <c r="A104" t="s">
        <v>287</v>
      </c>
      <c r="B104" t="str">
        <f t="shared" ca="1" si="9"/>
        <v>Estimated Bid Date*</v>
      </c>
      <c r="C104">
        <f t="shared" ca="1" si="10"/>
        <v>0</v>
      </c>
      <c r="D104">
        <f t="shared" ca="1" si="10"/>
        <v>0</v>
      </c>
      <c r="E104">
        <f t="shared" ca="1" si="8"/>
        <v>0</v>
      </c>
    </row>
    <row r="105" spans="1:5" x14ac:dyDescent="0.25">
      <c r="A105" t="s">
        <v>288</v>
      </c>
      <c r="B105" t="str">
        <f t="shared" ca="1" si="9"/>
        <v>Est. Construction Start Date*</v>
      </c>
      <c r="C105">
        <f t="shared" ca="1" si="10"/>
        <v>0</v>
      </c>
      <c r="D105">
        <f t="shared" ca="1" si="10"/>
        <v>0</v>
      </c>
      <c r="E105">
        <f t="shared" ca="1" si="8"/>
        <v>0</v>
      </c>
    </row>
    <row r="106" spans="1:5" x14ac:dyDescent="0.25">
      <c r="A106" t="s">
        <v>289</v>
      </c>
      <c r="B106" t="str">
        <f t="shared" ca="1" si="9"/>
        <v>Est. Construction End Date*</v>
      </c>
      <c r="C106">
        <f t="shared" ca="1" si="10"/>
        <v>0</v>
      </c>
      <c r="D106" s="63">
        <f t="shared" ca="1" si="10"/>
        <v>0</v>
      </c>
      <c r="E106">
        <f t="shared" ca="1" si="8"/>
        <v>0</v>
      </c>
    </row>
    <row r="107" spans="1:5" x14ac:dyDescent="0.25">
      <c r="A107" t="s">
        <v>290</v>
      </c>
      <c r="B107" t="str">
        <f t="shared" ca="1" si="9"/>
        <v>Estimated Baseline*</v>
      </c>
      <c r="C107">
        <f t="shared" ca="1" si="10"/>
        <v>0</v>
      </c>
      <c r="D107">
        <f t="shared" ca="1" si="10"/>
        <v>0</v>
      </c>
      <c r="E107">
        <f t="shared" ca="1" si="8"/>
        <v>0</v>
      </c>
    </row>
    <row r="108" spans="1:5" x14ac:dyDescent="0.25">
      <c r="A108" t="s">
        <v>291</v>
      </c>
      <c r="B108" t="str">
        <f t="shared" ca="1" si="9"/>
        <v>Site Address*</v>
      </c>
      <c r="C108">
        <f t="shared" ca="1" si="10"/>
        <v>0</v>
      </c>
      <c r="D108">
        <f t="shared" ca="1" si="10"/>
        <v>0</v>
      </c>
      <c r="E108">
        <f t="shared" ca="1" si="8"/>
        <v>0</v>
      </c>
    </row>
    <row r="109" spans="1:5" x14ac:dyDescent="0.25">
      <c r="A109" t="s">
        <v>292</v>
      </c>
      <c r="B109" t="str">
        <f t="shared" ca="1" si="9"/>
        <v>City*</v>
      </c>
      <c r="C109">
        <f t="shared" ca="1" si="10"/>
        <v>0</v>
      </c>
      <c r="D109">
        <f t="shared" ca="1" si="10"/>
        <v>0</v>
      </c>
      <c r="E109">
        <f t="shared" ca="1" si="8"/>
        <v>0</v>
      </c>
    </row>
    <row r="110" spans="1:5" x14ac:dyDescent="0.25">
      <c r="A110" t="s">
        <v>293</v>
      </c>
      <c r="B110" t="str">
        <f t="shared" ca="1" si="9"/>
        <v>State*</v>
      </c>
      <c r="C110">
        <f t="shared" ca="1" si="10"/>
        <v>1</v>
      </c>
      <c r="E110" t="str">
        <f t="shared" ca="1" si="8"/>
        <v>MO</v>
      </c>
    </row>
    <row r="111" spans="1:5" x14ac:dyDescent="0.25">
      <c r="A111" t="s">
        <v>294</v>
      </c>
      <c r="B111" t="str">
        <f t="shared" ca="1" si="9"/>
        <v>Zip Code*</v>
      </c>
      <c r="C111">
        <f t="shared" ca="1" si="10"/>
        <v>0</v>
      </c>
      <c r="D111">
        <f t="shared" ca="1" si="10"/>
        <v>0</v>
      </c>
      <c r="E111">
        <f t="shared" ca="1" si="8"/>
        <v>0</v>
      </c>
    </row>
    <row r="112" spans="1:5" x14ac:dyDescent="0.25">
      <c r="A112" t="s">
        <v>295</v>
      </c>
      <c r="B112" t="str">
        <f t="shared" ca="1" si="9"/>
        <v>Building Type*</v>
      </c>
      <c r="C112">
        <f t="shared" ca="1" si="10"/>
        <v>0</v>
      </c>
      <c r="D112">
        <f t="shared" ca="1" si="10"/>
        <v>0</v>
      </c>
      <c r="E112">
        <f t="shared" ca="1" si="8"/>
        <v>0</v>
      </c>
    </row>
    <row r="113" spans="1:5" x14ac:dyDescent="0.25">
      <c r="A113" t="s">
        <v>296</v>
      </c>
      <c r="B113" t="str">
        <f t="shared" ca="1" si="9"/>
        <v>Building Ownership*</v>
      </c>
      <c r="C113">
        <f t="shared" ca="1" si="10"/>
        <v>0</v>
      </c>
      <c r="D113">
        <f t="shared" ca="1" si="10"/>
        <v>0</v>
      </c>
      <c r="E113">
        <f t="shared" ca="1" si="8"/>
        <v>0</v>
      </c>
    </row>
    <row r="114" spans="1:5" x14ac:dyDescent="0.25">
      <c r="A114" t="s">
        <v>297</v>
      </c>
      <c r="B114" t="str">
        <f t="shared" ca="1" si="9"/>
        <v>Annual Operating Hours*</v>
      </c>
      <c r="C114">
        <f t="shared" ca="1" si="10"/>
        <v>0</v>
      </c>
      <c r="D114">
        <f t="shared" ca="1" si="10"/>
        <v>0</v>
      </c>
      <c r="E114">
        <f t="shared" ca="1" si="8"/>
        <v>0</v>
      </c>
    </row>
    <row r="115" spans="1:5" x14ac:dyDescent="0.25">
      <c r="A115" t="s">
        <v>298</v>
      </c>
      <c r="B115" t="str">
        <f t="shared" ca="1" si="9"/>
        <v>Planned Square Footage*</v>
      </c>
      <c r="C115">
        <f t="shared" ca="1" si="10"/>
        <v>0</v>
      </c>
      <c r="D115" s="63">
        <f t="shared" ca="1" si="10"/>
        <v>0</v>
      </c>
      <c r="E115">
        <f t="shared" ca="1" si="8"/>
        <v>0</v>
      </c>
    </row>
    <row r="116" spans="1:5" x14ac:dyDescent="0.25">
      <c r="A116" t="s">
        <v>299</v>
      </c>
      <c r="B116" t="str">
        <f t="shared" ca="1" si="9"/>
        <v># of Floors</v>
      </c>
      <c r="C116">
        <f t="shared" ca="1" si="10"/>
        <v>0</v>
      </c>
      <c r="E116">
        <f t="shared" ca="1" si="8"/>
        <v>0</v>
      </c>
    </row>
    <row r="117" spans="1:5" x14ac:dyDescent="0.25">
      <c r="A117" t="s">
        <v>300</v>
      </c>
      <c r="B117">
        <f t="shared" ca="1" si="9"/>
        <v>0</v>
      </c>
      <c r="C117">
        <f t="shared" ca="1" si="10"/>
        <v>0</v>
      </c>
      <c r="E117">
        <f t="shared" ca="1" si="8"/>
        <v>0</v>
      </c>
    </row>
    <row r="118" spans="1:5" x14ac:dyDescent="0.25">
      <c r="A118" t="s">
        <v>301</v>
      </c>
      <c r="B118" t="str">
        <f t="shared" ca="1" si="9"/>
        <v>Space Conditioning Type*</v>
      </c>
      <c r="C118">
        <f t="shared" ca="1" si="10"/>
        <v>0</v>
      </c>
      <c r="D118">
        <f t="shared" ca="1" si="10"/>
        <v>0</v>
      </c>
      <c r="E118">
        <f t="shared" ca="1" si="8"/>
        <v>0</v>
      </c>
    </row>
    <row r="119" spans="1:5" x14ac:dyDescent="0.25">
      <c r="A119" t="s">
        <v>302</v>
      </c>
      <c r="B119" t="str">
        <f t="shared" ca="1" si="9"/>
        <v>Water Heating Type*</v>
      </c>
      <c r="C119">
        <f t="shared" ca="1" si="10"/>
        <v>0</v>
      </c>
      <c r="D119">
        <f t="shared" ca="1" si="10"/>
        <v>0</v>
      </c>
      <c r="E119">
        <f t="shared" ca="1" si="8"/>
        <v>0</v>
      </c>
    </row>
    <row r="120" spans="1:5" x14ac:dyDescent="0.25">
      <c r="A120" t="s">
        <v>303</v>
      </c>
      <c r="B120" t="str">
        <f t="shared" ca="1" si="9"/>
        <v>Site Name</v>
      </c>
      <c r="C120" s="63">
        <f t="shared" ca="1" si="10"/>
        <v>0</v>
      </c>
      <c r="D120" s="63"/>
      <c r="E120">
        <f t="shared" ca="1" si="8"/>
        <v>0</v>
      </c>
    </row>
    <row r="121" spans="1:5" x14ac:dyDescent="0.25">
      <c r="A121" t="s">
        <v>304</v>
      </c>
      <c r="B121" t="str">
        <f t="shared" ca="1" si="9"/>
        <v>Electric Utility Rate* ($/kWh)</v>
      </c>
      <c r="C121">
        <f t="shared" ca="1" si="10"/>
        <v>0</v>
      </c>
      <c r="E121" t="str">
        <f t="shared" ca="1" si="8"/>
        <v/>
      </c>
    </row>
    <row r="122" spans="1:5" x14ac:dyDescent="0.25">
      <c r="A122" t="s">
        <v>305</v>
      </c>
      <c r="B122" t="str">
        <f t="shared" ca="1" si="9"/>
        <v>Rate Class*</v>
      </c>
      <c r="C122">
        <f t="shared" ca="1" si="10"/>
        <v>0</v>
      </c>
      <c r="D122" s="63"/>
      <c r="E122">
        <f t="shared" ca="1" si="8"/>
        <v>0</v>
      </c>
    </row>
    <row r="123" spans="1:5" x14ac:dyDescent="0.25">
      <c r="A123" t="s">
        <v>306</v>
      </c>
      <c r="B123" t="str">
        <f t="shared" ca="1" si="9"/>
        <v>Account Number 1</v>
      </c>
      <c r="C123">
        <f ca="1">IF(OR(INDIRECT($A123)&lt;&gt;"",INDIRECT($A124)&lt;&gt;"",INDIRECT($A125)&lt;&gt;"",INDIRECT($A126)&lt;&gt;""),1,0)</f>
        <v>0</v>
      </c>
      <c r="E123">
        <f t="shared" ca="1" si="8"/>
        <v>0</v>
      </c>
    </row>
    <row r="124" spans="1:5" x14ac:dyDescent="0.25">
      <c r="A124" t="s">
        <v>307</v>
      </c>
      <c r="B124" t="str">
        <f t="shared" ca="1" si="9"/>
        <v>Account Number 2</v>
      </c>
      <c r="C124">
        <f t="shared" ca="1" si="10"/>
        <v>0</v>
      </c>
      <c r="E124">
        <f t="shared" ca="1" si="8"/>
        <v>0</v>
      </c>
    </row>
    <row r="125" spans="1:5" x14ac:dyDescent="0.25">
      <c r="A125" t="s">
        <v>308</v>
      </c>
      <c r="B125" t="str">
        <f t="shared" ca="1" si="9"/>
        <v>Account Number 3</v>
      </c>
      <c r="C125">
        <f t="shared" ca="1" si="10"/>
        <v>0</v>
      </c>
      <c r="E125">
        <f t="shared" ca="1" si="8"/>
        <v>0</v>
      </c>
    </row>
    <row r="126" spans="1:5" x14ac:dyDescent="0.25">
      <c r="A126" t="s">
        <v>309</v>
      </c>
      <c r="B126" t="str">
        <f t="shared" ca="1" si="9"/>
        <v>Account Number 4</v>
      </c>
      <c r="C126">
        <f t="shared" ca="1" si="10"/>
        <v>0</v>
      </c>
      <c r="E126">
        <f t="shared" ca="1" si="8"/>
        <v>0</v>
      </c>
    </row>
    <row r="127" spans="1:5" x14ac:dyDescent="0.25">
      <c r="A127" t="s">
        <v>310</v>
      </c>
    </row>
    <row r="128" spans="1:5" x14ac:dyDescent="0.25">
      <c r="A128" t="s">
        <v>311</v>
      </c>
      <c r="B128" t="s">
        <v>1070</v>
      </c>
    </row>
    <row r="129" spans="1:5" x14ac:dyDescent="0.25">
      <c r="A129" t="s">
        <v>312</v>
      </c>
      <c r="B129" s="63" t="s">
        <v>1070</v>
      </c>
    </row>
    <row r="130" spans="1:5" x14ac:dyDescent="0.25">
      <c r="A130" t="s">
        <v>313</v>
      </c>
      <c r="B130" s="63" t="s">
        <v>1070</v>
      </c>
    </row>
    <row r="131" spans="1:5" x14ac:dyDescent="0.25">
      <c r="A131" t="s">
        <v>314</v>
      </c>
      <c r="B131" t="str">
        <f t="shared" ca="1" si="9"/>
        <v>Project Summary*</v>
      </c>
      <c r="C131">
        <f t="shared" ca="1" si="10"/>
        <v>0</v>
      </c>
      <c r="D131">
        <f t="shared" ca="1" si="10"/>
        <v>0</v>
      </c>
      <c r="E131">
        <f t="shared" ca="1" si="8"/>
        <v>0</v>
      </c>
    </row>
    <row r="134" spans="1:5" x14ac:dyDescent="0.25">
      <c r="C134" s="63" t="s">
        <v>134</v>
      </c>
      <c r="D134" s="63" t="s">
        <v>505</v>
      </c>
    </row>
    <row r="135" spans="1:5" x14ac:dyDescent="0.25">
      <c r="A135">
        <f ca="1">SUM(D136:D152)</f>
        <v>0</v>
      </c>
      <c r="B135" t="str">
        <f>M2S3</f>
        <v>Design Team Information</v>
      </c>
      <c r="C135">
        <f ca="1">COUNT(C136:C152)</f>
        <v>17</v>
      </c>
      <c r="D135">
        <f ca="1">COUNT(D136:D152)</f>
        <v>16</v>
      </c>
    </row>
    <row r="136" spans="1:5" x14ac:dyDescent="0.25">
      <c r="A136" t="s">
        <v>270</v>
      </c>
      <c r="B136" s="63" t="str">
        <f t="shared" ca="1" si="9"/>
        <v>Do you have a Primary Contractor or Trade Ally?*</v>
      </c>
      <c r="C136">
        <f t="shared" ref="C136:D152" ca="1" si="11">IF(INDIRECT($A136)="",0,1)</f>
        <v>0</v>
      </c>
      <c r="D136">
        <f t="shared" ca="1" si="11"/>
        <v>0</v>
      </c>
      <c r="E136">
        <f t="shared" ref="E136:E152" ca="1" si="12">INDIRECT(A136)</f>
        <v>0</v>
      </c>
    </row>
    <row r="137" spans="1:5" x14ac:dyDescent="0.25">
      <c r="A137" t="s">
        <v>315</v>
      </c>
      <c r="B137" t="str">
        <f t="shared" ca="1" si="9"/>
        <v>Company Name*</v>
      </c>
      <c r="C137">
        <f t="shared" ca="1" si="11"/>
        <v>0</v>
      </c>
      <c r="D137">
        <f ca="1">IF(M02S03F01="No",1,IF(INDIRECT($A137)="",0,1))</f>
        <v>0</v>
      </c>
      <c r="E137">
        <f t="shared" ca="1" si="12"/>
        <v>0</v>
      </c>
    </row>
    <row r="138" spans="1:5" x14ac:dyDescent="0.25">
      <c r="A138" t="s">
        <v>316</v>
      </c>
      <c r="B138" t="str">
        <f t="shared" ca="1" si="9"/>
        <v>Contact First Name*</v>
      </c>
      <c r="C138">
        <f t="shared" ca="1" si="11"/>
        <v>0</v>
      </c>
      <c r="D138" s="63">
        <f ca="1">IF(M02S03F01="No",1,IF(INDIRECT($A138)="",0,1))</f>
        <v>0</v>
      </c>
      <c r="E138">
        <f t="shared" ca="1" si="12"/>
        <v>0</v>
      </c>
    </row>
    <row r="139" spans="1:5" x14ac:dyDescent="0.25">
      <c r="A139" t="s">
        <v>317</v>
      </c>
      <c r="B139" t="str">
        <f t="shared" ca="1" si="9"/>
        <v>Contact Last Name*</v>
      </c>
      <c r="C139">
        <f t="shared" ca="1" si="11"/>
        <v>0</v>
      </c>
      <c r="D139" s="63">
        <f ca="1">IF(M02S03F01="No",1,IF(INDIRECT($A139)="",0,1))</f>
        <v>0</v>
      </c>
      <c r="E139">
        <f t="shared" ca="1" si="12"/>
        <v>0</v>
      </c>
    </row>
    <row r="140" spans="1:5" x14ac:dyDescent="0.25">
      <c r="A140" t="s">
        <v>318</v>
      </c>
      <c r="B140" t="str">
        <f t="shared" ca="1" si="9"/>
        <v>Title*</v>
      </c>
      <c r="C140">
        <f t="shared" ca="1" si="11"/>
        <v>0</v>
      </c>
      <c r="D140" s="63">
        <f ca="1">IF(M02S03F01="No",1,IF(INDIRECT($A140)="",0,1))</f>
        <v>0</v>
      </c>
      <c r="E140">
        <f t="shared" ca="1" si="12"/>
        <v>0</v>
      </c>
    </row>
    <row r="141" spans="1:5" x14ac:dyDescent="0.25">
      <c r="A141" t="s">
        <v>319</v>
      </c>
      <c r="B141" t="str">
        <f t="shared" ca="1" si="9"/>
        <v>Primary Phone*</v>
      </c>
      <c r="C141">
        <f t="shared" ca="1" si="11"/>
        <v>0</v>
      </c>
      <c r="D141" s="63">
        <f ca="1">IF(M02S03F01="No",1,IF(INDIRECT($A141)="",0,1))</f>
        <v>0</v>
      </c>
      <c r="E141">
        <f t="shared" ca="1" si="12"/>
        <v>0</v>
      </c>
    </row>
    <row r="142" spans="1:5" x14ac:dyDescent="0.25">
      <c r="A142" t="s">
        <v>320</v>
      </c>
      <c r="B142" t="str">
        <f t="shared" ca="1" si="9"/>
        <v>Secondary Phone</v>
      </c>
      <c r="C142">
        <f t="shared" ca="1" si="11"/>
        <v>0</v>
      </c>
      <c r="D142" s="63"/>
      <c r="E142">
        <f t="shared" ca="1" si="12"/>
        <v>0</v>
      </c>
    </row>
    <row r="143" spans="1:5" x14ac:dyDescent="0.25">
      <c r="A143" t="s">
        <v>321</v>
      </c>
      <c r="B143" t="str">
        <f t="shared" ca="1" si="9"/>
        <v>Email*</v>
      </c>
      <c r="C143">
        <f t="shared" ca="1" si="11"/>
        <v>0</v>
      </c>
      <c r="D143" s="63">
        <f t="shared" ref="D143:D148" ca="1" si="13">IF(M02S03F01="No",1,IF(INDIRECT($A143)="",0,1))</f>
        <v>0</v>
      </c>
      <c r="E143">
        <f t="shared" ca="1" si="12"/>
        <v>0</v>
      </c>
    </row>
    <row r="144" spans="1:5" x14ac:dyDescent="0.25">
      <c r="A144" t="s">
        <v>322</v>
      </c>
      <c r="B144" t="str">
        <f t="shared" ca="1" si="9"/>
        <v>Mailing Address*</v>
      </c>
      <c r="C144">
        <f t="shared" ca="1" si="11"/>
        <v>0</v>
      </c>
      <c r="D144" s="63">
        <f t="shared" ca="1" si="13"/>
        <v>0</v>
      </c>
      <c r="E144">
        <f t="shared" ca="1" si="12"/>
        <v>0</v>
      </c>
    </row>
    <row r="145" spans="1:5" x14ac:dyDescent="0.25">
      <c r="A145" t="s">
        <v>323</v>
      </c>
      <c r="B145" t="str">
        <f t="shared" ca="1" si="9"/>
        <v>City*</v>
      </c>
      <c r="C145">
        <f t="shared" ca="1" si="11"/>
        <v>0</v>
      </c>
      <c r="D145" s="63">
        <f t="shared" ca="1" si="13"/>
        <v>0</v>
      </c>
      <c r="E145">
        <f t="shared" ca="1" si="12"/>
        <v>0</v>
      </c>
    </row>
    <row r="146" spans="1:5" x14ac:dyDescent="0.25">
      <c r="A146" t="s">
        <v>324</v>
      </c>
      <c r="B146" t="str">
        <f t="shared" ca="1" si="9"/>
        <v>State/ Province*</v>
      </c>
      <c r="C146">
        <f t="shared" ca="1" si="11"/>
        <v>0</v>
      </c>
      <c r="D146" s="63">
        <f t="shared" ca="1" si="13"/>
        <v>0</v>
      </c>
      <c r="E146">
        <f t="shared" ca="1" si="12"/>
        <v>0</v>
      </c>
    </row>
    <row r="147" spans="1:5" x14ac:dyDescent="0.25">
      <c r="A147" t="s">
        <v>325</v>
      </c>
      <c r="B147" t="str">
        <f t="shared" ca="1" si="9"/>
        <v>Zip/ Postal Code*</v>
      </c>
      <c r="C147">
        <f t="shared" ca="1" si="11"/>
        <v>0</v>
      </c>
      <c r="D147" s="63">
        <f t="shared" ca="1" si="13"/>
        <v>0</v>
      </c>
      <c r="E147">
        <f t="shared" ca="1" si="12"/>
        <v>0</v>
      </c>
    </row>
    <row r="148" spans="1:5" x14ac:dyDescent="0.25">
      <c r="A148" t="s">
        <v>500</v>
      </c>
      <c r="B148" t="str">
        <f t="shared" ca="1" si="9"/>
        <v>Diverse Business Type*</v>
      </c>
      <c r="C148">
        <f t="shared" ca="1" si="11"/>
        <v>0</v>
      </c>
      <c r="D148" s="63">
        <f t="shared" ca="1" si="13"/>
        <v>0</v>
      </c>
      <c r="E148">
        <f t="shared" ca="1" si="12"/>
        <v>0</v>
      </c>
    </row>
    <row r="149" spans="1:5" x14ac:dyDescent="0.25">
      <c r="A149" t="s">
        <v>501</v>
      </c>
      <c r="B149" t="str">
        <f t="shared" ca="1" si="9"/>
        <v>Issued Organization Type*</v>
      </c>
      <c r="C149">
        <f t="shared" ca="1" si="11"/>
        <v>0</v>
      </c>
      <c r="D149">
        <f ca="1">IF(M02S03F01="No",1,IF(M02S03F13="Not Applicable",1,IF(INDIRECT($A149)="",0,1)))</f>
        <v>0</v>
      </c>
      <c r="E149">
        <f t="shared" ca="1" si="12"/>
        <v>0</v>
      </c>
    </row>
    <row r="150" spans="1:5" x14ac:dyDescent="0.25">
      <c r="A150" t="s">
        <v>502</v>
      </c>
      <c r="B150" t="str">
        <f t="shared" ca="1" si="9"/>
        <v>Certificate Number*</v>
      </c>
      <c r="C150">
        <f t="shared" ca="1" si="11"/>
        <v>0</v>
      </c>
      <c r="D150" s="63">
        <f ca="1">IF(M02S03F01="No",1,IF(M02S03F13="Not Applicable",1,IF(INDIRECT($A150)="",0,1)))</f>
        <v>0</v>
      </c>
      <c r="E150">
        <f t="shared" ca="1" si="12"/>
        <v>0</v>
      </c>
    </row>
    <row r="151" spans="1:5" x14ac:dyDescent="0.25">
      <c r="A151" t="s">
        <v>503</v>
      </c>
      <c r="B151" t="str">
        <f t="shared" ca="1" si="9"/>
        <v>Certificate Issued Date*</v>
      </c>
      <c r="C151">
        <f t="shared" ca="1" si="11"/>
        <v>0</v>
      </c>
      <c r="D151" s="63">
        <f ca="1">IF(M02S03F01="No",1,IF(M02S03F13="Not Applicable",1,IF(INDIRECT($A151)="",0,1)))</f>
        <v>0</v>
      </c>
      <c r="E151">
        <f t="shared" ca="1" si="12"/>
        <v>0</v>
      </c>
    </row>
    <row r="152" spans="1:5" x14ac:dyDescent="0.25">
      <c r="A152" t="s">
        <v>504</v>
      </c>
      <c r="B152" t="str">
        <f t="shared" ca="1" si="9"/>
        <v>Certificate Expiration Date*</v>
      </c>
      <c r="C152">
        <f t="shared" ca="1" si="11"/>
        <v>0</v>
      </c>
      <c r="D152" s="63">
        <f ca="1">IF(M02S03F01="No",1,IF(M02S03F13="Not Applicable",1,IF(INDIRECT($A152)="",0,1)))</f>
        <v>0</v>
      </c>
      <c r="E152">
        <f t="shared" ca="1" si="12"/>
        <v>0</v>
      </c>
    </row>
    <row r="154" spans="1:5" x14ac:dyDescent="0.25">
      <c r="C154" s="63" t="s">
        <v>134</v>
      </c>
      <c r="D154" s="63" t="s">
        <v>505</v>
      </c>
    </row>
    <row r="155" spans="1:5" x14ac:dyDescent="0.25">
      <c r="A155" s="63">
        <f>SUM(D156:D170)</f>
        <v>0</v>
      </c>
      <c r="B155" s="63" t="str">
        <f>M5S3</f>
        <v>Payment Info and Submittals</v>
      </c>
      <c r="C155" s="63">
        <f ca="1">COUNT(C156:C170)</f>
        <v>14</v>
      </c>
      <c r="D155" s="63">
        <v>0</v>
      </c>
      <c r="E155" s="63"/>
    </row>
    <row r="156" spans="1:5" x14ac:dyDescent="0.25">
      <c r="A156" s="63" t="s">
        <v>326</v>
      </c>
      <c r="B156" s="63" t="str">
        <f ca="1">OFFSET(INDIRECT(A156),0,-7)</f>
        <v>Payment Type*</v>
      </c>
      <c r="C156" s="63">
        <f t="shared" ref="C156:C169" ca="1" si="14">IF(INDIRECT($A156)="",0,1)</f>
        <v>0</v>
      </c>
      <c r="D156" s="63"/>
      <c r="E156" s="63">
        <f t="shared" ref="E156:E169" ca="1" si="15">INDIRECT(A156)</f>
        <v>0</v>
      </c>
    </row>
    <row r="157" spans="1:5" x14ac:dyDescent="0.25">
      <c r="A157" s="63" t="s">
        <v>327</v>
      </c>
      <c r="B157" s="63" t="str">
        <f t="shared" ref="B157:B168" ca="1" si="16">OFFSET(INDIRECT(A157),-1,0)</f>
        <v>Payee Company Name*</v>
      </c>
      <c r="C157" s="63">
        <f t="shared" ca="1" si="14"/>
        <v>0</v>
      </c>
      <c r="D157" s="63"/>
      <c r="E157" s="63" t="str">
        <f t="shared" ca="1" si="15"/>
        <v/>
      </c>
    </row>
    <row r="158" spans="1:5" x14ac:dyDescent="0.25">
      <c r="A158" s="63" t="s">
        <v>328</v>
      </c>
      <c r="B158" s="63" t="str">
        <f t="shared" ca="1" si="16"/>
        <v>Payee First Name*</v>
      </c>
      <c r="C158" s="63">
        <f t="shared" ca="1" si="14"/>
        <v>0</v>
      </c>
      <c r="D158" s="63"/>
      <c r="E158" s="63" t="str">
        <f t="shared" ca="1" si="15"/>
        <v/>
      </c>
    </row>
    <row r="159" spans="1:5" x14ac:dyDescent="0.25">
      <c r="A159" s="63" t="s">
        <v>329</v>
      </c>
      <c r="B159" s="63" t="str">
        <f t="shared" ca="1" si="16"/>
        <v>Payee Last Name*</v>
      </c>
      <c r="C159" s="63">
        <f t="shared" ca="1" si="14"/>
        <v>0</v>
      </c>
      <c r="D159" s="63"/>
      <c r="E159" s="63" t="str">
        <f t="shared" ca="1" si="15"/>
        <v/>
      </c>
    </row>
    <row r="160" spans="1:5" x14ac:dyDescent="0.25">
      <c r="A160" s="63" t="s">
        <v>330</v>
      </c>
      <c r="B160" s="63" t="str">
        <f t="shared" ca="1" si="16"/>
        <v>Phone Number*</v>
      </c>
      <c r="C160" s="63">
        <f t="shared" ca="1" si="14"/>
        <v>0</v>
      </c>
      <c r="D160" s="63"/>
      <c r="E160" s="63" t="str">
        <f t="shared" ca="1" si="15"/>
        <v/>
      </c>
    </row>
    <row r="161" spans="1:5" x14ac:dyDescent="0.25">
      <c r="A161" s="63" t="s">
        <v>331</v>
      </c>
      <c r="B161" s="63" t="str">
        <f t="shared" ca="1" si="16"/>
        <v>Email*</v>
      </c>
      <c r="C161" s="63">
        <f t="shared" ca="1" si="14"/>
        <v>0</v>
      </c>
      <c r="D161" s="63"/>
      <c r="E161" s="63" t="str">
        <f t="shared" ca="1" si="15"/>
        <v/>
      </c>
    </row>
    <row r="162" spans="1:5" s="63" customFormat="1" x14ac:dyDescent="0.25">
      <c r="A162" s="63" t="s">
        <v>1339</v>
      </c>
      <c r="B162" s="63" t="str">
        <f t="shared" ca="1" si="16"/>
        <v>Bill Credit Account*</v>
      </c>
      <c r="C162" s="63">
        <f t="shared" ca="1" si="14"/>
        <v>0</v>
      </c>
      <c r="E162" s="63" t="str">
        <f t="shared" ca="1" si="15"/>
        <v/>
      </c>
    </row>
    <row r="163" spans="1:5" x14ac:dyDescent="0.25">
      <c r="A163" s="63" t="s">
        <v>332</v>
      </c>
      <c r="B163" s="63" t="str">
        <f t="shared" ca="1" si="16"/>
        <v>Mailing Address*</v>
      </c>
      <c r="C163" s="63">
        <f t="shared" ca="1" si="14"/>
        <v>0</v>
      </c>
      <c r="D163" s="63"/>
      <c r="E163" s="63" t="str">
        <f t="shared" ca="1" si="15"/>
        <v/>
      </c>
    </row>
    <row r="164" spans="1:5" x14ac:dyDescent="0.25">
      <c r="A164" s="63" t="s">
        <v>333</v>
      </c>
      <c r="B164" s="63" t="str">
        <f t="shared" ca="1" si="16"/>
        <v>City*</v>
      </c>
      <c r="C164" s="63">
        <f t="shared" ca="1" si="14"/>
        <v>0</v>
      </c>
      <c r="D164" s="63"/>
      <c r="E164" s="63" t="str">
        <f t="shared" ca="1" si="15"/>
        <v/>
      </c>
    </row>
    <row r="165" spans="1:5" x14ac:dyDescent="0.25">
      <c r="A165" s="63" t="s">
        <v>334</v>
      </c>
      <c r="B165" s="63" t="str">
        <f t="shared" ca="1" si="16"/>
        <v>State*</v>
      </c>
      <c r="C165" s="63">
        <f t="shared" ca="1" si="14"/>
        <v>0</v>
      </c>
      <c r="D165" s="63"/>
      <c r="E165" s="63" t="str">
        <f t="shared" ca="1" si="15"/>
        <v/>
      </c>
    </row>
    <row r="166" spans="1:5" x14ac:dyDescent="0.25">
      <c r="A166" s="63" t="s">
        <v>335</v>
      </c>
      <c r="B166" s="63" t="str">
        <f t="shared" ca="1" si="16"/>
        <v>Zip Code*</v>
      </c>
      <c r="C166" s="63">
        <f t="shared" ca="1" si="14"/>
        <v>0</v>
      </c>
      <c r="D166" s="63"/>
      <c r="E166" s="63" t="str">
        <f t="shared" ca="1" si="15"/>
        <v/>
      </c>
    </row>
    <row r="167" spans="1:5" x14ac:dyDescent="0.25">
      <c r="A167" s="63" t="s">
        <v>336</v>
      </c>
      <c r="B167" s="63" t="str">
        <f t="shared" ca="1" si="16"/>
        <v>Tax Entity*</v>
      </c>
      <c r="C167" s="63">
        <f t="shared" ca="1" si="14"/>
        <v>0</v>
      </c>
      <c r="D167" s="63"/>
      <c r="E167" s="63">
        <f t="shared" ca="1" si="15"/>
        <v>0</v>
      </c>
    </row>
    <row r="168" spans="1:5" x14ac:dyDescent="0.25">
      <c r="A168" s="63" t="s">
        <v>337</v>
      </c>
      <c r="B168" s="63" t="str">
        <f t="shared" ca="1" si="16"/>
        <v>Federal Tax ID Number*</v>
      </c>
      <c r="C168" s="63">
        <f t="shared" ca="1" si="14"/>
        <v>0</v>
      </c>
      <c r="D168" s="63"/>
      <c r="E168" s="63">
        <f t="shared" ca="1" si="15"/>
        <v>0</v>
      </c>
    </row>
    <row r="169" spans="1:5" x14ac:dyDescent="0.25">
      <c r="A169" s="63" t="s">
        <v>474</v>
      </c>
      <c r="B169" s="63" t="str">
        <f ca="1">OFFSET(INDIRECT(A168),-1,0)</f>
        <v>Federal Tax ID Number*</v>
      </c>
      <c r="C169" s="63">
        <f t="shared" ca="1" si="14"/>
        <v>0</v>
      </c>
      <c r="D169" s="63"/>
      <c r="E169" s="63">
        <f t="shared" ca="1" si="15"/>
        <v>0</v>
      </c>
    </row>
    <row r="170" spans="1:5" x14ac:dyDescent="0.25">
      <c r="A170" t="s">
        <v>515</v>
      </c>
      <c r="B170" t="s">
        <v>517</v>
      </c>
      <c r="C170" s="64" t="b">
        <v>0</v>
      </c>
      <c r="D170" s="63"/>
    </row>
    <row r="173" spans="1:5" x14ac:dyDescent="0.25">
      <c r="C173" s="63" t="s">
        <v>134</v>
      </c>
      <c r="D173" s="63" t="s">
        <v>505</v>
      </c>
    </row>
    <row r="174" spans="1:5" x14ac:dyDescent="0.25">
      <c r="A174">
        <f>IF(MSI20225="Retro-Commissioning",COUNT(D175:D178),SUM(D175:D178))</f>
        <v>0</v>
      </c>
      <c r="B174" t="s">
        <v>506</v>
      </c>
      <c r="C174">
        <f>COUNT(C175:C178)</f>
        <v>2</v>
      </c>
      <c r="D174">
        <f>COUNT(D175:D178)</f>
        <v>2</v>
      </c>
    </row>
    <row r="175" spans="1:5" x14ac:dyDescent="0.25">
      <c r="A175" t="s">
        <v>507</v>
      </c>
      <c r="B175" t="s">
        <v>263</v>
      </c>
      <c r="C175">
        <f>IF(SUM(J26:J30)&gt;0,1,0)</f>
        <v>0</v>
      </c>
      <c r="D175">
        <f>IF(INCENTOTAL&gt;0,1,0)</f>
        <v>0</v>
      </c>
    </row>
    <row r="176" spans="1:5" x14ac:dyDescent="0.25">
      <c r="A176" t="s">
        <v>508</v>
      </c>
      <c r="B176" t="s">
        <v>262</v>
      </c>
    </row>
    <row r="177" spans="1:5" x14ac:dyDescent="0.25">
      <c r="A177" t="s">
        <v>509</v>
      </c>
      <c r="B177" t="s">
        <v>264</v>
      </c>
      <c r="C177">
        <f>IF(SUM(J35:J37)&gt;0,1,0)</f>
        <v>0</v>
      </c>
      <c r="D177">
        <f>IF(INCENTOTAL&gt;0,1,0)</f>
        <v>0</v>
      </c>
    </row>
    <row r="178" spans="1:5" x14ac:dyDescent="0.25">
      <c r="A178" t="s">
        <v>510</v>
      </c>
      <c r="B178" t="s">
        <v>265</v>
      </c>
    </row>
    <row r="180" spans="1:5" s="63" customFormat="1" x14ac:dyDescent="0.25"/>
    <row r="181" spans="1:5" s="63" customFormat="1" x14ac:dyDescent="0.25">
      <c r="C181" s="63" t="s">
        <v>134</v>
      </c>
      <c r="D181" s="63" t="s">
        <v>505</v>
      </c>
    </row>
    <row r="182" spans="1:5" x14ac:dyDescent="0.25">
      <c r="A182">
        <f>IF(AND(SUM(J43:J44)&gt;0,SUM(J43:J44)&lt;10000,SUM(J45:J46)=0),SUM(D183:D185),0)</f>
        <v>0</v>
      </c>
      <c r="B182" t="str">
        <f>M5S2</f>
        <v>Completion Checklist</v>
      </c>
      <c r="C182">
        <f ca="1">COUNT(C183:C185)</f>
        <v>2</v>
      </c>
      <c r="D182" s="63">
        <f>IF(AND(SUM(J43:J44)&gt;0,SUM(J43:J44)&lt;10000,SUM(J45:J46)=0),COUNT(D183:D185),0)</f>
        <v>0</v>
      </c>
    </row>
    <row r="183" spans="1:5" x14ac:dyDescent="0.25">
      <c r="A183" s="63" t="s">
        <v>512</v>
      </c>
      <c r="B183" s="63">
        <f ca="1">OFFSET(INDIRECT(A183),-1,0)</f>
        <v>0</v>
      </c>
      <c r="C183" s="63">
        <f t="shared" ref="C183:D184" ca="1" si="17">IF(INDIRECT($A183)="",0,1)</f>
        <v>0</v>
      </c>
      <c r="D183" s="63">
        <f t="shared" ca="1" si="17"/>
        <v>0</v>
      </c>
      <c r="E183" s="63">
        <f t="shared" ref="E183:E184" ca="1" si="18">INDIRECT(A183)</f>
        <v>0</v>
      </c>
    </row>
    <row r="184" spans="1:5" x14ac:dyDescent="0.25">
      <c r="A184" s="63" t="s">
        <v>513</v>
      </c>
      <c r="B184" s="63">
        <f t="shared" ref="B184" ca="1" si="19">OFFSET(INDIRECT(A184),-1,0)</f>
        <v>0</v>
      </c>
      <c r="C184" s="63">
        <f t="shared" ca="1" si="17"/>
        <v>0</v>
      </c>
      <c r="D184" s="63">
        <f t="shared" ca="1" si="17"/>
        <v>0</v>
      </c>
      <c r="E184" s="63">
        <f t="shared" ca="1" si="18"/>
        <v>0</v>
      </c>
    </row>
    <row r="185" spans="1:5" x14ac:dyDescent="0.25">
      <c r="A185" s="63" t="s">
        <v>514</v>
      </c>
      <c r="B185" s="63"/>
      <c r="C185" s="63"/>
      <c r="D185" s="63"/>
      <c r="E185" s="63"/>
    </row>
    <row r="186" spans="1:5" x14ac:dyDescent="0.25">
      <c r="A186" s="63"/>
    </row>
    <row r="189" spans="1:5" x14ac:dyDescent="0.25">
      <c r="A189" s="63"/>
      <c r="B189" s="63" t="s">
        <v>1452</v>
      </c>
      <c r="C189" s="63" t="s">
        <v>134</v>
      </c>
      <c r="D189" s="63"/>
      <c r="E189" s="63"/>
    </row>
    <row r="190" spans="1:5" x14ac:dyDescent="0.25">
      <c r="A190" s="63" t="s">
        <v>1790</v>
      </c>
      <c r="B190" s="63" t="str">
        <f ca="1">OFFSET(INDIRECT(A190),-1,0)</f>
        <v>Project Name</v>
      </c>
      <c r="C190" s="63">
        <f t="shared" ref="C190:C221" ca="1" si="20">IF(INDIRECT($A190)="",0,1)</f>
        <v>0</v>
      </c>
      <c r="D190" s="63"/>
      <c r="E190" s="63" t="str">
        <f t="shared" ref="E190:E221" ca="1" si="21">INDIRECT(A190)</f>
        <v/>
      </c>
    </row>
    <row r="191" spans="1:5" x14ac:dyDescent="0.25">
      <c r="A191" s="63" t="s">
        <v>1791</v>
      </c>
      <c r="B191" s="63" t="str">
        <f t="shared" ref="B191:B221" ca="1" si="22">OFFSET(INDIRECT(A191),-1,0)</f>
        <v>Project Number</v>
      </c>
      <c r="C191" s="63">
        <f t="shared" ca="1" si="20"/>
        <v>0</v>
      </c>
      <c r="D191" s="63"/>
      <c r="E191" s="63">
        <f t="shared" ca="1" si="21"/>
        <v>0</v>
      </c>
    </row>
    <row r="192" spans="1:5" x14ac:dyDescent="0.25">
      <c r="A192" s="63" t="s">
        <v>1792</v>
      </c>
      <c r="B192" s="63" t="str">
        <f t="shared" ca="1" si="22"/>
        <v>Meeting Date</v>
      </c>
      <c r="C192" s="63">
        <f t="shared" ca="1" si="20"/>
        <v>0</v>
      </c>
      <c r="D192" s="63"/>
      <c r="E192" s="63">
        <f t="shared" ca="1" si="21"/>
        <v>0</v>
      </c>
    </row>
    <row r="193" spans="1:5" x14ac:dyDescent="0.25">
      <c r="A193" s="63" t="s">
        <v>1793</v>
      </c>
      <c r="B193" s="63" t="str">
        <f t="shared" ca="1" si="22"/>
        <v>Site Address</v>
      </c>
      <c r="C193" s="63">
        <f t="shared" ca="1" si="20"/>
        <v>0</v>
      </c>
      <c r="D193" s="63"/>
      <c r="E193" s="63" t="str">
        <f t="shared" ca="1" si="21"/>
        <v/>
      </c>
    </row>
    <row r="194" spans="1:5" x14ac:dyDescent="0.25">
      <c r="A194" s="63" t="s">
        <v>1794</v>
      </c>
      <c r="B194" s="63" t="str">
        <f t="shared" ca="1" si="22"/>
        <v>City</v>
      </c>
      <c r="C194" s="63">
        <f t="shared" ca="1" si="20"/>
        <v>0</v>
      </c>
      <c r="D194" s="63"/>
      <c r="E194" s="63" t="str">
        <f t="shared" ca="1" si="21"/>
        <v/>
      </c>
    </row>
    <row r="195" spans="1:5" x14ac:dyDescent="0.25">
      <c r="A195" s="63" t="s">
        <v>1795</v>
      </c>
      <c r="B195" s="63" t="str">
        <f t="shared" ca="1" si="22"/>
        <v>State</v>
      </c>
      <c r="C195" s="63">
        <f t="shared" ca="1" si="20"/>
        <v>1</v>
      </c>
      <c r="D195" s="63"/>
      <c r="E195" s="63" t="str">
        <f t="shared" ca="1" si="21"/>
        <v>MO</v>
      </c>
    </row>
    <row r="196" spans="1:5" x14ac:dyDescent="0.25">
      <c r="A196" s="63" t="s">
        <v>1796</v>
      </c>
      <c r="B196" s="63" t="str">
        <f t="shared" ca="1" si="22"/>
        <v>Zip Code</v>
      </c>
      <c r="C196" s="63">
        <f t="shared" ca="1" si="20"/>
        <v>0</v>
      </c>
      <c r="D196" s="63"/>
      <c r="E196" s="63" t="str">
        <f t="shared" ca="1" si="21"/>
        <v/>
      </c>
    </row>
    <row r="197" spans="1:5" x14ac:dyDescent="0.25">
      <c r="A197" s="63" t="s">
        <v>1797</v>
      </c>
      <c r="B197" s="63" t="str">
        <f t="shared" ca="1" si="22"/>
        <v>Attendees</v>
      </c>
      <c r="C197" s="63">
        <f t="shared" ca="1" si="20"/>
        <v>0</v>
      </c>
      <c r="D197" s="63"/>
      <c r="E197" s="63">
        <f t="shared" ca="1" si="21"/>
        <v>0</v>
      </c>
    </row>
    <row r="198" spans="1:5" x14ac:dyDescent="0.25">
      <c r="A198" s="63" t="s">
        <v>1798</v>
      </c>
      <c r="B198" s="63">
        <f t="shared" ca="1" si="22"/>
        <v>0</v>
      </c>
      <c r="C198" s="63">
        <f t="shared" ca="1" si="20"/>
        <v>0</v>
      </c>
      <c r="D198" s="63"/>
      <c r="E198" s="63">
        <f t="shared" ca="1" si="21"/>
        <v>0</v>
      </c>
    </row>
    <row r="199" spans="1:5" x14ac:dyDescent="0.25">
      <c r="A199" s="63" t="s">
        <v>1799</v>
      </c>
      <c r="B199" s="63">
        <f t="shared" ca="1" si="22"/>
        <v>0</v>
      </c>
      <c r="C199" s="63">
        <f t="shared" ca="1" si="20"/>
        <v>0</v>
      </c>
      <c r="D199" s="63"/>
      <c r="E199" s="63">
        <f t="shared" ca="1" si="21"/>
        <v>0</v>
      </c>
    </row>
    <row r="200" spans="1:5" x14ac:dyDescent="0.25">
      <c r="A200" s="63" t="s">
        <v>1800</v>
      </c>
      <c r="B200" s="63">
        <f t="shared" ca="1" si="22"/>
        <v>0</v>
      </c>
      <c r="C200" s="63">
        <f t="shared" ca="1" si="20"/>
        <v>0</v>
      </c>
      <c r="D200" s="63"/>
      <c r="E200" s="63">
        <f t="shared" ca="1" si="21"/>
        <v>0</v>
      </c>
    </row>
    <row r="201" spans="1:5" x14ac:dyDescent="0.25">
      <c r="A201" s="63" t="s">
        <v>1801</v>
      </c>
      <c r="B201" s="63">
        <f t="shared" ca="1" si="22"/>
        <v>0</v>
      </c>
      <c r="C201" s="63">
        <f t="shared" ca="1" si="20"/>
        <v>0</v>
      </c>
      <c r="D201" s="63"/>
      <c r="E201" s="63">
        <f t="shared" ca="1" si="21"/>
        <v>0</v>
      </c>
    </row>
    <row r="202" spans="1:5" x14ac:dyDescent="0.25">
      <c r="A202" s="63" t="s">
        <v>1802</v>
      </c>
      <c r="B202" s="63">
        <f t="shared" ca="1" si="22"/>
        <v>0</v>
      </c>
      <c r="C202" s="63">
        <f t="shared" ca="1" si="20"/>
        <v>0</v>
      </c>
      <c r="D202" s="63"/>
      <c r="E202" s="63">
        <f t="shared" ca="1" si="21"/>
        <v>0</v>
      </c>
    </row>
    <row r="203" spans="1:5" x14ac:dyDescent="0.25">
      <c r="A203" s="63" t="s">
        <v>1803</v>
      </c>
      <c r="B203" s="63" t="str">
        <f t="shared" ca="1" si="22"/>
        <v>Project Description (Include project summary, timeline, baseline reasoning, etc)</v>
      </c>
      <c r="C203" s="63">
        <f t="shared" ca="1" si="20"/>
        <v>0</v>
      </c>
      <c r="D203" s="63"/>
      <c r="E203" s="63">
        <f t="shared" ca="1" si="21"/>
        <v>0</v>
      </c>
    </row>
    <row r="204" spans="1:5" x14ac:dyDescent="0.25">
      <c r="A204" s="63" t="s">
        <v>1804</v>
      </c>
      <c r="B204" s="63" t="str">
        <f t="shared" ca="1" si="22"/>
        <v>Baseline</v>
      </c>
      <c r="C204" s="63">
        <f t="shared" ca="1" si="20"/>
        <v>0</v>
      </c>
      <c r="D204" s="63"/>
      <c r="E204" s="63">
        <f t="shared" ca="1" si="21"/>
        <v>0</v>
      </c>
    </row>
    <row r="205" spans="1:5" x14ac:dyDescent="0.25">
      <c r="A205" s="63" t="s">
        <v>1805</v>
      </c>
      <c r="B205" s="63" t="str">
        <f t="shared" ca="1" si="22"/>
        <v>Does the customer expect to complete an Energy Model?</v>
      </c>
      <c r="C205" s="63">
        <f t="shared" ca="1" si="20"/>
        <v>0</v>
      </c>
      <c r="D205" s="63"/>
      <c r="E205" s="63">
        <f t="shared" ca="1" si="21"/>
        <v>0</v>
      </c>
    </row>
    <row r="206" spans="1:5" x14ac:dyDescent="0.25">
      <c r="A206" s="63" t="s">
        <v>1806</v>
      </c>
      <c r="B206" s="63" t="str">
        <f t="shared" ca="1" si="22"/>
        <v>Whole Building Performance Summary (Include model software type)</v>
      </c>
      <c r="C206" s="63">
        <f t="shared" ca="1" si="20"/>
        <v>0</v>
      </c>
      <c r="D206" s="63"/>
      <c r="E206" s="63">
        <f t="shared" ca="1" si="21"/>
        <v>0</v>
      </c>
    </row>
    <row r="207" spans="1:5" x14ac:dyDescent="0.25">
      <c r="A207" s="63" t="s">
        <v>1807</v>
      </c>
      <c r="B207" s="63" t="str">
        <f t="shared" ca="1" si="22"/>
        <v>Space Type #1</v>
      </c>
      <c r="C207" s="63">
        <f t="shared" ca="1" si="20"/>
        <v>0</v>
      </c>
      <c r="D207" s="63"/>
      <c r="E207" s="63">
        <f t="shared" ca="1" si="21"/>
        <v>0</v>
      </c>
    </row>
    <row r="208" spans="1:5" x14ac:dyDescent="0.25">
      <c r="A208" s="63" t="s">
        <v>1808</v>
      </c>
      <c r="B208" s="63" t="str">
        <f t="shared" ca="1" si="22"/>
        <v>Space Area #1 (Sq. Ft)</v>
      </c>
      <c r="C208" s="63">
        <f t="shared" ca="1" si="20"/>
        <v>0</v>
      </c>
      <c r="D208" s="63"/>
      <c r="E208" s="63">
        <f t="shared" ca="1" si="21"/>
        <v>0</v>
      </c>
    </row>
    <row r="209" spans="1:5" x14ac:dyDescent="0.25">
      <c r="A209" s="63" t="s">
        <v>1809</v>
      </c>
      <c r="B209" s="63" t="str">
        <f t="shared" ca="1" si="22"/>
        <v>Baseline LPD #1 (W/Sq Ft)</v>
      </c>
      <c r="C209" s="63">
        <f t="shared" ca="1" si="20"/>
        <v>0</v>
      </c>
      <c r="D209" s="63"/>
      <c r="E209" s="63" t="str">
        <f t="shared" ca="1" si="21"/>
        <v/>
      </c>
    </row>
    <row r="210" spans="1:5" x14ac:dyDescent="0.25">
      <c r="A210" s="63" t="s">
        <v>1810</v>
      </c>
      <c r="B210" s="63" t="str">
        <f t="shared" ca="1" si="22"/>
        <v>Space Type #2</v>
      </c>
      <c r="C210" s="63">
        <f t="shared" ca="1" si="20"/>
        <v>0</v>
      </c>
      <c r="D210" s="63"/>
      <c r="E210" s="63">
        <f t="shared" ca="1" si="21"/>
        <v>0</v>
      </c>
    </row>
    <row r="211" spans="1:5" x14ac:dyDescent="0.25">
      <c r="A211" s="63" t="s">
        <v>1811</v>
      </c>
      <c r="B211" s="63" t="str">
        <f t="shared" ca="1" si="22"/>
        <v>Space Area #2 (Sq. Ft)</v>
      </c>
      <c r="C211" s="63">
        <f t="shared" ca="1" si="20"/>
        <v>0</v>
      </c>
      <c r="D211" s="63"/>
      <c r="E211" s="63">
        <f t="shared" ca="1" si="21"/>
        <v>0</v>
      </c>
    </row>
    <row r="212" spans="1:5" x14ac:dyDescent="0.25">
      <c r="A212" s="63" t="s">
        <v>1812</v>
      </c>
      <c r="B212" s="63" t="str">
        <f t="shared" ca="1" si="22"/>
        <v>Baseline LPD #2 (W/Sq Ft)</v>
      </c>
      <c r="C212" s="63">
        <f t="shared" ca="1" si="20"/>
        <v>0</v>
      </c>
      <c r="D212" s="63"/>
      <c r="E212" s="63" t="str">
        <f t="shared" ca="1" si="21"/>
        <v/>
      </c>
    </row>
    <row r="213" spans="1:5" x14ac:dyDescent="0.25">
      <c r="A213" s="63" t="s">
        <v>1813</v>
      </c>
      <c r="B213" s="63" t="str">
        <f t="shared" ca="1" si="22"/>
        <v>Space Type #3</v>
      </c>
      <c r="C213" s="63">
        <f t="shared" ca="1" si="20"/>
        <v>0</v>
      </c>
      <c r="D213" s="63"/>
      <c r="E213" s="63">
        <f t="shared" ca="1" si="21"/>
        <v>0</v>
      </c>
    </row>
    <row r="214" spans="1:5" x14ac:dyDescent="0.25">
      <c r="A214" s="63" t="s">
        <v>1814</v>
      </c>
      <c r="B214" s="63" t="str">
        <f t="shared" ca="1" si="22"/>
        <v>Space Area #3 (Sq. Ft)</v>
      </c>
      <c r="C214" s="63">
        <f t="shared" ca="1" si="20"/>
        <v>0</v>
      </c>
      <c r="D214" s="63"/>
      <c r="E214" s="63">
        <f t="shared" ca="1" si="21"/>
        <v>0</v>
      </c>
    </row>
    <row r="215" spans="1:5" x14ac:dyDescent="0.25">
      <c r="A215" s="63" t="s">
        <v>1815</v>
      </c>
      <c r="B215" s="63" t="str">
        <f t="shared" ca="1" si="22"/>
        <v>Baseline LPD #3 (W/Sq Ft)</v>
      </c>
      <c r="C215" s="63">
        <f t="shared" ca="1" si="20"/>
        <v>0</v>
      </c>
      <c r="D215" s="63"/>
      <c r="E215" s="63" t="str">
        <f t="shared" ca="1" si="21"/>
        <v/>
      </c>
    </row>
    <row r="216" spans="1:5" x14ac:dyDescent="0.25">
      <c r="A216" s="63" t="s">
        <v>1816</v>
      </c>
      <c r="B216" s="63" t="str">
        <f t="shared" ca="1" si="22"/>
        <v>Space Type #4</v>
      </c>
      <c r="C216" s="63">
        <f t="shared" ca="1" si="20"/>
        <v>0</v>
      </c>
      <c r="D216" s="63"/>
      <c r="E216" s="63">
        <f t="shared" ca="1" si="21"/>
        <v>0</v>
      </c>
    </row>
    <row r="217" spans="1:5" x14ac:dyDescent="0.25">
      <c r="A217" s="63" t="s">
        <v>1817</v>
      </c>
      <c r="B217" s="63" t="str">
        <f t="shared" ca="1" si="22"/>
        <v>Space Area #4 (Sq. Ft)</v>
      </c>
      <c r="C217" s="63">
        <f t="shared" ca="1" si="20"/>
        <v>0</v>
      </c>
      <c r="D217" s="63"/>
      <c r="E217" s="63">
        <f t="shared" ca="1" si="21"/>
        <v>0</v>
      </c>
    </row>
    <row r="218" spans="1:5" x14ac:dyDescent="0.25">
      <c r="A218" s="63" t="s">
        <v>1818</v>
      </c>
      <c r="B218" s="63" t="str">
        <f t="shared" ca="1" si="22"/>
        <v>Baseline LPD #4 (W/Sq Ft)</v>
      </c>
      <c r="C218" s="63">
        <f t="shared" ca="1" si="20"/>
        <v>0</v>
      </c>
      <c r="D218" s="63"/>
      <c r="E218" s="63" t="str">
        <f t="shared" ca="1" si="21"/>
        <v/>
      </c>
    </row>
    <row r="219" spans="1:5" x14ac:dyDescent="0.25">
      <c r="A219" s="63" t="s">
        <v>1819</v>
      </c>
      <c r="B219" s="63" t="str">
        <f t="shared" ca="1" si="22"/>
        <v>Installed Interior Lighting Summary</v>
      </c>
      <c r="C219" s="63">
        <f t="shared" ca="1" si="20"/>
        <v>0</v>
      </c>
      <c r="D219" s="63"/>
      <c r="E219" s="63">
        <f t="shared" ca="1" si="21"/>
        <v>0</v>
      </c>
    </row>
    <row r="220" spans="1:5" x14ac:dyDescent="0.25">
      <c r="A220" s="63" t="s">
        <v>1820</v>
      </c>
      <c r="B220" s="63" t="str">
        <f t="shared" ca="1" si="22"/>
        <v>Standard Measures Summary</v>
      </c>
      <c r="C220" s="63">
        <f t="shared" ca="1" si="20"/>
        <v>0</v>
      </c>
      <c r="D220" s="63"/>
      <c r="E220" s="63">
        <f t="shared" ca="1" si="21"/>
        <v>0</v>
      </c>
    </row>
    <row r="221" spans="1:5" x14ac:dyDescent="0.25">
      <c r="A221" s="63" t="s">
        <v>1821</v>
      </c>
      <c r="B221" s="63" t="str">
        <f t="shared" ca="1" si="22"/>
        <v>Custom Measures Summary</v>
      </c>
      <c r="C221" s="63">
        <f t="shared" ca="1" si="20"/>
        <v>0</v>
      </c>
      <c r="D221" s="63"/>
      <c r="E221" s="63">
        <f t="shared" ca="1" si="21"/>
        <v>0</v>
      </c>
    </row>
  </sheetData>
  <sheetProtection algorithmName="SHA-512" hashValue="fHpTZf//2X5K54X+tKzxxqCMojcyXbmfPyCLIl/ux5+ZtWutiJGPgD4bT++8+mdjR++z7vgot5bqGNWNqofVEQ==" saltValue="SS1biY8WD8zLeTx1YigXqA==" spinCount="100000" sheet="1" objects="1" scenarios="1" selectLockedCells="1"/>
  <mergeCells count="1">
    <mergeCell ref="T2:Z4"/>
  </mergeCells>
  <hyperlinks>
    <hyperlink ref="E26" location="'M03-S01'!A1" display="'M03-S01'!A1" xr:uid="{00000000-0004-0000-0000-000000000000}"/>
    <hyperlink ref="E27" location="'M03-S02'!A1" display="'M03-S02'!A1" xr:uid="{00000000-0004-0000-0000-000001000000}"/>
    <hyperlink ref="E28" location="'M03-S03'!A1" display="'M03-S03'!A1" xr:uid="{00000000-0004-0000-0000-000002000000}"/>
    <hyperlink ref="E29" location="'M03-S04'!A1" display="'M03-S04'!A1" xr:uid="{00000000-0004-0000-0000-000003000000}"/>
    <hyperlink ref="E30" location="'M03-S05'!A1" display="'M03-S05'!A1" xr:uid="{00000000-0004-0000-0000-000004000000}"/>
    <hyperlink ref="E31" location="'M03-S06'!A1" display="'M03-S06'!A1" xr:uid="{00000000-0004-0000-0000-000005000000}"/>
    <hyperlink ref="E32" location="'M03-S07'!A1" display="'M03-S07'!A1" xr:uid="{00000000-0004-0000-0000-000006000000}"/>
    <hyperlink ref="E33" location="'M03-S08'!A1" display="'M03-S08'!A1" xr:uid="{00000000-0004-0000-0000-000007000000}"/>
    <hyperlink ref="E35" location="'M04-S01'!A1" display="'M04-S01'!A1" xr:uid="{00000000-0004-0000-0000-000008000000}"/>
    <hyperlink ref="E36" location="'M04-S02'!A1" display="'M04-S02'!A1" xr:uid="{00000000-0004-0000-0000-000009000000}"/>
    <hyperlink ref="E37" location="'M04-S03'!A1" display="'M04-S03'!A1" xr:uid="{00000000-0004-0000-0000-00000A000000}"/>
    <hyperlink ref="E38" location="'M04-S04'!A1" display="'M04-S04'!A1" xr:uid="{00000000-0004-0000-0000-00000B000000}"/>
    <hyperlink ref="E39" location="'M04-S05'!A1" display="'M04-S05'!A1" xr:uid="{00000000-0004-0000-0000-00000C000000}"/>
    <hyperlink ref="E40" location="'M04-S06'!A1" display="'M04-S06'!A1" xr:uid="{00000000-0004-0000-0000-00000D000000}"/>
    <hyperlink ref="E41" location="'M04-S07'!A1" display="'M04-S07'!A1" xr:uid="{00000000-0004-0000-0000-00000E000000}"/>
    <hyperlink ref="E42" location="'M04-S08'!A1" display="'M04-S08'!A1" xr:uid="{00000000-0004-0000-0000-00000F00000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AS342"/>
  <sheetViews>
    <sheetView showGridLines="0" zoomScale="85" zoomScaleNormal="85" workbookViewId="0">
      <selection activeCell="F11" sqref="F11:AN11"/>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AH1" s="711" t="s">
        <v>494</v>
      </c>
      <c r="AI1" s="712"/>
      <c r="AJ1" s="712"/>
      <c r="AK1" s="712"/>
      <c r="AL1" s="723" t="s">
        <v>911</v>
      </c>
      <c r="AM1" s="723"/>
      <c r="AN1" s="723"/>
      <c r="AO1" s="723"/>
      <c r="AP1" s="723"/>
      <c r="AQ1" s="717" t="s">
        <v>499</v>
      </c>
      <c r="AR1" s="718"/>
    </row>
    <row r="2" spans="3:44" ht="15.95" customHeight="1" x14ac:dyDescent="0.25">
      <c r="AH2" s="713" t="str">
        <f ca="1">INCENSTATUS</f>
        <v>---</v>
      </c>
      <c r="AI2" s="714"/>
      <c r="AJ2" s="714"/>
      <c r="AK2" s="714"/>
      <c r="AL2" s="724" t="str">
        <f ca="1">PROJSTATUS</f>
        <v>Please Complete Initial Application</v>
      </c>
      <c r="AM2" s="724"/>
      <c r="AN2" s="724"/>
      <c r="AO2" s="724"/>
      <c r="AP2" s="724"/>
      <c r="AQ2" s="719">
        <f ca="1">PROGRESSSTATUS</f>
        <v>0</v>
      </c>
      <c r="AR2" s="720"/>
    </row>
    <row r="3" spans="3:44" ht="15.95" customHeight="1" x14ac:dyDescent="0.25">
      <c r="AH3" s="715"/>
      <c r="AI3" s="716"/>
      <c r="AJ3" s="716"/>
      <c r="AK3" s="716"/>
      <c r="AL3" s="725"/>
      <c r="AM3" s="725"/>
      <c r="AN3" s="725"/>
      <c r="AO3" s="725"/>
      <c r="AP3" s="725"/>
      <c r="AQ3" s="721"/>
      <c r="AR3" s="722"/>
    </row>
    <row r="4" spans="3:44" ht="15.95" customHeight="1" x14ac:dyDescent="0.25"/>
    <row r="5" spans="3:44" ht="15.95" customHeight="1" x14ac:dyDescent="0.25"/>
    <row r="6" spans="3:44" ht="15.95" customHeight="1" x14ac:dyDescent="0.25"/>
    <row r="7" spans="3:44" ht="15.95" customHeight="1" x14ac:dyDescent="0.25"/>
    <row r="8" spans="3:44" ht="15.95" customHeight="1" x14ac:dyDescent="0.25"/>
    <row r="9" spans="3:44" ht="15.95" customHeight="1" x14ac:dyDescent="0.25"/>
    <row r="10" spans="3:44" ht="15.95" customHeight="1" x14ac:dyDescent="0.3">
      <c r="F10" s="732" t="s">
        <v>1509</v>
      </c>
      <c r="G10" s="732"/>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row>
    <row r="11" spans="3:44" ht="15.95" customHeight="1" x14ac:dyDescent="0.25">
      <c r="F11" s="733" t="s">
        <v>1510</v>
      </c>
      <c r="G11" s="734"/>
      <c r="H11" s="734"/>
      <c r="I11" s="734"/>
      <c r="J11" s="734"/>
      <c r="K11" s="734"/>
      <c r="L11" s="734"/>
      <c r="M11" s="734"/>
      <c r="N11" s="734"/>
      <c r="O11" s="734"/>
      <c r="P11" s="734"/>
      <c r="Q11" s="734"/>
      <c r="R11" s="734"/>
      <c r="S11" s="734"/>
      <c r="T11" s="734"/>
      <c r="U11" s="734"/>
      <c r="V11" s="734"/>
      <c r="W11" s="734"/>
      <c r="X11" s="734"/>
      <c r="Y11" s="734"/>
      <c r="Z11" s="734"/>
      <c r="AA11" s="734"/>
      <c r="AB11" s="734"/>
      <c r="AC11" s="734"/>
      <c r="AD11" s="734"/>
      <c r="AE11" s="734"/>
      <c r="AF11" s="734"/>
      <c r="AG11" s="734"/>
      <c r="AH11" s="734"/>
      <c r="AI11" s="734"/>
      <c r="AJ11" s="734"/>
      <c r="AK11" s="734"/>
      <c r="AL11" s="734"/>
      <c r="AM11" s="734"/>
      <c r="AN11" s="734"/>
    </row>
    <row r="12" spans="3:44" ht="15.95" customHeight="1" x14ac:dyDescent="0.25">
      <c r="C12" s="63"/>
      <c r="D12" s="63"/>
      <c r="E12" s="63"/>
      <c r="F12" s="299"/>
      <c r="G12" s="299"/>
      <c r="H12" s="299"/>
      <c r="I12" s="299"/>
      <c r="J12" s="299"/>
      <c r="K12" s="299"/>
      <c r="L12" s="299"/>
      <c r="M12" s="299"/>
      <c r="N12" s="299"/>
      <c r="O12" s="299"/>
      <c r="P12" s="299"/>
      <c r="Q12" s="299"/>
      <c r="R12" s="299"/>
      <c r="S12" s="299"/>
      <c r="T12" s="299"/>
      <c r="U12" s="299"/>
      <c r="V12" s="299"/>
      <c r="W12" s="299"/>
      <c r="X12" s="299"/>
      <c r="Y12" s="299"/>
      <c r="Z12" s="299"/>
      <c r="AA12" s="299"/>
      <c r="AB12" s="299"/>
      <c r="AC12" s="299"/>
      <c r="AD12" s="299"/>
      <c r="AE12" s="299"/>
      <c r="AF12" s="299"/>
      <c r="AG12" s="299"/>
      <c r="AH12" s="299"/>
      <c r="AI12" s="299"/>
      <c r="AJ12" s="299"/>
      <c r="AK12" s="299"/>
      <c r="AL12" s="299"/>
      <c r="AM12" s="299"/>
      <c r="AN12" s="299"/>
      <c r="AO12" s="63"/>
      <c r="AP12" s="63"/>
      <c r="AQ12" s="63"/>
    </row>
    <row r="13" spans="3:44" ht="15.95" customHeight="1" x14ac:dyDescent="0.25">
      <c r="C13" s="63"/>
      <c r="D13" s="63"/>
      <c r="E13" s="63"/>
      <c r="F13" s="299"/>
      <c r="G13" s="299"/>
      <c r="H13" s="299"/>
      <c r="I13" s="299"/>
      <c r="J13" s="299"/>
      <c r="K13" s="299"/>
      <c r="L13" s="299"/>
      <c r="M13" s="299"/>
      <c r="N13" s="299"/>
      <c r="O13" s="299"/>
      <c r="P13" s="299"/>
      <c r="Q13" s="299"/>
      <c r="R13" s="299"/>
      <c r="S13" s="299"/>
      <c r="T13" s="299"/>
      <c r="U13" s="63"/>
      <c r="V13" s="299" t="s">
        <v>1511</v>
      </c>
      <c r="W13" s="299"/>
      <c r="X13" s="299"/>
      <c r="Y13" s="299"/>
      <c r="Z13" s="299"/>
      <c r="AA13" s="299"/>
      <c r="AB13" s="299"/>
      <c r="AC13" s="299"/>
      <c r="AD13" s="299"/>
      <c r="AE13" s="299"/>
      <c r="AF13" s="299"/>
      <c r="AG13" s="299"/>
      <c r="AH13" s="299"/>
      <c r="AI13" s="299"/>
      <c r="AJ13" s="299"/>
      <c r="AK13" s="299"/>
      <c r="AL13" s="299"/>
      <c r="AM13" s="299"/>
      <c r="AN13" s="299"/>
      <c r="AO13" s="63"/>
      <c r="AP13" s="63"/>
      <c r="AQ13" s="63"/>
    </row>
    <row r="14" spans="3:44" ht="15.95" customHeight="1" x14ac:dyDescent="0.25">
      <c r="C14" s="63"/>
      <c r="D14" s="63"/>
      <c r="E14" s="63"/>
      <c r="F14" s="63"/>
      <c r="G14" s="63"/>
      <c r="H14" s="63"/>
      <c r="I14" s="63"/>
      <c r="J14" s="63"/>
      <c r="K14" s="63"/>
      <c r="L14" s="63"/>
      <c r="M14" s="63"/>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row>
    <row r="15" spans="3:44" ht="15.95" customHeight="1" x14ac:dyDescent="0.25">
      <c r="C15" s="430"/>
      <c r="D15" s="431"/>
      <c r="E15" s="431"/>
      <c r="F15" s="431"/>
      <c r="G15" s="431"/>
      <c r="H15" s="431"/>
      <c r="I15" s="431"/>
      <c r="J15" s="431"/>
      <c r="K15" s="431"/>
      <c r="L15" s="431"/>
      <c r="M15" s="431"/>
      <c r="N15" s="431"/>
      <c r="O15" s="431"/>
      <c r="P15" s="431"/>
      <c r="Q15" s="431"/>
      <c r="R15" s="431"/>
      <c r="S15" s="431"/>
      <c r="T15" s="431"/>
      <c r="U15" s="431"/>
      <c r="V15" s="431"/>
      <c r="W15" s="431"/>
      <c r="X15" s="431"/>
      <c r="Y15" s="431"/>
      <c r="Z15" s="431"/>
      <c r="AA15" s="431"/>
      <c r="AB15" s="431"/>
      <c r="AC15" s="431"/>
      <c r="AD15" s="431"/>
      <c r="AE15" s="431"/>
      <c r="AF15" s="431"/>
      <c r="AG15" s="431"/>
      <c r="AH15" s="431"/>
      <c r="AI15" s="431"/>
      <c r="AJ15" s="431"/>
      <c r="AK15" s="431"/>
      <c r="AL15" s="431"/>
      <c r="AM15" s="431"/>
      <c r="AN15" s="431"/>
      <c r="AO15" s="431"/>
      <c r="AP15" s="431"/>
      <c r="AQ15" s="432"/>
    </row>
    <row r="16" spans="3:44" ht="15.95" customHeight="1" x14ac:dyDescent="0.25">
      <c r="C16" s="433"/>
      <c r="D16" s="434"/>
      <c r="E16" s="434"/>
      <c r="F16" s="434"/>
      <c r="G16" s="434"/>
      <c r="H16" s="434"/>
      <c r="I16" s="434"/>
      <c r="J16" s="434"/>
      <c r="K16" s="434"/>
      <c r="L16" s="434"/>
      <c r="M16" s="434"/>
      <c r="N16" s="434"/>
      <c r="O16" s="434"/>
      <c r="P16" s="434"/>
      <c r="Q16" s="434"/>
      <c r="R16" s="434"/>
      <c r="S16" s="434"/>
      <c r="T16" s="434"/>
      <c r="U16" s="434"/>
      <c r="V16" s="434"/>
      <c r="W16" s="434"/>
      <c r="X16" s="434"/>
      <c r="Y16" s="434"/>
      <c r="Z16" s="434"/>
      <c r="AA16" s="434"/>
      <c r="AB16" s="434"/>
      <c r="AC16" s="434"/>
      <c r="AD16" s="434"/>
      <c r="AE16" s="434"/>
      <c r="AF16" s="434"/>
      <c r="AG16" s="434"/>
      <c r="AH16" s="434"/>
      <c r="AI16" s="434"/>
      <c r="AJ16" s="434"/>
      <c r="AK16" s="434"/>
      <c r="AL16" s="434"/>
      <c r="AM16" s="434"/>
      <c r="AN16" s="434"/>
      <c r="AO16" s="434"/>
      <c r="AP16" s="434"/>
      <c r="AQ16" s="435"/>
    </row>
    <row r="17" spans="3:43" ht="15.95" customHeight="1" x14ac:dyDescent="0.25">
      <c r="C17" s="436"/>
      <c r="D17" s="437"/>
      <c r="E17" s="437"/>
      <c r="F17" s="437"/>
      <c r="G17" s="437"/>
      <c r="H17" s="437"/>
      <c r="I17" s="437"/>
      <c r="J17" s="437"/>
      <c r="K17" s="437"/>
      <c r="L17" s="437"/>
      <c r="M17" s="437"/>
      <c r="N17" s="437"/>
      <c r="O17" s="437"/>
      <c r="P17" s="437"/>
      <c r="Q17" s="437"/>
      <c r="R17" s="437"/>
      <c r="S17" s="437"/>
      <c r="T17" s="437"/>
      <c r="U17" s="437"/>
      <c r="V17" s="437"/>
      <c r="W17" s="437"/>
      <c r="X17" s="437"/>
      <c r="Y17" s="437"/>
      <c r="Z17" s="437"/>
      <c r="AA17" s="437"/>
      <c r="AB17" s="437"/>
      <c r="AC17" s="437"/>
      <c r="AD17" s="437"/>
      <c r="AE17" s="437"/>
      <c r="AF17" s="437"/>
      <c r="AG17" s="437"/>
      <c r="AH17" s="437"/>
      <c r="AI17" s="437"/>
      <c r="AJ17" s="437"/>
      <c r="AK17" s="437"/>
      <c r="AL17" s="437"/>
      <c r="AM17" s="437"/>
      <c r="AN17" s="437"/>
      <c r="AO17" s="437"/>
      <c r="AP17" s="437"/>
      <c r="AQ17" s="438"/>
    </row>
    <row r="18" spans="3:43" ht="15.95" customHeight="1" x14ac:dyDescent="0.25">
      <c r="C18" s="286"/>
      <c r="D18" s="439" t="s">
        <v>1512</v>
      </c>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40"/>
      <c r="AG18" s="440"/>
      <c r="AH18" s="440"/>
      <c r="AI18" s="440"/>
      <c r="AJ18" s="440"/>
      <c r="AK18" s="440"/>
      <c r="AL18" s="440"/>
      <c r="AM18" s="440"/>
      <c r="AN18" s="440"/>
      <c r="AO18" s="440"/>
      <c r="AP18" s="440"/>
      <c r="AQ18" s="441"/>
    </row>
    <row r="19" spans="3:43" ht="15.95" customHeight="1" x14ac:dyDescent="0.25">
      <c r="C19" s="442"/>
      <c r="D19" s="440"/>
      <c r="E19" s="440"/>
      <c r="F19" s="440"/>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40"/>
      <c r="AO19" s="440"/>
      <c r="AP19" s="440"/>
      <c r="AQ19" s="441"/>
    </row>
    <row r="20" spans="3:43" ht="15.95" customHeight="1" x14ac:dyDescent="0.25">
      <c r="C20" s="286"/>
      <c r="D20" s="443" t="s">
        <v>1513</v>
      </c>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1"/>
    </row>
    <row r="21" spans="3:43" ht="15.95" customHeight="1" x14ac:dyDescent="0.25">
      <c r="C21" s="286"/>
      <c r="D21" s="735" t="s">
        <v>1514</v>
      </c>
      <c r="E21" s="735"/>
      <c r="F21" s="735"/>
      <c r="G21" s="735"/>
      <c r="H21" s="735"/>
      <c r="I21" s="735"/>
      <c r="J21" s="735"/>
      <c r="K21" s="735"/>
      <c r="L21" s="735"/>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735"/>
      <c r="AP21" s="735"/>
      <c r="AQ21" s="444"/>
    </row>
    <row r="22" spans="3:43" ht="15.95" customHeight="1" x14ac:dyDescent="0.25">
      <c r="C22" s="445"/>
      <c r="D22" s="735"/>
      <c r="E22" s="735"/>
      <c r="F22" s="735"/>
      <c r="G22" s="735"/>
      <c r="H22" s="735"/>
      <c r="I22" s="735"/>
      <c r="J22" s="735"/>
      <c r="K22" s="735"/>
      <c r="L22" s="735"/>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735"/>
      <c r="AP22" s="735"/>
      <c r="AQ22" s="444"/>
    </row>
    <row r="23" spans="3:43" ht="15.95" customHeight="1" x14ac:dyDescent="0.25">
      <c r="C23" s="445"/>
      <c r="D23" s="735"/>
      <c r="E23" s="735"/>
      <c r="F23" s="735"/>
      <c r="G23" s="735"/>
      <c r="H23" s="735"/>
      <c r="I23" s="735"/>
      <c r="J23" s="735"/>
      <c r="K23" s="735"/>
      <c r="L23" s="735"/>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444"/>
    </row>
    <row r="24" spans="3:43" ht="15.95" customHeight="1" x14ac:dyDescent="0.25">
      <c r="C24" s="445"/>
      <c r="D24" s="735"/>
      <c r="E24" s="735"/>
      <c r="F24" s="735"/>
      <c r="G24" s="735"/>
      <c r="H24" s="735"/>
      <c r="I24" s="735"/>
      <c r="J24" s="735"/>
      <c r="K24" s="735"/>
      <c r="L24" s="735"/>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735"/>
      <c r="AP24" s="735"/>
      <c r="AQ24" s="444"/>
    </row>
    <row r="25" spans="3:43" ht="15.95" customHeight="1" x14ac:dyDescent="0.25">
      <c r="C25" s="442"/>
      <c r="D25" s="735"/>
      <c r="E25" s="735"/>
      <c r="F25" s="735"/>
      <c r="G25" s="735"/>
      <c r="H25" s="735"/>
      <c r="I25" s="735"/>
      <c r="J25" s="735"/>
      <c r="K25" s="735"/>
      <c r="L25" s="735"/>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735"/>
      <c r="AP25" s="735"/>
      <c r="AQ25" s="441"/>
    </row>
    <row r="26" spans="3:43" ht="15.95" customHeight="1" x14ac:dyDescent="0.25">
      <c r="C26" s="286"/>
      <c r="D26" s="443" t="s">
        <v>1515</v>
      </c>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40"/>
      <c r="AG26" s="440"/>
      <c r="AH26" s="440"/>
      <c r="AI26" s="440"/>
      <c r="AJ26" s="440"/>
      <c r="AK26" s="440"/>
      <c r="AL26" s="440"/>
      <c r="AM26" s="440"/>
      <c r="AN26" s="440"/>
      <c r="AO26" s="440"/>
      <c r="AP26" s="440"/>
      <c r="AQ26" s="441"/>
    </row>
    <row r="27" spans="3:43" ht="15.95" customHeight="1" x14ac:dyDescent="0.25">
      <c r="C27" s="286"/>
      <c r="D27" s="735" t="s">
        <v>1516</v>
      </c>
      <c r="E27" s="735"/>
      <c r="F27" s="735"/>
      <c r="G27" s="735"/>
      <c r="H27" s="735"/>
      <c r="I27" s="735"/>
      <c r="J27" s="735"/>
      <c r="K27" s="735"/>
      <c r="L27" s="735"/>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735"/>
      <c r="AP27" s="735"/>
      <c r="AQ27" s="444"/>
    </row>
    <row r="28" spans="3:43" ht="15.95" customHeight="1" x14ac:dyDescent="0.25">
      <c r="C28" s="445"/>
      <c r="D28" s="735"/>
      <c r="E28" s="735"/>
      <c r="F28" s="735"/>
      <c r="G28" s="735"/>
      <c r="H28" s="735"/>
      <c r="I28" s="735"/>
      <c r="J28" s="735"/>
      <c r="K28" s="735"/>
      <c r="L28" s="735"/>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735"/>
      <c r="AP28" s="735"/>
      <c r="AQ28" s="444"/>
    </row>
    <row r="29" spans="3:43" ht="15.95" customHeight="1" x14ac:dyDescent="0.25">
      <c r="C29" s="445"/>
      <c r="D29" s="735"/>
      <c r="E29" s="735"/>
      <c r="F29" s="735"/>
      <c r="G29" s="735"/>
      <c r="H29" s="735"/>
      <c r="I29" s="735"/>
      <c r="J29" s="735"/>
      <c r="K29" s="735"/>
      <c r="L29" s="735"/>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735"/>
      <c r="AP29" s="735"/>
      <c r="AQ29" s="444"/>
    </row>
    <row r="30" spans="3:43" ht="15.95" customHeight="1" x14ac:dyDescent="0.25">
      <c r="C30" s="445"/>
      <c r="D30" s="735"/>
      <c r="E30" s="735"/>
      <c r="F30" s="735"/>
      <c r="G30" s="735"/>
      <c r="H30" s="735"/>
      <c r="I30" s="735"/>
      <c r="J30" s="735"/>
      <c r="K30" s="735"/>
      <c r="L30" s="735"/>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735"/>
      <c r="AP30" s="735"/>
      <c r="AQ30" s="444"/>
    </row>
    <row r="31" spans="3:43" ht="15.95" customHeight="1" x14ac:dyDescent="0.25">
      <c r="C31" s="445"/>
      <c r="D31" s="735"/>
      <c r="E31" s="735"/>
      <c r="F31" s="735"/>
      <c r="G31" s="735"/>
      <c r="H31" s="735"/>
      <c r="I31" s="735"/>
      <c r="J31" s="735"/>
      <c r="K31" s="735"/>
      <c r="L31" s="735"/>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735"/>
      <c r="AP31" s="735"/>
      <c r="AQ31" s="444"/>
    </row>
    <row r="32" spans="3:43" s="63" customFormat="1" ht="15.95" customHeight="1" x14ac:dyDescent="0.25">
      <c r="C32" s="445"/>
      <c r="D32" s="735"/>
      <c r="E32" s="735"/>
      <c r="F32" s="735"/>
      <c r="G32" s="735"/>
      <c r="H32" s="735"/>
      <c r="I32" s="735"/>
      <c r="J32" s="735"/>
      <c r="K32" s="735"/>
      <c r="L32" s="735"/>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735"/>
      <c r="AP32" s="735"/>
      <c r="AQ32" s="444"/>
    </row>
    <row r="33" spans="3:43" ht="15.95" customHeight="1" x14ac:dyDescent="0.25">
      <c r="C33" s="286"/>
      <c r="D33" s="446" t="s">
        <v>1517</v>
      </c>
      <c r="E33" s="447"/>
      <c r="F33" s="447"/>
      <c r="G33" s="447"/>
      <c r="H33" s="447"/>
      <c r="I33" s="447"/>
      <c r="J33" s="447"/>
      <c r="K33" s="447"/>
      <c r="L33" s="447"/>
      <c r="M33" s="447"/>
      <c r="N33" s="447"/>
      <c r="O33" s="447"/>
      <c r="P33" s="447"/>
      <c r="Q33" s="447"/>
      <c r="R33" s="447"/>
      <c r="S33" s="447"/>
      <c r="T33" s="447"/>
      <c r="U33" s="447"/>
      <c r="V33" s="447"/>
      <c r="W33" s="447"/>
      <c r="X33" s="447"/>
      <c r="Y33" s="447"/>
      <c r="Z33" s="447"/>
      <c r="AA33" s="447"/>
      <c r="AB33" s="447"/>
      <c r="AC33" s="447"/>
      <c r="AD33" s="447"/>
      <c r="AE33" s="447"/>
      <c r="AF33" s="447"/>
      <c r="AG33" s="447"/>
      <c r="AH33" s="447"/>
      <c r="AI33" s="447"/>
      <c r="AJ33" s="447"/>
      <c r="AK33" s="447"/>
      <c r="AL33" s="447"/>
      <c r="AM33" s="447"/>
      <c r="AN33" s="447"/>
      <c r="AO33" s="447"/>
      <c r="AP33" s="447"/>
      <c r="AQ33" s="444"/>
    </row>
    <row r="34" spans="3:43" ht="15.95" customHeight="1" x14ac:dyDescent="0.25">
      <c r="C34" s="286"/>
      <c r="D34" s="448" t="s">
        <v>1518</v>
      </c>
      <c r="E34" s="446" t="s">
        <v>1519</v>
      </c>
      <c r="F34" s="446"/>
      <c r="G34" s="446"/>
      <c r="H34" s="446"/>
      <c r="I34" s="446"/>
      <c r="J34" s="446"/>
      <c r="K34" s="446"/>
      <c r="L34" s="446"/>
      <c r="M34" s="446"/>
      <c r="N34" s="446"/>
      <c r="O34" s="446"/>
      <c r="P34" s="446"/>
      <c r="Q34" s="446"/>
      <c r="R34" s="446"/>
      <c r="S34" s="446"/>
      <c r="T34" s="446"/>
      <c r="U34" s="446"/>
      <c r="V34" s="446"/>
      <c r="W34" s="446"/>
      <c r="X34" s="446"/>
      <c r="Y34" s="446"/>
      <c r="Z34" s="446"/>
      <c r="AA34" s="446"/>
      <c r="AB34" s="446"/>
      <c r="AC34" s="446"/>
      <c r="AD34" s="446"/>
      <c r="AE34" s="447"/>
      <c r="AF34" s="447"/>
      <c r="AG34" s="447"/>
      <c r="AH34" s="447"/>
      <c r="AI34" s="447"/>
      <c r="AJ34" s="447"/>
      <c r="AK34" s="447"/>
      <c r="AL34" s="447"/>
      <c r="AM34" s="447"/>
      <c r="AN34" s="447"/>
      <c r="AO34" s="447"/>
      <c r="AP34" s="447"/>
      <c r="AQ34" s="444"/>
    </row>
    <row r="35" spans="3:43" ht="15.95" customHeight="1" x14ac:dyDescent="0.25">
      <c r="C35" s="286"/>
      <c r="D35" s="448" t="s">
        <v>1518</v>
      </c>
      <c r="E35" s="446" t="s">
        <v>1520</v>
      </c>
      <c r="F35" s="446"/>
      <c r="G35" s="446"/>
      <c r="H35" s="446"/>
      <c r="I35" s="446"/>
      <c r="J35" s="446"/>
      <c r="K35" s="446"/>
      <c r="L35" s="446"/>
      <c r="M35" s="446"/>
      <c r="N35" s="446"/>
      <c r="O35" s="446"/>
      <c r="P35" s="446"/>
      <c r="Q35" s="446"/>
      <c r="R35" s="446"/>
      <c r="S35" s="446"/>
      <c r="T35" s="446"/>
      <c r="U35" s="446"/>
      <c r="V35" s="446"/>
      <c r="W35" s="446"/>
      <c r="X35" s="446"/>
      <c r="Y35" s="446"/>
      <c r="Z35" s="446"/>
      <c r="AA35" s="446"/>
      <c r="AB35" s="446"/>
      <c r="AC35" s="446"/>
      <c r="AD35" s="446"/>
      <c r="AE35" s="447"/>
      <c r="AF35" s="447"/>
      <c r="AG35" s="447"/>
      <c r="AH35" s="447"/>
      <c r="AI35" s="447"/>
      <c r="AJ35" s="447"/>
      <c r="AK35" s="447"/>
      <c r="AL35" s="447"/>
      <c r="AM35" s="447"/>
      <c r="AN35" s="447"/>
      <c r="AO35" s="447"/>
      <c r="AP35" s="447"/>
      <c r="AQ35" s="444"/>
    </row>
    <row r="36" spans="3:43" ht="15.95" customHeight="1" x14ac:dyDescent="0.25">
      <c r="C36" s="286"/>
      <c r="D36" s="448" t="s">
        <v>1518</v>
      </c>
      <c r="E36" s="446" t="s">
        <v>1521</v>
      </c>
      <c r="F36" s="446"/>
      <c r="G36" s="446"/>
      <c r="H36" s="446"/>
      <c r="I36" s="446"/>
      <c r="J36" s="446"/>
      <c r="K36" s="446"/>
      <c r="L36" s="446"/>
      <c r="M36" s="446"/>
      <c r="N36" s="446"/>
      <c r="O36" s="446"/>
      <c r="P36" s="446"/>
      <c r="Q36" s="446"/>
      <c r="R36" s="446"/>
      <c r="S36" s="446"/>
      <c r="T36" s="446"/>
      <c r="U36" s="446"/>
      <c r="V36" s="446"/>
      <c r="W36" s="446"/>
      <c r="X36" s="446"/>
      <c r="Y36" s="446"/>
      <c r="Z36" s="446"/>
      <c r="AA36" s="446"/>
      <c r="AB36" s="446"/>
      <c r="AC36" s="446"/>
      <c r="AD36" s="446"/>
      <c r="AE36" s="447"/>
      <c r="AF36" s="447"/>
      <c r="AG36" s="447"/>
      <c r="AH36" s="447"/>
      <c r="AI36" s="447"/>
      <c r="AJ36" s="447"/>
      <c r="AK36" s="447"/>
      <c r="AL36" s="447"/>
      <c r="AM36" s="447"/>
      <c r="AN36" s="447"/>
      <c r="AO36" s="447"/>
      <c r="AP36" s="447"/>
      <c r="AQ36" s="444"/>
    </row>
    <row r="37" spans="3:43" ht="15.95" customHeight="1" x14ac:dyDescent="0.25">
      <c r="C37" s="286"/>
      <c r="D37" s="448" t="s">
        <v>1518</v>
      </c>
      <c r="E37" s="735" t="s">
        <v>1522</v>
      </c>
      <c r="F37" s="735"/>
      <c r="G37" s="735"/>
      <c r="H37" s="735"/>
      <c r="I37" s="735"/>
      <c r="J37" s="735"/>
      <c r="K37" s="735"/>
      <c r="L37" s="735"/>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735"/>
      <c r="AP37" s="735"/>
      <c r="AQ37" s="444"/>
    </row>
    <row r="38" spans="3:43" ht="15.95" customHeight="1" x14ac:dyDescent="0.25">
      <c r="C38" s="286"/>
      <c r="D38" s="447"/>
      <c r="E38" s="735"/>
      <c r="F38" s="735"/>
      <c r="G38" s="735"/>
      <c r="H38" s="735"/>
      <c r="I38" s="735"/>
      <c r="J38" s="735"/>
      <c r="K38" s="735"/>
      <c r="L38" s="735"/>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735"/>
      <c r="AP38" s="735"/>
      <c r="AQ38" s="444"/>
    </row>
    <row r="39" spans="3:43" ht="15.95" customHeight="1" x14ac:dyDescent="0.25">
      <c r="C39" s="286"/>
      <c r="D39" s="440"/>
      <c r="E39" s="449"/>
      <c r="F39" s="449"/>
      <c r="G39" s="449"/>
      <c r="H39" s="449"/>
      <c r="I39" s="449"/>
      <c r="J39" s="449"/>
      <c r="K39" s="449"/>
      <c r="L39" s="449"/>
      <c r="M39" s="449"/>
      <c r="N39" s="449"/>
      <c r="O39" s="449"/>
      <c r="P39" s="449"/>
      <c r="Q39" s="449"/>
      <c r="R39" s="449"/>
      <c r="S39" s="449"/>
      <c r="T39" s="449"/>
      <c r="U39" s="449"/>
      <c r="V39" s="449"/>
      <c r="W39" s="449"/>
      <c r="X39" s="449"/>
      <c r="Y39" s="449"/>
      <c r="Z39" s="449"/>
      <c r="AA39" s="449"/>
      <c r="AB39" s="449"/>
      <c r="AC39" s="449"/>
      <c r="AD39" s="449"/>
      <c r="AE39" s="449"/>
      <c r="AF39" s="440"/>
      <c r="AG39" s="440"/>
      <c r="AH39" s="440"/>
      <c r="AI39" s="440"/>
      <c r="AJ39" s="440"/>
      <c r="AK39" s="440"/>
      <c r="AL39" s="440"/>
      <c r="AM39" s="440"/>
      <c r="AN39" s="440"/>
      <c r="AO39" s="440"/>
      <c r="AP39" s="440"/>
      <c r="AQ39" s="441"/>
    </row>
    <row r="40" spans="3:43" ht="15.95" customHeight="1" x14ac:dyDescent="0.25">
      <c r="C40" s="286"/>
      <c r="D40" s="443" t="s">
        <v>1523</v>
      </c>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40"/>
      <c r="AO40" s="440"/>
      <c r="AP40" s="440"/>
      <c r="AQ40" s="441"/>
    </row>
    <row r="41" spans="3:43" ht="15.95" customHeight="1" x14ac:dyDescent="0.25">
      <c r="C41" s="286"/>
      <c r="D41" s="450" t="s">
        <v>1524</v>
      </c>
      <c r="E41" s="6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40"/>
      <c r="AO41" s="440"/>
      <c r="AP41" s="440"/>
      <c r="AQ41" s="441"/>
    </row>
    <row r="42" spans="3:43" ht="15.95" customHeight="1" x14ac:dyDescent="0.25">
      <c r="C42" s="286"/>
      <c r="D42" s="448" t="s">
        <v>1518</v>
      </c>
      <c r="E42" s="451" t="s">
        <v>1525</v>
      </c>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40"/>
      <c r="AO42" s="440"/>
      <c r="AP42" s="440"/>
      <c r="AQ42" s="441"/>
    </row>
    <row r="43" spans="3:43" ht="15.95" customHeight="1" x14ac:dyDescent="0.25">
      <c r="C43" s="286"/>
      <c r="D43" s="448" t="s">
        <v>1518</v>
      </c>
      <c r="E43" s="451" t="s">
        <v>1526</v>
      </c>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40"/>
      <c r="AO43" s="440"/>
      <c r="AP43" s="440"/>
      <c r="AQ43" s="441"/>
    </row>
    <row r="44" spans="3:43" ht="15.95" customHeight="1" x14ac:dyDescent="0.25">
      <c r="C44" s="286"/>
      <c r="D44" s="448" t="s">
        <v>1518</v>
      </c>
      <c r="E44" s="451" t="s">
        <v>1527</v>
      </c>
      <c r="F44" s="440"/>
      <c r="G44" s="440"/>
      <c r="H44" s="440"/>
      <c r="I44" s="440"/>
      <c r="J44" s="440"/>
      <c r="K44" s="440"/>
      <c r="L44" s="440"/>
      <c r="M44" s="440"/>
      <c r="N44" s="440"/>
      <c r="O44" s="440"/>
      <c r="P44" s="440"/>
      <c r="Q44" s="440"/>
      <c r="R44" s="440"/>
      <c r="S44" s="440"/>
      <c r="T44" s="440"/>
      <c r="U44" s="440"/>
      <c r="V44" s="440"/>
      <c r="W44" s="440"/>
      <c r="X44" s="440"/>
      <c r="Y44" s="440"/>
      <c r="Z44" s="440"/>
      <c r="AA44" s="440"/>
      <c r="AB44" s="440"/>
      <c r="AC44" s="440"/>
      <c r="AD44" s="440"/>
      <c r="AE44" s="440"/>
      <c r="AF44" s="440"/>
      <c r="AG44" s="440"/>
      <c r="AH44" s="440"/>
      <c r="AI44" s="440"/>
      <c r="AJ44" s="440"/>
      <c r="AK44" s="440"/>
      <c r="AL44" s="440"/>
      <c r="AM44" s="440"/>
      <c r="AN44" s="440"/>
      <c r="AO44" s="440"/>
      <c r="AP44" s="440"/>
      <c r="AQ44" s="441"/>
    </row>
    <row r="45" spans="3:43" ht="15.95" customHeight="1" x14ac:dyDescent="0.25">
      <c r="C45" s="286"/>
      <c r="D45" s="448" t="s">
        <v>1518</v>
      </c>
      <c r="E45" s="451" t="s">
        <v>1528</v>
      </c>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40"/>
      <c r="AO45" s="440"/>
      <c r="AP45" s="440"/>
      <c r="AQ45" s="441"/>
    </row>
    <row r="46" spans="3:43" ht="15.95" customHeight="1" x14ac:dyDescent="0.25">
      <c r="C46" s="286"/>
      <c r="D46" s="440"/>
      <c r="E46" s="440"/>
      <c r="F46" s="440"/>
      <c r="G46" s="440"/>
      <c r="H46" s="440"/>
      <c r="I46" s="440"/>
      <c r="J46" s="440"/>
      <c r="K46" s="440"/>
      <c r="L46" s="440"/>
      <c r="M46" s="440"/>
      <c r="N46" s="440"/>
      <c r="O46" s="440"/>
      <c r="P46" s="440"/>
      <c r="Q46" s="440"/>
      <c r="R46" s="440"/>
      <c r="S46" s="440"/>
      <c r="T46" s="440"/>
      <c r="U46" s="440"/>
      <c r="V46" s="440"/>
      <c r="W46" s="440"/>
      <c r="X46" s="440"/>
      <c r="Y46" s="440"/>
      <c r="Z46" s="440"/>
      <c r="AA46" s="440"/>
      <c r="AB46" s="440"/>
      <c r="AC46" s="440"/>
      <c r="AD46" s="440"/>
      <c r="AE46" s="440"/>
      <c r="AF46" s="440"/>
      <c r="AG46" s="440"/>
      <c r="AH46" s="440"/>
      <c r="AI46" s="440"/>
      <c r="AJ46" s="440"/>
      <c r="AK46" s="440"/>
      <c r="AL46" s="440"/>
      <c r="AM46" s="440"/>
      <c r="AN46" s="440"/>
      <c r="AO46" s="440"/>
      <c r="AP46" s="440"/>
      <c r="AQ46" s="441"/>
    </row>
    <row r="47" spans="3:43" ht="15.95" customHeight="1" x14ac:dyDescent="0.25">
      <c r="C47" s="286"/>
      <c r="D47" s="439" t="s">
        <v>1529</v>
      </c>
      <c r="E47" s="440"/>
      <c r="F47" s="440"/>
      <c r="G47" s="440"/>
      <c r="H47" s="440"/>
      <c r="I47" s="440"/>
      <c r="J47" s="440"/>
      <c r="K47" s="440"/>
      <c r="L47" s="440"/>
      <c r="M47" s="440"/>
      <c r="N47" s="440"/>
      <c r="O47" s="440"/>
      <c r="P47" s="440"/>
      <c r="Q47" s="440"/>
      <c r="R47" s="440"/>
      <c r="S47" s="440"/>
      <c r="T47" s="440"/>
      <c r="U47" s="440"/>
      <c r="V47" s="440"/>
      <c r="W47" s="440"/>
      <c r="X47" s="440"/>
      <c r="Y47" s="440"/>
      <c r="Z47" s="440"/>
      <c r="AA47" s="440"/>
      <c r="AB47" s="440"/>
      <c r="AC47" s="440"/>
      <c r="AD47" s="440"/>
      <c r="AE47" s="440"/>
      <c r="AF47" s="440"/>
      <c r="AG47" s="440"/>
      <c r="AH47" s="440"/>
      <c r="AI47" s="440"/>
      <c r="AJ47" s="440"/>
      <c r="AK47" s="440"/>
      <c r="AL47" s="440"/>
      <c r="AM47" s="440"/>
      <c r="AN47" s="440"/>
      <c r="AO47" s="440"/>
      <c r="AP47" s="440"/>
      <c r="AQ47" s="441"/>
    </row>
    <row r="48" spans="3:43" ht="15.95" customHeight="1" x14ac:dyDescent="0.25">
      <c r="C48" s="286"/>
      <c r="D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40"/>
      <c r="AO48" s="440"/>
      <c r="AP48" s="440"/>
      <c r="AQ48" s="441"/>
    </row>
    <row r="49" spans="3:43" ht="15.95" customHeight="1" x14ac:dyDescent="0.25">
      <c r="C49" s="286"/>
      <c r="D49" s="443" t="s">
        <v>1530</v>
      </c>
      <c r="E49" s="440"/>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40"/>
      <c r="AO49" s="440"/>
      <c r="AP49" s="440"/>
      <c r="AQ49" s="441"/>
    </row>
    <row r="50" spans="3:43" ht="15.95" customHeight="1" x14ac:dyDescent="0.25">
      <c r="C50" s="286"/>
      <c r="D50" s="448" t="s">
        <v>1518</v>
      </c>
      <c r="E50" s="450" t="s">
        <v>1531</v>
      </c>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40"/>
      <c r="AO50" s="440"/>
      <c r="AP50" s="440"/>
      <c r="AQ50" s="441"/>
    </row>
    <row r="51" spans="3:43" ht="15.95" customHeight="1" x14ac:dyDescent="0.25">
      <c r="C51" s="286"/>
      <c r="D51" s="448" t="s">
        <v>1518</v>
      </c>
      <c r="E51" s="450" t="s">
        <v>1532</v>
      </c>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40"/>
      <c r="AO51" s="440"/>
      <c r="AP51" s="440"/>
      <c r="AQ51" s="441"/>
    </row>
    <row r="52" spans="3:43" ht="15.95" customHeight="1" x14ac:dyDescent="0.25">
      <c r="C52" s="286"/>
      <c r="D52" s="448" t="s">
        <v>1518</v>
      </c>
      <c r="E52" s="450" t="s">
        <v>1533</v>
      </c>
      <c r="F52" s="440"/>
      <c r="G52" s="440"/>
      <c r="H52" s="440"/>
      <c r="I52" s="440"/>
      <c r="J52" s="440"/>
      <c r="K52" s="440"/>
      <c r="L52" s="440"/>
      <c r="M52" s="440"/>
      <c r="N52" s="440"/>
      <c r="O52" s="440"/>
      <c r="P52" s="440"/>
      <c r="Q52" s="440"/>
      <c r="R52" s="440"/>
      <c r="S52" s="440"/>
      <c r="T52" s="440"/>
      <c r="U52" s="440"/>
      <c r="V52" s="440"/>
      <c r="W52" s="440"/>
      <c r="X52" s="440"/>
      <c r="Y52" s="440"/>
      <c r="Z52" s="440"/>
      <c r="AA52" s="440"/>
      <c r="AB52" s="440"/>
      <c r="AC52" s="440"/>
      <c r="AD52" s="440"/>
      <c r="AE52" s="440"/>
      <c r="AF52" s="440"/>
      <c r="AG52" s="440"/>
      <c r="AH52" s="440"/>
      <c r="AI52" s="440"/>
      <c r="AJ52" s="440"/>
      <c r="AK52" s="440"/>
      <c r="AL52" s="440"/>
      <c r="AM52" s="440"/>
      <c r="AN52" s="440"/>
      <c r="AO52" s="440"/>
      <c r="AP52" s="440"/>
      <c r="AQ52" s="441"/>
    </row>
    <row r="53" spans="3:43" ht="15.95" customHeight="1" x14ac:dyDescent="0.25">
      <c r="C53" s="286"/>
      <c r="D53" s="448" t="s">
        <v>1518</v>
      </c>
      <c r="E53" s="736" t="s">
        <v>1534</v>
      </c>
      <c r="F53" s="736"/>
      <c r="G53" s="736"/>
      <c r="H53" s="736"/>
      <c r="I53" s="736"/>
      <c r="J53" s="736"/>
      <c r="K53" s="736"/>
      <c r="L53" s="736"/>
      <c r="M53" s="736"/>
      <c r="N53" s="736"/>
      <c r="O53" s="736"/>
      <c r="P53" s="736"/>
      <c r="Q53" s="736"/>
      <c r="R53" s="736"/>
      <c r="S53" s="736"/>
      <c r="T53" s="736"/>
      <c r="U53" s="736"/>
      <c r="V53" s="736"/>
      <c r="W53" s="736"/>
      <c r="X53" s="736"/>
      <c r="Y53" s="736"/>
      <c r="Z53" s="736"/>
      <c r="AA53" s="736"/>
      <c r="AB53" s="736"/>
      <c r="AC53" s="736"/>
      <c r="AD53" s="736"/>
      <c r="AE53" s="736"/>
      <c r="AF53" s="736"/>
      <c r="AG53" s="736"/>
      <c r="AH53" s="736"/>
      <c r="AI53" s="736"/>
      <c r="AJ53" s="736"/>
      <c r="AK53" s="736"/>
      <c r="AL53" s="736"/>
      <c r="AM53" s="736"/>
      <c r="AN53" s="736"/>
      <c r="AO53" s="736"/>
      <c r="AP53" s="736"/>
      <c r="AQ53" s="441"/>
    </row>
    <row r="54" spans="3:43" ht="15.95" customHeight="1" x14ac:dyDescent="0.25">
      <c r="C54" s="286"/>
      <c r="D54" s="448"/>
      <c r="E54" s="736"/>
      <c r="F54" s="736"/>
      <c r="G54" s="736"/>
      <c r="H54" s="736"/>
      <c r="I54" s="736"/>
      <c r="J54" s="736"/>
      <c r="K54" s="736"/>
      <c r="L54" s="736"/>
      <c r="M54" s="736"/>
      <c r="N54" s="736"/>
      <c r="O54" s="736"/>
      <c r="P54" s="736"/>
      <c r="Q54" s="736"/>
      <c r="R54" s="736"/>
      <c r="S54" s="736"/>
      <c r="T54" s="736"/>
      <c r="U54" s="736"/>
      <c r="V54" s="736"/>
      <c r="W54" s="736"/>
      <c r="X54" s="736"/>
      <c r="Y54" s="736"/>
      <c r="Z54" s="736"/>
      <c r="AA54" s="736"/>
      <c r="AB54" s="736"/>
      <c r="AC54" s="736"/>
      <c r="AD54" s="736"/>
      <c r="AE54" s="736"/>
      <c r="AF54" s="736"/>
      <c r="AG54" s="736"/>
      <c r="AH54" s="736"/>
      <c r="AI54" s="736"/>
      <c r="AJ54" s="736"/>
      <c r="AK54" s="736"/>
      <c r="AL54" s="736"/>
      <c r="AM54" s="736"/>
      <c r="AN54" s="736"/>
      <c r="AO54" s="736"/>
      <c r="AP54" s="736"/>
      <c r="AQ54" s="441"/>
    </row>
    <row r="55" spans="3:43" ht="15.95" customHeight="1" x14ac:dyDescent="0.25">
      <c r="C55" s="286"/>
      <c r="D55" s="448" t="s">
        <v>1518</v>
      </c>
      <c r="E55" s="736" t="s">
        <v>1535</v>
      </c>
      <c r="F55" s="736"/>
      <c r="G55" s="736"/>
      <c r="H55" s="736"/>
      <c r="I55" s="736"/>
      <c r="J55" s="736"/>
      <c r="K55" s="736"/>
      <c r="L55" s="736"/>
      <c r="M55" s="736"/>
      <c r="N55" s="736"/>
      <c r="O55" s="736"/>
      <c r="P55" s="736"/>
      <c r="Q55" s="736"/>
      <c r="R55" s="736"/>
      <c r="S55" s="736"/>
      <c r="T55" s="736"/>
      <c r="U55" s="736"/>
      <c r="V55" s="736"/>
      <c r="W55" s="736"/>
      <c r="X55" s="736"/>
      <c r="Y55" s="736"/>
      <c r="Z55" s="736"/>
      <c r="AA55" s="736"/>
      <c r="AB55" s="736"/>
      <c r="AC55" s="736"/>
      <c r="AD55" s="736"/>
      <c r="AE55" s="736"/>
      <c r="AF55" s="736"/>
      <c r="AG55" s="736"/>
      <c r="AH55" s="736"/>
      <c r="AI55" s="736"/>
      <c r="AJ55" s="736"/>
      <c r="AK55" s="736"/>
      <c r="AL55" s="736"/>
      <c r="AM55" s="736"/>
      <c r="AN55" s="736"/>
      <c r="AO55" s="736"/>
      <c r="AP55" s="736"/>
      <c r="AQ55" s="441"/>
    </row>
    <row r="56" spans="3:43" ht="15.95" customHeight="1" x14ac:dyDescent="0.25">
      <c r="C56" s="286"/>
      <c r="D56" s="60"/>
      <c r="E56" s="736"/>
      <c r="F56" s="736"/>
      <c r="G56" s="736"/>
      <c r="H56" s="736"/>
      <c r="I56" s="736"/>
      <c r="J56" s="736"/>
      <c r="K56" s="736"/>
      <c r="L56" s="736"/>
      <c r="M56" s="736"/>
      <c r="N56" s="736"/>
      <c r="O56" s="736"/>
      <c r="P56" s="736"/>
      <c r="Q56" s="736"/>
      <c r="R56" s="736"/>
      <c r="S56" s="736"/>
      <c r="T56" s="736"/>
      <c r="U56" s="736"/>
      <c r="V56" s="736"/>
      <c r="W56" s="736"/>
      <c r="X56" s="736"/>
      <c r="Y56" s="736"/>
      <c r="Z56" s="736"/>
      <c r="AA56" s="736"/>
      <c r="AB56" s="736"/>
      <c r="AC56" s="736"/>
      <c r="AD56" s="736"/>
      <c r="AE56" s="736"/>
      <c r="AF56" s="736"/>
      <c r="AG56" s="736"/>
      <c r="AH56" s="736"/>
      <c r="AI56" s="736"/>
      <c r="AJ56" s="736"/>
      <c r="AK56" s="736"/>
      <c r="AL56" s="736"/>
      <c r="AM56" s="736"/>
      <c r="AN56" s="736"/>
      <c r="AO56" s="736"/>
      <c r="AP56" s="736"/>
      <c r="AQ56" s="441"/>
    </row>
    <row r="57" spans="3:43" s="63" customFormat="1" ht="15.95" customHeight="1" x14ac:dyDescent="0.25">
      <c r="C57" s="286"/>
      <c r="D57" s="448" t="s">
        <v>1518</v>
      </c>
      <c r="E57" s="450" t="s">
        <v>1536</v>
      </c>
      <c r="F57" s="440"/>
      <c r="G57" s="440"/>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40"/>
      <c r="AO57" s="440"/>
      <c r="AP57" s="440"/>
      <c r="AQ57" s="441"/>
    </row>
    <row r="58" spans="3:43" s="63" customFormat="1" ht="15.95" customHeight="1" x14ac:dyDescent="0.25">
      <c r="C58" s="286"/>
      <c r="D58" s="448" t="s">
        <v>1518</v>
      </c>
      <c r="E58" s="450" t="s">
        <v>1537</v>
      </c>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40"/>
      <c r="AO58" s="440"/>
      <c r="AP58" s="440"/>
      <c r="AQ58" s="441"/>
    </row>
    <row r="59" spans="3:43" s="63" customFormat="1" ht="15.95" customHeight="1" x14ac:dyDescent="0.25">
      <c r="C59" s="286"/>
      <c r="D59" s="448" t="s">
        <v>1518</v>
      </c>
      <c r="E59" s="450" t="s">
        <v>1538</v>
      </c>
      <c r="F59" s="440"/>
      <c r="G59" s="440"/>
      <c r="H59" s="440"/>
      <c r="I59" s="440"/>
      <c r="J59" s="440"/>
      <c r="K59" s="440"/>
      <c r="L59" s="440"/>
      <c r="M59" s="440"/>
      <c r="N59" s="440"/>
      <c r="O59" s="440"/>
      <c r="P59" s="440"/>
      <c r="Q59" s="440"/>
      <c r="R59" s="440"/>
      <c r="S59" s="440"/>
      <c r="T59" s="440"/>
      <c r="U59" s="440"/>
      <c r="V59" s="440"/>
      <c r="W59" s="440"/>
      <c r="X59" s="440"/>
      <c r="Y59" s="440"/>
      <c r="Z59" s="440"/>
      <c r="AA59" s="440"/>
      <c r="AB59" s="440"/>
      <c r="AC59" s="440"/>
      <c r="AD59" s="440"/>
      <c r="AE59" s="440"/>
      <c r="AF59" s="440"/>
      <c r="AG59" s="440"/>
      <c r="AH59" s="440"/>
      <c r="AI59" s="440"/>
      <c r="AJ59" s="440"/>
      <c r="AK59" s="440"/>
      <c r="AL59" s="440"/>
      <c r="AM59" s="440"/>
      <c r="AN59" s="440"/>
      <c r="AO59" s="440"/>
      <c r="AP59" s="440"/>
      <c r="AQ59" s="441"/>
    </row>
    <row r="60" spans="3:43" s="63" customFormat="1" ht="15.95" customHeight="1" x14ac:dyDescent="0.25">
      <c r="C60" s="286"/>
      <c r="D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40"/>
      <c r="AO60" s="440"/>
      <c r="AP60" s="440"/>
      <c r="AQ60" s="441"/>
    </row>
    <row r="61" spans="3:43" s="63" customFormat="1" ht="15.95" customHeight="1" x14ac:dyDescent="0.25">
      <c r="C61" s="286"/>
      <c r="D61" s="443" t="s">
        <v>1539</v>
      </c>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40"/>
      <c r="AO61" s="440"/>
      <c r="AP61" s="440"/>
      <c r="AQ61" s="441"/>
    </row>
    <row r="62" spans="3:43" s="63" customFormat="1" ht="15.95" customHeight="1" x14ac:dyDescent="0.25">
      <c r="C62" s="286"/>
      <c r="D62" s="448" t="s">
        <v>1518</v>
      </c>
      <c r="E62" s="452" t="s">
        <v>1540</v>
      </c>
      <c r="F62" s="453"/>
      <c r="G62" s="453"/>
      <c r="H62" s="453"/>
      <c r="I62" s="453"/>
      <c r="J62" s="453"/>
      <c r="K62" s="453"/>
      <c r="L62" s="453"/>
      <c r="M62" s="453"/>
      <c r="N62" s="453"/>
      <c r="O62" s="453"/>
      <c r="P62" s="453"/>
      <c r="Q62" s="453"/>
      <c r="R62" s="453"/>
      <c r="S62" s="453"/>
      <c r="T62" s="453"/>
      <c r="U62" s="453"/>
      <c r="V62" s="453"/>
      <c r="W62" s="453"/>
      <c r="X62" s="453"/>
      <c r="Y62" s="453"/>
      <c r="Z62" s="453"/>
      <c r="AA62" s="453"/>
      <c r="AB62" s="453"/>
      <c r="AC62" s="453"/>
      <c r="AD62" s="453"/>
      <c r="AE62" s="440"/>
      <c r="AF62" s="440"/>
      <c r="AG62" s="440"/>
      <c r="AH62" s="440"/>
      <c r="AI62" s="440"/>
      <c r="AJ62" s="440"/>
      <c r="AK62" s="440"/>
      <c r="AL62" s="440"/>
      <c r="AM62" s="440"/>
      <c r="AN62" s="440"/>
      <c r="AO62" s="440"/>
      <c r="AP62" s="440"/>
      <c r="AQ62" s="441"/>
    </row>
    <row r="63" spans="3:43" ht="15.95" customHeight="1" x14ac:dyDescent="0.25">
      <c r="C63" s="286"/>
      <c r="D63" s="448"/>
      <c r="E63" s="454" t="s">
        <v>1518</v>
      </c>
      <c r="F63" s="736" t="s">
        <v>1541</v>
      </c>
      <c r="G63" s="736"/>
      <c r="H63" s="736"/>
      <c r="I63" s="736"/>
      <c r="J63" s="736"/>
      <c r="K63" s="736"/>
      <c r="L63" s="736"/>
      <c r="M63" s="736"/>
      <c r="N63" s="736"/>
      <c r="O63" s="736"/>
      <c r="P63" s="736"/>
      <c r="Q63" s="736"/>
      <c r="R63" s="736"/>
      <c r="S63" s="736"/>
      <c r="T63" s="736"/>
      <c r="U63" s="736"/>
      <c r="V63" s="736"/>
      <c r="W63" s="736"/>
      <c r="X63" s="736"/>
      <c r="Y63" s="736"/>
      <c r="Z63" s="736"/>
      <c r="AA63" s="736"/>
      <c r="AB63" s="736"/>
      <c r="AC63" s="736"/>
      <c r="AD63" s="736"/>
      <c r="AE63" s="736"/>
      <c r="AF63" s="736"/>
      <c r="AG63" s="736"/>
      <c r="AH63" s="736"/>
      <c r="AI63" s="736"/>
      <c r="AJ63" s="736"/>
      <c r="AK63" s="736"/>
      <c r="AL63" s="736"/>
      <c r="AM63" s="736"/>
      <c r="AN63" s="736"/>
      <c r="AO63" s="736"/>
      <c r="AP63" s="736"/>
      <c r="AQ63" s="441"/>
    </row>
    <row r="64" spans="3:43" s="63" customFormat="1" ht="15.95" customHeight="1" x14ac:dyDescent="0.25">
      <c r="C64" s="286"/>
      <c r="D64" s="60"/>
      <c r="E64" s="60"/>
      <c r="F64" s="736"/>
      <c r="G64" s="736"/>
      <c r="H64" s="736"/>
      <c r="I64" s="736"/>
      <c r="J64" s="736"/>
      <c r="K64" s="736"/>
      <c r="L64" s="736"/>
      <c r="M64" s="736"/>
      <c r="N64" s="736"/>
      <c r="O64" s="736"/>
      <c r="P64" s="736"/>
      <c r="Q64" s="736"/>
      <c r="R64" s="736"/>
      <c r="S64" s="736"/>
      <c r="T64" s="736"/>
      <c r="U64" s="736"/>
      <c r="V64" s="736"/>
      <c r="W64" s="736"/>
      <c r="X64" s="736"/>
      <c r="Y64" s="736"/>
      <c r="Z64" s="736"/>
      <c r="AA64" s="736"/>
      <c r="AB64" s="736"/>
      <c r="AC64" s="736"/>
      <c r="AD64" s="736"/>
      <c r="AE64" s="736"/>
      <c r="AF64" s="736"/>
      <c r="AG64" s="736"/>
      <c r="AH64" s="736"/>
      <c r="AI64" s="736"/>
      <c r="AJ64" s="736"/>
      <c r="AK64" s="736"/>
      <c r="AL64" s="736"/>
      <c r="AM64" s="736"/>
      <c r="AN64" s="736"/>
      <c r="AO64" s="736"/>
      <c r="AP64" s="736"/>
      <c r="AQ64" s="441"/>
    </row>
    <row r="65" spans="3:43" s="63" customFormat="1" ht="15.95" customHeight="1" x14ac:dyDescent="0.25">
      <c r="C65" s="286"/>
      <c r="D65" s="448" t="s">
        <v>1518</v>
      </c>
      <c r="E65" s="452" t="s">
        <v>1542</v>
      </c>
      <c r="F65" s="453"/>
      <c r="G65" s="453"/>
      <c r="H65" s="453"/>
      <c r="I65" s="453"/>
      <c r="J65" s="453"/>
      <c r="K65" s="453"/>
      <c r="L65" s="453"/>
      <c r="M65" s="453"/>
      <c r="N65" s="453"/>
      <c r="O65" s="453"/>
      <c r="P65" s="453"/>
      <c r="Q65" s="453"/>
      <c r="R65" s="453"/>
      <c r="S65" s="453"/>
      <c r="T65" s="453"/>
      <c r="U65" s="453"/>
      <c r="V65" s="453"/>
      <c r="W65" s="453"/>
      <c r="X65" s="453"/>
      <c r="Y65" s="453"/>
      <c r="Z65" s="453"/>
      <c r="AA65" s="453"/>
      <c r="AB65" s="453"/>
      <c r="AC65" s="453"/>
      <c r="AD65" s="453"/>
      <c r="AE65" s="440"/>
      <c r="AF65" s="440"/>
      <c r="AG65" s="440"/>
      <c r="AH65" s="440"/>
      <c r="AI65" s="440"/>
      <c r="AJ65" s="440"/>
      <c r="AK65" s="440"/>
      <c r="AL65" s="440"/>
      <c r="AM65" s="440"/>
      <c r="AN65" s="440"/>
      <c r="AO65" s="440"/>
      <c r="AP65" s="440"/>
      <c r="AQ65" s="441"/>
    </row>
    <row r="66" spans="3:43" s="63" customFormat="1" ht="15.95" customHeight="1" x14ac:dyDescent="0.25">
      <c r="C66" s="286"/>
      <c r="D66" s="60"/>
      <c r="E66" s="454" t="s">
        <v>1518</v>
      </c>
      <c r="F66" s="450" t="s">
        <v>1543</v>
      </c>
      <c r="G66" s="453"/>
      <c r="H66" s="453"/>
      <c r="I66" s="453"/>
      <c r="J66" s="453"/>
      <c r="K66" s="453"/>
      <c r="L66" s="453"/>
      <c r="M66" s="453"/>
      <c r="N66" s="453"/>
      <c r="O66" s="453"/>
      <c r="P66" s="453"/>
      <c r="Q66" s="453"/>
      <c r="R66" s="453"/>
      <c r="S66" s="453"/>
      <c r="T66" s="453"/>
      <c r="U66" s="453"/>
      <c r="V66" s="453"/>
      <c r="W66" s="453"/>
      <c r="X66" s="453"/>
      <c r="Y66" s="453"/>
      <c r="Z66" s="453"/>
      <c r="AA66" s="453"/>
      <c r="AB66" s="453"/>
      <c r="AC66" s="453"/>
      <c r="AD66" s="453"/>
      <c r="AE66" s="440"/>
      <c r="AF66" s="440"/>
      <c r="AG66" s="440"/>
      <c r="AH66" s="440"/>
      <c r="AI66" s="440"/>
      <c r="AJ66" s="440"/>
      <c r="AK66" s="440"/>
      <c r="AL66" s="440"/>
      <c r="AM66" s="440"/>
      <c r="AN66" s="440"/>
      <c r="AO66" s="440"/>
      <c r="AP66" s="440"/>
      <c r="AQ66" s="441"/>
    </row>
    <row r="67" spans="3:43" s="63" customFormat="1" ht="15.95" customHeight="1" x14ac:dyDescent="0.25">
      <c r="C67" s="286"/>
      <c r="D67" s="60"/>
      <c r="E67" s="454" t="s">
        <v>1518</v>
      </c>
      <c r="F67" s="450" t="s">
        <v>1544</v>
      </c>
      <c r="G67" s="453"/>
      <c r="H67" s="453"/>
      <c r="I67" s="453"/>
      <c r="J67" s="453"/>
      <c r="K67" s="453"/>
      <c r="L67" s="453"/>
      <c r="M67" s="453"/>
      <c r="N67" s="453"/>
      <c r="O67" s="453"/>
      <c r="P67" s="453"/>
      <c r="Q67" s="453"/>
      <c r="R67" s="453"/>
      <c r="S67" s="453"/>
      <c r="T67" s="453"/>
      <c r="U67" s="453"/>
      <c r="V67" s="453"/>
      <c r="W67" s="453"/>
      <c r="X67" s="453"/>
      <c r="Y67" s="453"/>
      <c r="Z67" s="453"/>
      <c r="AA67" s="453"/>
      <c r="AB67" s="453"/>
      <c r="AC67" s="453"/>
      <c r="AD67" s="453"/>
      <c r="AE67" s="440"/>
      <c r="AF67" s="440"/>
      <c r="AG67" s="440"/>
      <c r="AH67" s="440"/>
      <c r="AI67" s="440"/>
      <c r="AJ67" s="440"/>
      <c r="AK67" s="440"/>
      <c r="AL67" s="440"/>
      <c r="AM67" s="440"/>
      <c r="AN67" s="440"/>
      <c r="AO67" s="440"/>
      <c r="AP67" s="440"/>
      <c r="AQ67" s="441"/>
    </row>
    <row r="68" spans="3:43" s="63" customFormat="1" ht="15.95" customHeight="1" x14ac:dyDescent="0.25">
      <c r="C68" s="286"/>
      <c r="D68" s="448"/>
      <c r="E68" s="454" t="s">
        <v>1518</v>
      </c>
      <c r="F68" s="450" t="s">
        <v>1545</v>
      </c>
      <c r="G68" s="453"/>
      <c r="H68" s="453"/>
      <c r="I68" s="453"/>
      <c r="J68" s="453"/>
      <c r="K68" s="453"/>
      <c r="L68" s="453"/>
      <c r="M68" s="453"/>
      <c r="N68" s="453"/>
      <c r="O68" s="453"/>
      <c r="P68" s="453"/>
      <c r="Q68" s="453"/>
      <c r="R68" s="453"/>
      <c r="S68" s="453"/>
      <c r="T68" s="453"/>
      <c r="U68" s="453"/>
      <c r="V68" s="453"/>
      <c r="W68" s="453"/>
      <c r="X68" s="453"/>
      <c r="Y68" s="453"/>
      <c r="Z68" s="453"/>
      <c r="AA68" s="453"/>
      <c r="AB68" s="453"/>
      <c r="AC68" s="453"/>
      <c r="AD68" s="453"/>
      <c r="AE68" s="440"/>
      <c r="AF68" s="440"/>
      <c r="AG68" s="440"/>
      <c r="AH68" s="440"/>
      <c r="AI68" s="440"/>
      <c r="AJ68" s="440"/>
      <c r="AK68" s="440"/>
      <c r="AL68" s="440"/>
      <c r="AM68" s="440"/>
      <c r="AN68" s="440"/>
      <c r="AO68" s="440"/>
      <c r="AP68" s="440"/>
      <c r="AQ68" s="441"/>
    </row>
    <row r="69" spans="3:43" s="63" customFormat="1" ht="15.95" customHeight="1" x14ac:dyDescent="0.25">
      <c r="C69" s="286"/>
      <c r="D69" s="448" t="s">
        <v>1518</v>
      </c>
      <c r="E69" s="450" t="s">
        <v>1546</v>
      </c>
      <c r="F69" s="60"/>
      <c r="G69" s="440"/>
      <c r="H69" s="440"/>
      <c r="I69" s="440"/>
      <c r="J69" s="440"/>
      <c r="K69" s="440"/>
      <c r="L69" s="440"/>
      <c r="M69" s="440"/>
      <c r="N69" s="440"/>
      <c r="O69" s="440"/>
      <c r="P69" s="440"/>
      <c r="Q69" s="440"/>
      <c r="R69" s="440"/>
      <c r="S69" s="440"/>
      <c r="T69" s="440"/>
      <c r="U69" s="440"/>
      <c r="V69" s="440"/>
      <c r="W69" s="440"/>
      <c r="X69" s="440"/>
      <c r="Y69" s="440"/>
      <c r="Z69" s="440"/>
      <c r="AA69" s="440"/>
      <c r="AB69" s="440"/>
      <c r="AC69" s="440"/>
      <c r="AD69" s="440"/>
      <c r="AE69" s="440"/>
      <c r="AF69" s="440"/>
      <c r="AG69" s="440"/>
      <c r="AH69" s="440"/>
      <c r="AI69" s="440"/>
      <c r="AJ69" s="440"/>
      <c r="AK69" s="440"/>
      <c r="AL69" s="440"/>
      <c r="AM69" s="440"/>
      <c r="AN69" s="440"/>
      <c r="AO69" s="440"/>
      <c r="AP69" s="440"/>
      <c r="AQ69" s="441"/>
    </row>
    <row r="70" spans="3:43" s="63" customFormat="1" ht="15.95" customHeight="1" x14ac:dyDescent="0.25">
      <c r="C70" s="286"/>
      <c r="D70" s="60"/>
      <c r="E70" s="60"/>
      <c r="F70" s="60"/>
      <c r="G70" s="440"/>
      <c r="H70" s="440"/>
      <c r="I70" s="440"/>
      <c r="J70" s="440"/>
      <c r="K70" s="440"/>
      <c r="L70" s="440"/>
      <c r="M70" s="440"/>
      <c r="N70" s="440"/>
      <c r="O70" s="440"/>
      <c r="P70" s="440"/>
      <c r="Q70" s="440"/>
      <c r="R70" s="440"/>
      <c r="S70" s="440"/>
      <c r="T70" s="440"/>
      <c r="U70" s="440"/>
      <c r="V70" s="440"/>
      <c r="W70" s="440"/>
      <c r="X70" s="440"/>
      <c r="Y70" s="440"/>
      <c r="Z70" s="440"/>
      <c r="AA70" s="440"/>
      <c r="AB70" s="440"/>
      <c r="AC70" s="440"/>
      <c r="AD70" s="440"/>
      <c r="AE70" s="440"/>
      <c r="AF70" s="440"/>
      <c r="AG70" s="440"/>
      <c r="AH70" s="440"/>
      <c r="AI70" s="440"/>
      <c r="AJ70" s="440"/>
      <c r="AK70" s="440"/>
      <c r="AL70" s="440"/>
      <c r="AM70" s="440"/>
      <c r="AN70" s="440"/>
      <c r="AO70" s="440"/>
      <c r="AP70" s="440"/>
      <c r="AQ70" s="441"/>
    </row>
    <row r="71" spans="3:43" s="63" customFormat="1" ht="15.95" customHeight="1" x14ac:dyDescent="0.25">
      <c r="C71" s="286"/>
      <c r="D71" s="443" t="s">
        <v>1547</v>
      </c>
      <c r="E71" s="440"/>
      <c r="F71" s="60"/>
      <c r="G71" s="440"/>
      <c r="H71" s="440"/>
      <c r="I71" s="440"/>
      <c r="J71" s="440"/>
      <c r="K71" s="440"/>
      <c r="L71" s="440"/>
      <c r="M71" s="440"/>
      <c r="N71" s="440"/>
      <c r="O71" s="440"/>
      <c r="P71" s="440"/>
      <c r="Q71" s="440"/>
      <c r="R71" s="440"/>
      <c r="S71" s="440"/>
      <c r="T71" s="440"/>
      <c r="U71" s="440"/>
      <c r="V71" s="440"/>
      <c r="W71" s="440"/>
      <c r="X71" s="440"/>
      <c r="Y71" s="440"/>
      <c r="Z71" s="440"/>
      <c r="AA71" s="440"/>
      <c r="AB71" s="440"/>
      <c r="AC71" s="440"/>
      <c r="AD71" s="440"/>
      <c r="AE71" s="440"/>
      <c r="AF71" s="440"/>
      <c r="AG71" s="440"/>
      <c r="AH71" s="440"/>
      <c r="AI71" s="440"/>
      <c r="AJ71" s="440"/>
      <c r="AK71" s="440"/>
      <c r="AL71" s="440"/>
      <c r="AM71" s="440"/>
      <c r="AN71" s="440"/>
      <c r="AO71" s="440"/>
      <c r="AP71" s="440"/>
      <c r="AQ71" s="441"/>
    </row>
    <row r="72" spans="3:43" s="63" customFormat="1" ht="15.95" customHeight="1" x14ac:dyDescent="0.25">
      <c r="C72" s="286"/>
      <c r="D72" s="735" t="s">
        <v>1548</v>
      </c>
      <c r="E72" s="735"/>
      <c r="F72" s="735"/>
      <c r="G72" s="735"/>
      <c r="H72" s="735"/>
      <c r="I72" s="735"/>
      <c r="J72" s="735"/>
      <c r="K72" s="735"/>
      <c r="L72" s="735"/>
      <c r="M72" s="735"/>
      <c r="N72" s="735"/>
      <c r="O72" s="735"/>
      <c r="P72" s="735"/>
      <c r="Q72" s="735"/>
      <c r="R72" s="735"/>
      <c r="S72" s="735"/>
      <c r="T72" s="735"/>
      <c r="U72" s="735"/>
      <c r="V72" s="735"/>
      <c r="W72" s="735"/>
      <c r="X72" s="735"/>
      <c r="Y72" s="735"/>
      <c r="Z72" s="735"/>
      <c r="AA72" s="735"/>
      <c r="AB72" s="735"/>
      <c r="AC72" s="735"/>
      <c r="AD72" s="735"/>
      <c r="AE72" s="735"/>
      <c r="AF72" s="735"/>
      <c r="AG72" s="735"/>
      <c r="AH72" s="735"/>
      <c r="AI72" s="735"/>
      <c r="AJ72" s="735"/>
      <c r="AK72" s="735"/>
      <c r="AL72" s="735"/>
      <c r="AM72" s="735"/>
      <c r="AN72" s="735"/>
      <c r="AO72" s="735"/>
      <c r="AP72" s="735"/>
      <c r="AQ72" s="441"/>
    </row>
    <row r="73" spans="3:43" s="63" customFormat="1" ht="15.95" customHeight="1" x14ac:dyDescent="0.25">
      <c r="C73" s="286"/>
      <c r="D73" s="735"/>
      <c r="E73" s="735"/>
      <c r="F73" s="735"/>
      <c r="G73" s="735"/>
      <c r="H73" s="735"/>
      <c r="I73" s="735"/>
      <c r="J73" s="735"/>
      <c r="K73" s="735"/>
      <c r="L73" s="735"/>
      <c r="M73" s="735"/>
      <c r="N73" s="735"/>
      <c r="O73" s="735"/>
      <c r="P73" s="735"/>
      <c r="Q73" s="735"/>
      <c r="R73" s="735"/>
      <c r="S73" s="735"/>
      <c r="T73" s="735"/>
      <c r="U73" s="735"/>
      <c r="V73" s="735"/>
      <c r="W73" s="735"/>
      <c r="X73" s="735"/>
      <c r="Y73" s="735"/>
      <c r="Z73" s="735"/>
      <c r="AA73" s="735"/>
      <c r="AB73" s="735"/>
      <c r="AC73" s="735"/>
      <c r="AD73" s="735"/>
      <c r="AE73" s="735"/>
      <c r="AF73" s="735"/>
      <c r="AG73" s="735"/>
      <c r="AH73" s="735"/>
      <c r="AI73" s="735"/>
      <c r="AJ73" s="735"/>
      <c r="AK73" s="735"/>
      <c r="AL73" s="735"/>
      <c r="AM73" s="735"/>
      <c r="AN73" s="735"/>
      <c r="AO73" s="735"/>
      <c r="AP73" s="735"/>
      <c r="AQ73" s="441"/>
    </row>
    <row r="74" spans="3:43" s="63" customFormat="1" ht="15.95" customHeight="1" x14ac:dyDescent="0.25">
      <c r="C74" s="286"/>
      <c r="D74" s="448" t="s">
        <v>1518</v>
      </c>
      <c r="E74" s="450" t="s">
        <v>1549</v>
      </c>
      <c r="F74" s="440"/>
      <c r="G74" s="440"/>
      <c r="H74" s="440"/>
      <c r="I74" s="440"/>
      <c r="J74" s="440"/>
      <c r="K74" s="440"/>
      <c r="L74" s="440"/>
      <c r="M74" s="440"/>
      <c r="N74" s="440"/>
      <c r="O74" s="440"/>
      <c r="P74" s="440"/>
      <c r="Q74" s="440"/>
      <c r="R74" s="440"/>
      <c r="S74" s="440"/>
      <c r="T74" s="440"/>
      <c r="U74" s="440"/>
      <c r="V74" s="440"/>
      <c r="W74" s="440"/>
      <c r="X74" s="440"/>
      <c r="Y74" s="440"/>
      <c r="Z74" s="440"/>
      <c r="AA74" s="440"/>
      <c r="AB74" s="440"/>
      <c r="AC74" s="440"/>
      <c r="AD74" s="440"/>
      <c r="AE74" s="440"/>
      <c r="AF74" s="440"/>
      <c r="AG74" s="440"/>
      <c r="AH74" s="440"/>
      <c r="AI74" s="440"/>
      <c r="AJ74" s="440"/>
      <c r="AK74" s="440"/>
      <c r="AL74" s="440"/>
      <c r="AM74" s="440"/>
      <c r="AN74" s="440"/>
      <c r="AO74" s="440"/>
      <c r="AP74" s="440"/>
      <c r="AQ74" s="441"/>
    </row>
    <row r="75" spans="3:43" s="63" customFormat="1" ht="15.95" customHeight="1" x14ac:dyDescent="0.25">
      <c r="C75" s="286"/>
      <c r="D75" s="448" t="s">
        <v>1518</v>
      </c>
      <c r="E75" s="450" t="s">
        <v>1550</v>
      </c>
      <c r="F75" s="440"/>
      <c r="G75" s="440"/>
      <c r="H75" s="440"/>
      <c r="I75" s="440"/>
      <c r="J75" s="440"/>
      <c r="K75" s="440"/>
      <c r="L75" s="440"/>
      <c r="M75" s="440"/>
      <c r="N75" s="440"/>
      <c r="O75" s="440"/>
      <c r="P75" s="440"/>
      <c r="Q75" s="440"/>
      <c r="R75" s="440"/>
      <c r="S75" s="440"/>
      <c r="T75" s="440"/>
      <c r="U75" s="440"/>
      <c r="V75" s="440"/>
      <c r="W75" s="440"/>
      <c r="X75" s="440"/>
      <c r="Y75" s="440"/>
      <c r="Z75" s="440"/>
      <c r="AA75" s="440"/>
      <c r="AB75" s="440"/>
      <c r="AC75" s="440"/>
      <c r="AD75" s="440"/>
      <c r="AE75" s="440"/>
      <c r="AF75" s="440"/>
      <c r="AG75" s="440"/>
      <c r="AH75" s="440"/>
      <c r="AI75" s="440"/>
      <c r="AJ75" s="440"/>
      <c r="AK75" s="440"/>
      <c r="AL75" s="440"/>
      <c r="AM75" s="440"/>
      <c r="AN75" s="440"/>
      <c r="AO75" s="440"/>
      <c r="AP75" s="440"/>
      <c r="AQ75" s="441"/>
    </row>
    <row r="76" spans="3:43" s="63" customFormat="1" ht="15.95" customHeight="1" x14ac:dyDescent="0.25">
      <c r="C76" s="286"/>
      <c r="D76" s="448" t="s">
        <v>1518</v>
      </c>
      <c r="E76" s="450" t="s">
        <v>1551</v>
      </c>
      <c r="F76" s="440"/>
      <c r="G76" s="440"/>
      <c r="H76" s="440"/>
      <c r="I76" s="440"/>
      <c r="J76" s="440"/>
      <c r="K76" s="440"/>
      <c r="L76" s="440"/>
      <c r="M76" s="440"/>
      <c r="N76" s="440"/>
      <c r="O76" s="440"/>
      <c r="P76" s="440"/>
      <c r="Q76" s="440"/>
      <c r="R76" s="440"/>
      <c r="S76" s="440"/>
      <c r="T76" s="440"/>
      <c r="U76" s="440"/>
      <c r="V76" s="440"/>
      <c r="W76" s="440"/>
      <c r="X76" s="440"/>
      <c r="Y76" s="440"/>
      <c r="Z76" s="440"/>
      <c r="AA76" s="440"/>
      <c r="AB76" s="440"/>
      <c r="AC76" s="440"/>
      <c r="AD76" s="440"/>
      <c r="AE76" s="440"/>
      <c r="AF76" s="440"/>
      <c r="AG76" s="440"/>
      <c r="AH76" s="440"/>
      <c r="AI76" s="440"/>
      <c r="AJ76" s="440"/>
      <c r="AK76" s="440"/>
      <c r="AL76" s="440"/>
      <c r="AM76" s="440"/>
      <c r="AN76" s="440"/>
      <c r="AO76" s="440"/>
      <c r="AP76" s="440"/>
      <c r="AQ76" s="441"/>
    </row>
    <row r="77" spans="3:43" s="63" customFormat="1" ht="15.95" customHeight="1" x14ac:dyDescent="0.25">
      <c r="C77" s="286"/>
      <c r="D77" s="448" t="s">
        <v>1518</v>
      </c>
      <c r="E77" s="450" t="s">
        <v>1552</v>
      </c>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0"/>
      <c r="AL77" s="440"/>
      <c r="AM77" s="440"/>
      <c r="AN77" s="440"/>
      <c r="AO77" s="440"/>
      <c r="AP77" s="440"/>
      <c r="AQ77" s="441"/>
    </row>
    <row r="78" spans="3:43" s="63" customFormat="1" ht="15.95" customHeight="1" x14ac:dyDescent="0.25">
      <c r="C78" s="286"/>
      <c r="D78" s="60"/>
      <c r="E78" s="60"/>
      <c r="F78" s="440"/>
      <c r="G78" s="440"/>
      <c r="H78" s="440"/>
      <c r="I78" s="440"/>
      <c r="J78" s="440"/>
      <c r="K78" s="440"/>
      <c r="L78" s="440"/>
      <c r="M78" s="440"/>
      <c r="N78" s="440"/>
      <c r="O78" s="440"/>
      <c r="P78" s="440"/>
      <c r="Q78" s="440"/>
      <c r="R78" s="440"/>
      <c r="S78" s="440"/>
      <c r="T78" s="440"/>
      <c r="U78" s="440"/>
      <c r="V78" s="440"/>
      <c r="W78" s="440"/>
      <c r="X78" s="440"/>
      <c r="Y78" s="440"/>
      <c r="Z78" s="440"/>
      <c r="AA78" s="440"/>
      <c r="AB78" s="440"/>
      <c r="AC78" s="440"/>
      <c r="AD78" s="440"/>
      <c r="AE78" s="440"/>
      <c r="AF78" s="440"/>
      <c r="AG78" s="440"/>
      <c r="AH78" s="440"/>
      <c r="AI78" s="440"/>
      <c r="AJ78" s="440"/>
      <c r="AK78" s="440"/>
      <c r="AL78" s="440"/>
      <c r="AM78" s="440"/>
      <c r="AN78" s="440"/>
      <c r="AO78" s="440"/>
      <c r="AP78" s="440"/>
      <c r="AQ78" s="441"/>
    </row>
    <row r="79" spans="3:43" s="63" customFormat="1" ht="15.95" customHeight="1" x14ac:dyDescent="0.25">
      <c r="C79" s="286"/>
      <c r="D79" s="440" t="s">
        <v>1553</v>
      </c>
      <c r="E79" s="60"/>
      <c r="F79" s="440"/>
      <c r="G79" s="440"/>
      <c r="H79" s="440"/>
      <c r="I79" s="440"/>
      <c r="J79" s="440"/>
      <c r="K79" s="440"/>
      <c r="L79" s="440"/>
      <c r="M79" s="440"/>
      <c r="N79" s="440"/>
      <c r="O79" s="440"/>
      <c r="P79" s="440"/>
      <c r="Q79" s="440"/>
      <c r="R79" s="440"/>
      <c r="S79" s="440"/>
      <c r="T79" s="440"/>
      <c r="U79" s="440"/>
      <c r="V79" s="440"/>
      <c r="W79" s="440"/>
      <c r="X79" s="440"/>
      <c r="Y79" s="440"/>
      <c r="Z79" s="440"/>
      <c r="AA79" s="440"/>
      <c r="AB79" s="440"/>
      <c r="AC79" s="440"/>
      <c r="AD79" s="440"/>
      <c r="AE79" s="440"/>
      <c r="AF79" s="440"/>
      <c r="AG79" s="440"/>
      <c r="AH79" s="440"/>
      <c r="AI79" s="440"/>
      <c r="AJ79" s="440"/>
      <c r="AK79" s="440"/>
      <c r="AL79" s="440"/>
      <c r="AM79" s="440"/>
      <c r="AN79" s="440"/>
      <c r="AO79" s="440"/>
      <c r="AP79" s="440"/>
      <c r="AQ79" s="441"/>
    </row>
    <row r="80" spans="3:43" s="63" customFormat="1" ht="15.95" customHeight="1" x14ac:dyDescent="0.25">
      <c r="C80" s="286"/>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287"/>
    </row>
    <row r="81" spans="3:43" s="63" customFormat="1" ht="15.95" customHeight="1" x14ac:dyDescent="0.25">
      <c r="C81" s="286"/>
      <c r="D81" s="439" t="s">
        <v>1554</v>
      </c>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287"/>
    </row>
    <row r="82" spans="3:43" s="63" customFormat="1" ht="15.95" customHeight="1" x14ac:dyDescent="0.25">
      <c r="C82" s="286"/>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287"/>
    </row>
    <row r="83" spans="3:43" s="63" customFormat="1" ht="15.95" customHeight="1" x14ac:dyDescent="0.25">
      <c r="C83" s="286"/>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287"/>
    </row>
    <row r="84" spans="3:43" s="63" customFormat="1" ht="15.95" customHeight="1" x14ac:dyDescent="0.25">
      <c r="C84" s="286"/>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287"/>
    </row>
    <row r="85" spans="3:43" s="63" customFormat="1" ht="15.95" customHeight="1" x14ac:dyDescent="0.25">
      <c r="C85" s="286"/>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287"/>
    </row>
    <row r="86" spans="3:43" s="63" customFormat="1" ht="15.95" customHeight="1" x14ac:dyDescent="0.25">
      <c r="C86" s="286"/>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287"/>
    </row>
    <row r="87" spans="3:43" s="63" customFormat="1" ht="15.95" customHeight="1" x14ac:dyDescent="0.25">
      <c r="C87" s="286"/>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287"/>
    </row>
    <row r="88" spans="3:43" s="63" customFormat="1" ht="15.95" customHeight="1" x14ac:dyDescent="0.25">
      <c r="C88" s="286"/>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c r="AI88" s="60"/>
      <c r="AJ88" s="60"/>
      <c r="AK88" s="60"/>
      <c r="AL88" s="60"/>
      <c r="AM88" s="60"/>
      <c r="AN88" s="60"/>
      <c r="AO88" s="60"/>
      <c r="AP88" s="60"/>
      <c r="AQ88" s="287"/>
    </row>
    <row r="89" spans="3:43" s="63" customFormat="1" ht="15.95" customHeight="1" x14ac:dyDescent="0.25">
      <c r="C89" s="286"/>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c r="AD89" s="60"/>
      <c r="AE89" s="60"/>
      <c r="AF89" s="60"/>
      <c r="AG89" s="60"/>
      <c r="AH89" s="60"/>
      <c r="AI89" s="60"/>
      <c r="AJ89" s="60"/>
      <c r="AK89" s="60"/>
      <c r="AL89" s="60"/>
      <c r="AM89" s="60"/>
      <c r="AN89" s="60"/>
      <c r="AO89" s="60"/>
      <c r="AP89" s="60"/>
      <c r="AQ89" s="287"/>
    </row>
    <row r="90" spans="3:43" s="63" customFormat="1" ht="15.95" customHeight="1" x14ac:dyDescent="0.25">
      <c r="C90" s="286"/>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60"/>
      <c r="AJ90" s="60"/>
      <c r="AK90" s="60"/>
      <c r="AL90" s="60"/>
      <c r="AM90" s="60"/>
      <c r="AN90" s="60"/>
      <c r="AO90" s="60"/>
      <c r="AP90" s="60"/>
      <c r="AQ90" s="287"/>
    </row>
    <row r="91" spans="3:43" s="63" customFormat="1" ht="15.95" customHeight="1" x14ac:dyDescent="0.25">
      <c r="C91" s="286"/>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c r="AQ91" s="287"/>
    </row>
    <row r="92" spans="3:43" s="63" customFormat="1" ht="15.95" customHeight="1" x14ac:dyDescent="0.25">
      <c r="C92" s="286"/>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287"/>
    </row>
    <row r="93" spans="3:43" s="63" customFormat="1" ht="15.95" customHeight="1" x14ac:dyDescent="0.25">
      <c r="C93" s="286"/>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287"/>
    </row>
    <row r="94" spans="3:43" s="63" customFormat="1" ht="15.95" customHeight="1" x14ac:dyDescent="0.25">
      <c r="C94" s="286"/>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287"/>
    </row>
    <row r="95" spans="3:43" s="63" customFormat="1" ht="15.95" customHeight="1" x14ac:dyDescent="0.25">
      <c r="C95" s="286"/>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287"/>
    </row>
    <row r="96" spans="3:43" s="63" customFormat="1" ht="15.95" customHeight="1" x14ac:dyDescent="0.25">
      <c r="C96" s="286"/>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287"/>
    </row>
    <row r="97" spans="3:43" s="63" customFormat="1" ht="15.95" customHeight="1" x14ac:dyDescent="0.25">
      <c r="C97" s="286"/>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287"/>
    </row>
    <row r="98" spans="3:43" s="63" customFormat="1" ht="15.95" customHeight="1" x14ac:dyDescent="0.25">
      <c r="C98" s="286"/>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287"/>
    </row>
    <row r="99" spans="3:43" s="63" customFormat="1" ht="15.95" customHeight="1" x14ac:dyDescent="0.25">
      <c r="C99" s="286"/>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287"/>
    </row>
    <row r="100" spans="3:43" s="63" customFormat="1" ht="15.95" customHeight="1" x14ac:dyDescent="0.25">
      <c r="C100" s="286"/>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287"/>
    </row>
    <row r="101" spans="3:43" s="63" customFormat="1" ht="15.95" customHeight="1" x14ac:dyDescent="0.25">
      <c r="C101" s="286"/>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287"/>
    </row>
    <row r="102" spans="3:43" s="63" customFormat="1" ht="15.95" customHeight="1" x14ac:dyDescent="0.25">
      <c r="C102" s="286"/>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287"/>
    </row>
    <row r="103" spans="3:43" s="63" customFormat="1" ht="15.95" customHeight="1" x14ac:dyDescent="0.25">
      <c r="C103" s="286"/>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287"/>
    </row>
    <row r="104" spans="3:43" s="63" customFormat="1" ht="15.95" customHeight="1" x14ac:dyDescent="0.25">
      <c r="C104" s="291"/>
      <c r="D104" s="455"/>
      <c r="E104" s="455"/>
      <c r="F104" s="455"/>
      <c r="G104" s="455"/>
      <c r="H104" s="455"/>
      <c r="I104" s="455"/>
      <c r="J104" s="455"/>
      <c r="K104" s="455"/>
      <c r="L104" s="455"/>
      <c r="M104" s="455"/>
      <c r="N104" s="455"/>
      <c r="O104" s="455"/>
      <c r="P104" s="455"/>
      <c r="Q104" s="455"/>
      <c r="R104" s="455"/>
      <c r="S104" s="455"/>
      <c r="T104" s="455"/>
      <c r="U104" s="455"/>
      <c r="V104" s="455"/>
      <c r="W104" s="455"/>
      <c r="X104" s="455"/>
      <c r="Y104" s="455"/>
      <c r="Z104" s="455"/>
      <c r="AA104" s="455"/>
      <c r="AB104" s="455"/>
      <c r="AC104" s="455"/>
      <c r="AD104" s="455"/>
      <c r="AE104" s="455"/>
      <c r="AF104" s="455"/>
      <c r="AG104" s="455"/>
      <c r="AH104" s="455"/>
      <c r="AI104" s="455"/>
      <c r="AJ104" s="455"/>
      <c r="AK104" s="455"/>
      <c r="AL104" s="455"/>
      <c r="AM104" s="455"/>
      <c r="AN104" s="455"/>
      <c r="AO104" s="455"/>
      <c r="AP104" s="455"/>
      <c r="AQ104" s="456"/>
    </row>
    <row r="105" spans="3:43" s="63" customFormat="1" ht="15.95" customHeight="1" x14ac:dyDescent="0.25">
      <c r="C105" s="457"/>
      <c r="D105" s="458"/>
      <c r="E105" s="458"/>
      <c r="F105" s="458"/>
      <c r="G105" s="458"/>
      <c r="H105" s="458"/>
      <c r="I105" s="458"/>
      <c r="J105" s="458"/>
      <c r="K105" s="458"/>
      <c r="L105" s="458"/>
      <c r="M105" s="458"/>
      <c r="N105" s="458"/>
      <c r="O105" s="458"/>
      <c r="P105" s="458"/>
      <c r="Q105" s="458"/>
      <c r="R105" s="458"/>
      <c r="S105" s="458"/>
      <c r="T105" s="458"/>
      <c r="U105" s="458"/>
      <c r="V105" s="458"/>
      <c r="W105" s="458"/>
      <c r="X105" s="458"/>
      <c r="Y105" s="458"/>
      <c r="Z105" s="458"/>
      <c r="AA105" s="458"/>
      <c r="AB105" s="458"/>
      <c r="AC105" s="458"/>
      <c r="AD105" s="458"/>
      <c r="AE105" s="458"/>
      <c r="AF105" s="458"/>
      <c r="AG105" s="458"/>
      <c r="AH105" s="458"/>
      <c r="AI105" s="458"/>
      <c r="AJ105" s="458"/>
      <c r="AK105" s="458"/>
      <c r="AL105" s="458"/>
      <c r="AM105" s="458"/>
      <c r="AN105" s="458"/>
      <c r="AO105" s="458"/>
      <c r="AP105" s="458"/>
      <c r="AQ105" s="459"/>
    </row>
    <row r="106" spans="3:43" s="63" customFormat="1" ht="15.95" customHeight="1" x14ac:dyDescent="0.25">
      <c r="C106" s="457"/>
      <c r="D106" s="458"/>
      <c r="E106" s="458"/>
      <c r="F106" s="458"/>
      <c r="G106" s="458"/>
      <c r="H106" s="458"/>
      <c r="I106" s="458"/>
      <c r="J106" s="458"/>
      <c r="K106" s="458"/>
      <c r="L106" s="458"/>
      <c r="M106" s="458"/>
      <c r="N106" s="458"/>
      <c r="O106" s="458"/>
      <c r="P106" s="458"/>
      <c r="Q106" s="458"/>
      <c r="R106" s="458"/>
      <c r="S106" s="458"/>
      <c r="T106" s="458"/>
      <c r="U106" s="458"/>
      <c r="V106" s="458"/>
      <c r="W106" s="458"/>
      <c r="X106" s="458"/>
      <c r="Y106" s="458"/>
      <c r="Z106" s="458"/>
      <c r="AA106" s="458"/>
      <c r="AB106" s="458"/>
      <c r="AC106" s="458"/>
      <c r="AD106" s="458"/>
      <c r="AE106" s="458"/>
      <c r="AF106" s="458"/>
      <c r="AG106" s="458"/>
      <c r="AH106" s="458"/>
      <c r="AI106" s="458"/>
      <c r="AJ106" s="458"/>
      <c r="AK106" s="458"/>
      <c r="AL106" s="458"/>
      <c r="AM106" s="458"/>
      <c r="AN106" s="458"/>
      <c r="AO106" s="458"/>
      <c r="AP106" s="458"/>
      <c r="AQ106" s="459"/>
    </row>
    <row r="107" spans="3:43" s="63" customFormat="1" ht="15.95" customHeight="1" x14ac:dyDescent="0.25">
      <c r="C107" s="460"/>
      <c r="D107" s="461"/>
      <c r="E107" s="461"/>
      <c r="F107" s="461"/>
      <c r="G107" s="461"/>
      <c r="H107" s="461"/>
      <c r="I107" s="461"/>
      <c r="J107" s="461"/>
      <c r="K107" s="461"/>
      <c r="L107" s="461"/>
      <c r="M107" s="461"/>
      <c r="N107" s="461"/>
      <c r="O107" s="461"/>
      <c r="P107" s="461"/>
      <c r="Q107" s="461"/>
      <c r="R107" s="461"/>
      <c r="S107" s="461"/>
      <c r="T107" s="461"/>
      <c r="U107" s="461"/>
      <c r="V107" s="461"/>
      <c r="W107" s="461"/>
      <c r="X107" s="461"/>
      <c r="Y107" s="461"/>
      <c r="Z107" s="461"/>
      <c r="AA107" s="461"/>
      <c r="AB107" s="461"/>
      <c r="AC107" s="461"/>
      <c r="AD107" s="461"/>
      <c r="AE107" s="461"/>
      <c r="AF107" s="461"/>
      <c r="AG107" s="461"/>
      <c r="AH107" s="461"/>
      <c r="AI107" s="461"/>
      <c r="AJ107" s="461"/>
      <c r="AK107" s="461"/>
      <c r="AL107" s="461"/>
      <c r="AM107" s="461"/>
      <c r="AN107" s="461"/>
      <c r="AO107" s="461"/>
      <c r="AP107" s="461"/>
      <c r="AQ107" s="462"/>
    </row>
    <row r="108" spans="3:43" s="63" customFormat="1" ht="15.95" customHeight="1" x14ac:dyDescent="0.25"/>
    <row r="109" spans="3:43" s="63" customFormat="1" ht="15.95" hidden="1" customHeight="1" x14ac:dyDescent="0.25"/>
    <row r="110" spans="3:43" s="63" customFormat="1" ht="15.95" hidden="1" customHeight="1" x14ac:dyDescent="0.25"/>
    <row r="111" spans="3:43" s="63" customFormat="1" ht="15.95" hidden="1" customHeight="1" x14ac:dyDescent="0.25"/>
    <row r="112" spans="3:43" s="63" customFormat="1" ht="15.95" hidden="1" customHeight="1" x14ac:dyDescent="0.25"/>
    <row r="113" s="63" customFormat="1" ht="15.95" hidden="1" customHeight="1" x14ac:dyDescent="0.25"/>
    <row r="114" s="63" customFormat="1" ht="15.95" hidden="1" customHeight="1" x14ac:dyDescent="0.25"/>
    <row r="115" s="63" customFormat="1" ht="15.95" hidden="1" customHeight="1" x14ac:dyDescent="0.25"/>
    <row r="116" s="63" customFormat="1" ht="15.95" hidden="1" customHeight="1" x14ac:dyDescent="0.25"/>
    <row r="117" s="63" customFormat="1" ht="15.95" hidden="1" customHeight="1" x14ac:dyDescent="0.25"/>
    <row r="118" s="63" customFormat="1" ht="15.95" hidden="1" customHeight="1" x14ac:dyDescent="0.25"/>
    <row r="119" s="63" customFormat="1" ht="15.95" hidden="1" customHeight="1" x14ac:dyDescent="0.25"/>
    <row r="120" s="63" customFormat="1" ht="15.95" hidden="1" customHeight="1" x14ac:dyDescent="0.25"/>
    <row r="121" s="63" customFormat="1" ht="15.95" hidden="1" customHeight="1" x14ac:dyDescent="0.25"/>
    <row r="122" s="63" customFormat="1" ht="15.95" hidden="1" customHeight="1" x14ac:dyDescent="0.25"/>
    <row r="123" s="63" customFormat="1" ht="15.95" hidden="1" customHeight="1" x14ac:dyDescent="0.25"/>
    <row r="124" s="63" customFormat="1" ht="15.95" hidden="1" customHeight="1" x14ac:dyDescent="0.25"/>
    <row r="125" s="63" customFormat="1" ht="15.95" hidden="1" customHeight="1" x14ac:dyDescent="0.25"/>
    <row r="126" s="63" customFormat="1" ht="15.95" hidden="1" customHeight="1" x14ac:dyDescent="0.25"/>
    <row r="127" s="63" customFormat="1" ht="15.95" hidden="1" customHeight="1" x14ac:dyDescent="0.25"/>
    <row r="128" s="63" customFormat="1" ht="15.95" hidden="1" customHeight="1" x14ac:dyDescent="0.25"/>
    <row r="129" s="63" customFormat="1" ht="15.95" hidden="1" customHeight="1" x14ac:dyDescent="0.25"/>
    <row r="130" s="63" customFormat="1" ht="15.95" hidden="1" customHeight="1" x14ac:dyDescent="0.25"/>
    <row r="131" s="63" customFormat="1" ht="15.95" hidden="1" customHeight="1" x14ac:dyDescent="0.25"/>
    <row r="132" s="63" customFormat="1" ht="15.95" hidden="1" customHeight="1" x14ac:dyDescent="0.25"/>
    <row r="133" s="63" customFormat="1" ht="15.95" hidden="1" customHeight="1" x14ac:dyDescent="0.25"/>
    <row r="134" s="63" customFormat="1" ht="15.95" hidden="1" customHeight="1" x14ac:dyDescent="0.25"/>
    <row r="135" s="63" customFormat="1" ht="15.95" hidden="1" customHeight="1" x14ac:dyDescent="0.25"/>
    <row r="136" s="63" customFormat="1" ht="15.95" hidden="1" customHeight="1" x14ac:dyDescent="0.25"/>
    <row r="137" s="63" customFormat="1" ht="15.95" hidden="1" customHeight="1" x14ac:dyDescent="0.25"/>
    <row r="138" s="63" customFormat="1" ht="15.95" hidden="1" customHeight="1" x14ac:dyDescent="0.25"/>
    <row r="139" s="63" customFormat="1" ht="15.95" hidden="1" customHeight="1" x14ac:dyDescent="0.25"/>
    <row r="140" s="63" customFormat="1" ht="15.95" hidden="1" customHeight="1" x14ac:dyDescent="0.25"/>
    <row r="141" s="63" customFormat="1" ht="15.95" hidden="1" customHeight="1" x14ac:dyDescent="0.25"/>
    <row r="142" s="63" customFormat="1" ht="15.95" hidden="1" customHeight="1" x14ac:dyDescent="0.25"/>
    <row r="143" s="63" customFormat="1" ht="15.95" hidden="1" customHeight="1" x14ac:dyDescent="0.25"/>
    <row r="144" s="63" customFormat="1" ht="15.95" hidden="1" customHeight="1" x14ac:dyDescent="0.25"/>
    <row r="145" s="63" customFormat="1" ht="15.95" hidden="1" customHeight="1" x14ac:dyDescent="0.25"/>
    <row r="146" s="63" customFormat="1" ht="15.95" hidden="1" customHeight="1" x14ac:dyDescent="0.25"/>
    <row r="147" s="63" customFormat="1" ht="15.95" hidden="1" customHeight="1" x14ac:dyDescent="0.25"/>
    <row r="148" s="63" customFormat="1" ht="15.95" hidden="1" customHeight="1" x14ac:dyDescent="0.25"/>
    <row r="149" s="63" customFormat="1" ht="15.95" hidden="1" customHeight="1" x14ac:dyDescent="0.25"/>
    <row r="150" s="63" customFormat="1" ht="15.95" hidden="1" customHeight="1" x14ac:dyDescent="0.25"/>
    <row r="151" s="63" customFormat="1" ht="15.95" hidden="1" customHeight="1" x14ac:dyDescent="0.25"/>
    <row r="152" s="63" customFormat="1" ht="15.95" hidden="1" customHeight="1" x14ac:dyDescent="0.25"/>
    <row r="153" s="63" customFormat="1" ht="15.95" hidden="1" customHeight="1" x14ac:dyDescent="0.25"/>
    <row r="154" s="63" customFormat="1" ht="15.95" hidden="1" customHeight="1" x14ac:dyDescent="0.25"/>
    <row r="155" s="63" customFormat="1" ht="15.95" hidden="1" customHeight="1" x14ac:dyDescent="0.25"/>
    <row r="156" s="63" customFormat="1" ht="15.95" hidden="1" customHeight="1" x14ac:dyDescent="0.25"/>
    <row r="157" s="63" customFormat="1" ht="15.95" hidden="1" customHeight="1" x14ac:dyDescent="0.25"/>
    <row r="158" s="63" customFormat="1" ht="15.95" hidden="1" customHeight="1" x14ac:dyDescent="0.25"/>
    <row r="159" s="63" customFormat="1" ht="15.95" hidden="1" customHeight="1" x14ac:dyDescent="0.25"/>
    <row r="160" s="63" customFormat="1" ht="15.95" hidden="1" customHeight="1" x14ac:dyDescent="0.25"/>
    <row r="161" s="63" customFormat="1" ht="15.95" hidden="1" customHeight="1" x14ac:dyDescent="0.25"/>
    <row r="162" s="63" customFormat="1" ht="15.95" hidden="1" customHeight="1" x14ac:dyDescent="0.25"/>
    <row r="163" s="63" customFormat="1" ht="15.95" hidden="1" customHeight="1" x14ac:dyDescent="0.25"/>
    <row r="164" s="63" customFormat="1" ht="15.95" hidden="1" customHeight="1" x14ac:dyDescent="0.25"/>
    <row r="165" s="63" customFormat="1" ht="15.95" hidden="1" customHeight="1" x14ac:dyDescent="0.25"/>
    <row r="166" s="63" customFormat="1" ht="15.95" hidden="1" customHeight="1" x14ac:dyDescent="0.25"/>
    <row r="167" s="63" customFormat="1" ht="15.95" hidden="1" customHeight="1" x14ac:dyDescent="0.25"/>
    <row r="168" s="63" customFormat="1" ht="15.95" hidden="1" customHeight="1" x14ac:dyDescent="0.25"/>
    <row r="169" s="63" customFormat="1" ht="15.95" hidden="1" customHeight="1" x14ac:dyDescent="0.25"/>
    <row r="170" s="63" customFormat="1" ht="15.95" hidden="1" customHeight="1" x14ac:dyDescent="0.25"/>
    <row r="171" s="63" customFormat="1" ht="15.95" hidden="1" customHeight="1" x14ac:dyDescent="0.25"/>
    <row r="172" s="63" customFormat="1" ht="15.95" hidden="1" customHeight="1" x14ac:dyDescent="0.25"/>
    <row r="173" s="63" customFormat="1" ht="15.95" hidden="1" customHeight="1" x14ac:dyDescent="0.25"/>
    <row r="174" s="63" customFormat="1" ht="15.95" hidden="1" customHeight="1" x14ac:dyDescent="0.25"/>
    <row r="175" s="63" customFormat="1" ht="15.95" hidden="1" customHeight="1" x14ac:dyDescent="0.25"/>
    <row r="176" s="63" customFormat="1" ht="15.95" hidden="1" customHeight="1" x14ac:dyDescent="0.25"/>
    <row r="177" s="63" customFormat="1" ht="15.95" hidden="1" customHeight="1" x14ac:dyDescent="0.25"/>
    <row r="178" s="63" customFormat="1" ht="15.95" hidden="1" customHeight="1" x14ac:dyDescent="0.25"/>
    <row r="179" s="63" customFormat="1" ht="15.95" hidden="1" customHeight="1" x14ac:dyDescent="0.25"/>
    <row r="180" s="63" customFormat="1" ht="15.95" hidden="1" customHeight="1" x14ac:dyDescent="0.25"/>
    <row r="181" s="63" customFormat="1" ht="15.95" hidden="1" customHeight="1" x14ac:dyDescent="0.25"/>
    <row r="182" s="63" customFormat="1" ht="15.95" hidden="1" customHeight="1" x14ac:dyDescent="0.25"/>
    <row r="183" s="63" customFormat="1" ht="15.95" hidden="1" customHeight="1" x14ac:dyDescent="0.25"/>
    <row r="184" s="63" customFormat="1" ht="15.95" hidden="1" customHeight="1" x14ac:dyDescent="0.25"/>
    <row r="185" s="63" customFormat="1" ht="15.95" hidden="1" customHeight="1" x14ac:dyDescent="0.25"/>
    <row r="186" s="63" customFormat="1" ht="15.95" hidden="1" customHeight="1" x14ac:dyDescent="0.25"/>
    <row r="187" s="63" customFormat="1" ht="15.95" hidden="1" customHeight="1" x14ac:dyDescent="0.25"/>
    <row r="188" s="63" customFormat="1" ht="15.95" hidden="1" customHeight="1" x14ac:dyDescent="0.25"/>
    <row r="189" s="63" customFormat="1" ht="15.95" hidden="1" customHeight="1" x14ac:dyDescent="0.25"/>
    <row r="190" s="63" customFormat="1" ht="15.95" hidden="1" customHeight="1" x14ac:dyDescent="0.25"/>
    <row r="191" s="63" customFormat="1" ht="15.95" hidden="1" customHeight="1" x14ac:dyDescent="0.25"/>
    <row r="192" s="63" customFormat="1" ht="15.95" hidden="1" customHeight="1" x14ac:dyDescent="0.25"/>
    <row r="193" spans="2:44" s="63" customFormat="1" ht="15.95" hidden="1" customHeight="1" x14ac:dyDescent="0.25"/>
    <row r="194" spans="2:44" s="63" customFormat="1" ht="15.95" hidden="1" customHeight="1" x14ac:dyDescent="0.25"/>
    <row r="195" spans="2:44" s="63" customFormat="1" ht="15.95" hidden="1" customHeight="1" x14ac:dyDescent="0.25"/>
    <row r="196" spans="2:44" s="63" customFormat="1" ht="15.95" hidden="1" customHeight="1" x14ac:dyDescent="0.25"/>
    <row r="197" spans="2:44" s="63" customFormat="1" ht="15.95" hidden="1" customHeight="1" x14ac:dyDescent="0.25"/>
    <row r="198" spans="2:44" s="63" customFormat="1" ht="15.95" hidden="1" customHeight="1" x14ac:dyDescent="0.25"/>
    <row r="199" spans="2:44" ht="15.95" hidden="1" customHeight="1" x14ac:dyDescent="0.25"/>
    <row r="200" spans="2:44" ht="15.95" customHeight="1" x14ac:dyDescent="0.25">
      <c r="B200" s="136" t="str">
        <f>FOOT1</f>
        <v>Ameren Missouri BizSavers program</v>
      </c>
      <c r="C200" s="136"/>
      <c r="D200" s="136"/>
      <c r="E200" s="136"/>
      <c r="F200" s="136"/>
      <c r="G200" s="136"/>
      <c r="H200" s="136"/>
      <c r="I200" s="136"/>
      <c r="J200" s="136"/>
      <c r="K200" s="136"/>
      <c r="L200" s="136"/>
      <c r="M200" s="729" t="str">
        <f>FOOTDISCLAIM</f>
        <v/>
      </c>
      <c r="N200" s="729"/>
      <c r="O200" s="729"/>
      <c r="P200" s="729"/>
      <c r="Q200" s="729"/>
      <c r="R200" s="729"/>
      <c r="S200" s="729"/>
      <c r="T200" s="729"/>
      <c r="U200" s="729"/>
      <c r="V200" s="729"/>
      <c r="W200" s="729"/>
      <c r="X200" s="729"/>
      <c r="Y200" s="729"/>
      <c r="Z200" s="729"/>
      <c r="AA200" s="729"/>
      <c r="AB200" s="729"/>
      <c r="AC200" s="729"/>
      <c r="AD200" s="729"/>
      <c r="AE200" s="729"/>
      <c r="AF200" s="729"/>
      <c r="AG200" s="729"/>
      <c r="AH200" s="136"/>
      <c r="AI200" s="136"/>
      <c r="AJ200" s="136"/>
      <c r="AK200" s="136"/>
      <c r="AL200" s="136"/>
      <c r="AM200" s="136"/>
      <c r="AN200" s="136"/>
      <c r="AO200" s="136"/>
      <c r="AP200" s="136"/>
      <c r="AQ200" s="136"/>
      <c r="AR200" s="300" t="str">
        <f>FOOT4</f>
        <v/>
      </c>
    </row>
    <row r="201" spans="2:44" ht="15.95" customHeight="1" x14ac:dyDescent="0.25">
      <c r="B201" s="136" t="str">
        <f>FOOT2</f>
        <v>Toll-Free 866-941-7299</v>
      </c>
      <c r="C201" s="136"/>
      <c r="D201" s="136"/>
      <c r="E201" s="136"/>
      <c r="F201" s="136"/>
      <c r="G201" s="136"/>
      <c r="H201" s="136"/>
      <c r="I201" s="136"/>
      <c r="J201" s="136"/>
      <c r="K201" s="136"/>
      <c r="L201" s="136"/>
      <c r="M201" s="729"/>
      <c r="N201" s="729"/>
      <c r="O201" s="729"/>
      <c r="P201" s="729"/>
      <c r="Q201" s="729"/>
      <c r="R201" s="729"/>
      <c r="S201" s="729"/>
      <c r="T201" s="729"/>
      <c r="U201" s="729"/>
      <c r="V201" s="729"/>
      <c r="W201" s="729"/>
      <c r="X201" s="729"/>
      <c r="Y201" s="729"/>
      <c r="Z201" s="729"/>
      <c r="AA201" s="729"/>
      <c r="AB201" s="729"/>
      <c r="AC201" s="729"/>
      <c r="AD201" s="729"/>
      <c r="AE201" s="729"/>
      <c r="AF201" s="729"/>
      <c r="AG201" s="729"/>
      <c r="AH201" s="136"/>
      <c r="AI201" s="136"/>
      <c r="AJ201" s="136"/>
      <c r="AK201" s="136"/>
      <c r="AL201" s="136"/>
      <c r="AM201" s="136"/>
      <c r="AN201" s="136"/>
      <c r="AO201" s="136"/>
      <c r="AP201" s="136"/>
      <c r="AQ201" s="136"/>
      <c r="AR201" s="300" t="str">
        <f>FOOT5</f>
        <v/>
      </c>
    </row>
    <row r="202" spans="2:44" ht="15.95" customHeight="1" x14ac:dyDescent="0.25">
      <c r="B202" s="138" t="str">
        <f>FOOT3</f>
        <v>BizSavers@ameren.com</v>
      </c>
      <c r="C202" s="136"/>
      <c r="D202" s="136"/>
      <c r="E202" s="136"/>
      <c r="F202" s="136"/>
      <c r="G202" s="136"/>
      <c r="H202" s="136"/>
      <c r="I202" s="136"/>
      <c r="J202" s="136"/>
      <c r="K202" s="136"/>
      <c r="L202" s="136"/>
      <c r="M202" s="139"/>
      <c r="N202" s="136"/>
      <c r="O202" s="136"/>
      <c r="P202" s="139"/>
      <c r="Q202" s="139"/>
      <c r="R202" s="139"/>
      <c r="S202" s="139"/>
      <c r="T202" s="139"/>
      <c r="U202" s="139"/>
      <c r="V202" s="139"/>
      <c r="W202" s="140" t="str">
        <f>VERSION</f>
        <v>New Construction v3.8.0</v>
      </c>
      <c r="X202" s="139"/>
      <c r="Y202" s="139"/>
      <c r="Z202" s="139"/>
      <c r="AA202" s="139"/>
      <c r="AB202" s="139"/>
      <c r="AC202" s="139"/>
      <c r="AD202" s="139"/>
      <c r="AE202" s="136"/>
      <c r="AF202" s="136"/>
      <c r="AG202" s="136"/>
      <c r="AH202" s="136"/>
      <c r="AI202" s="136"/>
      <c r="AJ202" s="136"/>
      <c r="AK202" s="136"/>
      <c r="AL202" s="136"/>
      <c r="AM202" s="136"/>
      <c r="AN202" s="136"/>
      <c r="AO202" s="136"/>
      <c r="AP202" s="136"/>
      <c r="AQ202" s="136"/>
      <c r="AR202" s="300" t="str">
        <f>FOOT6</f>
        <v>Product of TRC Companies</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sheetData>
  <sheetProtection algorithmName="SHA-512" hashValue="YFkhXY/D196RtMhFprNvcR8iIqs+8MZr+AZJYstkEHBafL27jCsNqtD4Cr+VZ0Si63fa3kZLe2INQ+J0GJ92pA==" saltValue="4brfhPABzwJBs7iVsEuqZw==" spinCount="100000" sheet="1" objects="1" scenarios="1" selectLockedCells="1"/>
  <mergeCells count="16">
    <mergeCell ref="AQ1:AR1"/>
    <mergeCell ref="AQ2:AR3"/>
    <mergeCell ref="M200:AG201"/>
    <mergeCell ref="F10:AN10"/>
    <mergeCell ref="F11:AN11"/>
    <mergeCell ref="AH1:AK1"/>
    <mergeCell ref="AL1:AP1"/>
    <mergeCell ref="AH2:AK3"/>
    <mergeCell ref="AL2:AP3"/>
    <mergeCell ref="D21:AP25"/>
    <mergeCell ref="D27:AP32"/>
    <mergeCell ref="E37:AP38"/>
    <mergeCell ref="E53:AP54"/>
    <mergeCell ref="E55:AP56"/>
    <mergeCell ref="F63:AP64"/>
    <mergeCell ref="D72:AP73"/>
  </mergeCells>
  <conditionalFormatting sqref="AQ2:AR3">
    <cfRule type="cellIs" dxfId="350" priority="3" operator="equal">
      <formula>1</formula>
    </cfRule>
    <cfRule type="cellIs" dxfId="349" priority="4" operator="between">
      <formula>0.51</formula>
      <formula>0.99</formula>
    </cfRule>
    <cfRule type="cellIs" dxfId="348" priority="5" operator="lessThanOrEqual">
      <formula>0.5</formula>
    </cfRule>
  </conditionalFormatting>
  <conditionalFormatting sqref="AH2 AL2">
    <cfRule type="expression" dxfId="347" priority="1">
      <formula>OR(PROJSTATUS=PROJSTATELI,PROJSTATUS=PROJSTATEXP,PROJSTATUS=PROJSTATUNDER)</formula>
    </cfRule>
    <cfRule type="expression" dxfId="346" priority="2">
      <formula>PROJSTATUS=PROJSTATFILLINITIAL</formula>
    </cfRule>
    <cfRule type="expression" dxfId="345" priority="6">
      <formula>PROJSTATUS=PROJSTATPREAPPROVE</formula>
    </cfRule>
    <cfRule type="expression" dxfId="344" priority="7">
      <formula>OR(PROJSTATUS=PROJSTATSSUBMITINITIAL,PROJSTATUS=PROJSTATREVIEW)</formula>
    </cfRule>
  </conditionalFormatting>
  <hyperlinks>
    <hyperlink ref="B202" r:id="rId1" display="NIPSCO.Savings@LMCO.com" xr:uid="{00000000-0004-0000-0900-000000000000}"/>
  </hyperlinks>
  <pageMargins left="0.25" right="0.25" top="0.25" bottom="0.25" header="0.25" footer="0.25"/>
  <pageSetup scale="52" fitToHeight="0"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pageSetUpPr fitToPage="1"/>
  </sheetPr>
  <dimension ref="A1:AS358"/>
  <sheetViews>
    <sheetView showGridLines="0" zoomScale="85" zoomScaleNormal="85" workbookViewId="0"/>
  </sheetViews>
  <sheetFormatPr defaultColWidth="0" defaultRowHeight="15" customHeight="1" zeroHeight="1" x14ac:dyDescent="0.25"/>
  <cols>
    <col min="1" max="45" width="4.7109375" style="63" customWidth="1"/>
    <col min="46" max="78" width="9.140625" style="63" hidden="1" customWidth="1"/>
    <col min="79" max="16384" width="9.140625" style="63" hidden="1"/>
  </cols>
  <sheetData>
    <row r="1" spans="3:44" ht="15.95" customHeight="1" x14ac:dyDescent="0.3">
      <c r="AH1" s="711" t="s">
        <v>494</v>
      </c>
      <c r="AI1" s="712"/>
      <c r="AJ1" s="712"/>
      <c r="AK1" s="712"/>
      <c r="AL1" s="723" t="s">
        <v>911</v>
      </c>
      <c r="AM1" s="723"/>
      <c r="AN1" s="723"/>
      <c r="AO1" s="723"/>
      <c r="AP1" s="723"/>
      <c r="AQ1" s="717" t="s">
        <v>499</v>
      </c>
      <c r="AR1" s="718"/>
    </row>
    <row r="2" spans="3:44" ht="15.95" customHeight="1" x14ac:dyDescent="0.25">
      <c r="AH2" s="713" t="str">
        <f ca="1">INCENSTATUS</f>
        <v>---</v>
      </c>
      <c r="AI2" s="714"/>
      <c r="AJ2" s="714"/>
      <c r="AK2" s="714"/>
      <c r="AL2" s="724" t="str">
        <f ca="1">PROJSTATUS</f>
        <v>Please Complete Initial Application</v>
      </c>
      <c r="AM2" s="724"/>
      <c r="AN2" s="724"/>
      <c r="AO2" s="724"/>
      <c r="AP2" s="724"/>
      <c r="AQ2" s="719">
        <f ca="1">PROGRESSSTATUS</f>
        <v>0</v>
      </c>
      <c r="AR2" s="720"/>
    </row>
    <row r="3" spans="3:44" ht="15.95" customHeight="1" x14ac:dyDescent="0.25">
      <c r="AH3" s="715"/>
      <c r="AI3" s="716"/>
      <c r="AJ3" s="716"/>
      <c r="AK3" s="716"/>
      <c r="AL3" s="725"/>
      <c r="AM3" s="725"/>
      <c r="AN3" s="725"/>
      <c r="AO3" s="725"/>
      <c r="AP3" s="725"/>
      <c r="AQ3" s="721"/>
      <c r="AR3" s="722"/>
    </row>
    <row r="4" spans="3:44" ht="15.95" customHeight="1" x14ac:dyDescent="0.25"/>
    <row r="5" spans="3:44" ht="15.95" customHeight="1" x14ac:dyDescent="0.25"/>
    <row r="6" spans="3:44" ht="15.95" customHeight="1" x14ac:dyDescent="0.25"/>
    <row r="7" spans="3:44" ht="15.95" customHeight="1" x14ac:dyDescent="0.25"/>
    <row r="8" spans="3:44" ht="15.95" customHeight="1" x14ac:dyDescent="0.25"/>
    <row r="9" spans="3:44" ht="15.95" customHeight="1" x14ac:dyDescent="0.25"/>
    <row r="10" spans="3:44" ht="15.95" customHeight="1" x14ac:dyDescent="0.3">
      <c r="F10" s="732" t="s">
        <v>1509</v>
      </c>
      <c r="G10" s="732"/>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row>
    <row r="11" spans="3:44" ht="15.95" customHeight="1" x14ac:dyDescent="0.25">
      <c r="F11" s="733" t="s">
        <v>1510</v>
      </c>
      <c r="G11" s="734"/>
      <c r="H11" s="734"/>
      <c r="I11" s="734"/>
      <c r="J11" s="734"/>
      <c r="K11" s="734"/>
      <c r="L11" s="734"/>
      <c r="M11" s="734"/>
      <c r="N11" s="734"/>
      <c r="O11" s="734"/>
      <c r="P11" s="734"/>
      <c r="Q11" s="734"/>
      <c r="R11" s="734"/>
      <c r="S11" s="734"/>
      <c r="T11" s="734"/>
      <c r="U11" s="734"/>
      <c r="V11" s="734"/>
      <c r="W11" s="734"/>
      <c r="X11" s="734"/>
      <c r="Y11" s="734"/>
      <c r="Z11" s="734"/>
      <c r="AA11" s="734"/>
      <c r="AB11" s="734"/>
      <c r="AC11" s="734"/>
      <c r="AD11" s="734"/>
      <c r="AE11" s="734"/>
      <c r="AF11" s="734"/>
      <c r="AG11" s="734"/>
      <c r="AH11" s="734"/>
      <c r="AI11" s="734"/>
      <c r="AJ11" s="734"/>
      <c r="AK11" s="734"/>
      <c r="AL11" s="734"/>
      <c r="AM11" s="734"/>
      <c r="AN11" s="734"/>
    </row>
    <row r="12" spans="3:44" ht="15.95" customHeight="1" x14ac:dyDescent="0.25">
      <c r="F12" s="299"/>
      <c r="G12" s="299"/>
      <c r="H12" s="299"/>
      <c r="I12" s="299"/>
      <c r="J12" s="299"/>
      <c r="K12" s="299"/>
      <c r="L12" s="299"/>
      <c r="M12" s="299"/>
      <c r="N12" s="299"/>
      <c r="O12" s="299"/>
      <c r="P12" s="299"/>
      <c r="Q12" s="299"/>
      <c r="R12" s="299"/>
      <c r="S12" s="299"/>
      <c r="T12" s="299"/>
      <c r="U12" s="299"/>
      <c r="V12" s="299"/>
      <c r="W12" s="299"/>
      <c r="X12" s="299"/>
      <c r="Y12" s="299"/>
      <c r="Z12" s="299"/>
      <c r="AA12" s="299"/>
      <c r="AB12" s="299"/>
      <c r="AC12" s="299"/>
      <c r="AD12" s="299"/>
      <c r="AE12" s="299"/>
      <c r="AF12" s="299"/>
      <c r="AG12" s="299"/>
      <c r="AH12" s="299"/>
      <c r="AI12" s="299"/>
      <c r="AJ12" s="299"/>
      <c r="AK12" s="299"/>
      <c r="AL12" s="299"/>
      <c r="AM12" s="299"/>
      <c r="AN12" s="299"/>
    </row>
    <row r="13" spans="3:44" ht="15.95" customHeight="1" x14ac:dyDescent="0.25">
      <c r="F13" s="299"/>
      <c r="G13" s="299"/>
      <c r="H13" s="299"/>
      <c r="I13" s="299"/>
      <c r="J13" s="299"/>
      <c r="K13" s="299"/>
      <c r="L13" s="299"/>
      <c r="M13" s="299"/>
      <c r="N13" s="299"/>
      <c r="O13" s="299"/>
      <c r="P13" s="299"/>
      <c r="Q13" s="299"/>
      <c r="R13" s="299"/>
      <c r="S13" s="299"/>
      <c r="T13" s="299"/>
      <c r="V13" s="299" t="s">
        <v>1555</v>
      </c>
      <c r="W13" s="299"/>
      <c r="X13" s="299"/>
      <c r="Y13" s="299"/>
      <c r="Z13" s="299"/>
      <c r="AA13" s="299"/>
      <c r="AB13" s="299"/>
      <c r="AC13" s="299"/>
      <c r="AD13" s="299"/>
      <c r="AE13" s="299"/>
      <c r="AF13" s="299"/>
      <c r="AG13" s="299"/>
      <c r="AH13" s="299"/>
      <c r="AI13" s="299"/>
      <c r="AJ13" s="299"/>
      <c r="AK13" s="299"/>
      <c r="AL13" s="299"/>
      <c r="AM13" s="299"/>
      <c r="AN13" s="299"/>
    </row>
    <row r="14" spans="3:44" ht="15.95" customHeight="1" x14ac:dyDescent="0.25"/>
    <row r="15" spans="3:44" ht="15.95" customHeight="1" x14ac:dyDescent="0.25">
      <c r="C15" s="463"/>
      <c r="D15" s="431"/>
      <c r="E15" s="431"/>
      <c r="F15" s="431"/>
      <c r="G15" s="431"/>
      <c r="H15" s="431"/>
      <c r="I15" s="431"/>
      <c r="J15" s="431"/>
      <c r="K15" s="431"/>
      <c r="L15" s="431"/>
      <c r="M15" s="431"/>
      <c r="N15" s="431"/>
      <c r="O15" s="431"/>
      <c r="P15" s="431"/>
      <c r="Q15" s="431"/>
      <c r="R15" s="431"/>
      <c r="S15" s="431"/>
      <c r="T15" s="431"/>
      <c r="U15" s="431"/>
      <c r="V15" s="431"/>
      <c r="W15" s="431"/>
      <c r="X15" s="431"/>
      <c r="Y15" s="431"/>
      <c r="Z15" s="431"/>
      <c r="AA15" s="431"/>
      <c r="AB15" s="431"/>
      <c r="AC15" s="431"/>
      <c r="AD15" s="431"/>
      <c r="AE15" s="431"/>
      <c r="AF15" s="431"/>
      <c r="AG15" s="431"/>
      <c r="AH15" s="431"/>
      <c r="AI15" s="431"/>
      <c r="AJ15" s="431"/>
      <c r="AK15" s="431"/>
      <c r="AL15" s="431"/>
      <c r="AM15" s="431"/>
      <c r="AN15" s="431"/>
      <c r="AO15" s="431"/>
      <c r="AP15" s="431"/>
      <c r="AQ15" s="432"/>
    </row>
    <row r="16" spans="3:44" ht="15.95" customHeight="1" x14ac:dyDescent="0.25">
      <c r="C16" s="464"/>
      <c r="D16" s="434"/>
      <c r="E16" s="434"/>
      <c r="F16" s="434"/>
      <c r="G16" s="434"/>
      <c r="H16" s="434"/>
      <c r="I16" s="434"/>
      <c r="J16" s="434"/>
      <c r="K16" s="434"/>
      <c r="L16" s="434"/>
      <c r="M16" s="434"/>
      <c r="N16" s="434"/>
      <c r="O16" s="434"/>
      <c r="P16" s="434"/>
      <c r="Q16" s="434"/>
      <c r="R16" s="434"/>
      <c r="S16" s="434"/>
      <c r="T16" s="434"/>
      <c r="U16" s="434"/>
      <c r="V16" s="434"/>
      <c r="W16" s="434"/>
      <c r="X16" s="434"/>
      <c r="Y16" s="434"/>
      <c r="Z16" s="434"/>
      <c r="AA16" s="434"/>
      <c r="AB16" s="434"/>
      <c r="AC16" s="434"/>
      <c r="AD16" s="434"/>
      <c r="AE16" s="434"/>
      <c r="AF16" s="434"/>
      <c r="AG16" s="434"/>
      <c r="AH16" s="434"/>
      <c r="AI16" s="434"/>
      <c r="AJ16" s="434"/>
      <c r="AK16" s="434"/>
      <c r="AL16" s="434"/>
      <c r="AM16" s="434"/>
      <c r="AN16" s="434"/>
      <c r="AO16" s="434"/>
      <c r="AP16" s="434"/>
      <c r="AQ16" s="435"/>
    </row>
    <row r="17" spans="3:43" ht="15.95" customHeight="1" x14ac:dyDescent="0.25">
      <c r="C17" s="465"/>
      <c r="D17" s="437"/>
      <c r="E17" s="437"/>
      <c r="F17" s="437"/>
      <c r="G17" s="437"/>
      <c r="H17" s="437"/>
      <c r="I17" s="437"/>
      <c r="J17" s="437"/>
      <c r="K17" s="437"/>
      <c r="L17" s="437"/>
      <c r="M17" s="437"/>
      <c r="N17" s="437"/>
      <c r="O17" s="437"/>
      <c r="P17" s="437"/>
      <c r="Q17" s="437"/>
      <c r="R17" s="437"/>
      <c r="S17" s="437"/>
      <c r="T17" s="437"/>
      <c r="U17" s="437"/>
      <c r="V17" s="437"/>
      <c r="W17" s="437"/>
      <c r="X17" s="437"/>
      <c r="Y17" s="437"/>
      <c r="Z17" s="437"/>
      <c r="AA17" s="437"/>
      <c r="AB17" s="437"/>
      <c r="AC17" s="437"/>
      <c r="AD17" s="437"/>
      <c r="AE17" s="437"/>
      <c r="AF17" s="437"/>
      <c r="AG17" s="437"/>
      <c r="AH17" s="437"/>
      <c r="AI17" s="437"/>
      <c r="AJ17" s="437"/>
      <c r="AK17" s="437"/>
      <c r="AL17" s="437"/>
      <c r="AM17" s="437"/>
      <c r="AN17" s="437"/>
      <c r="AO17" s="437"/>
      <c r="AP17" s="437"/>
      <c r="AQ17" s="438"/>
    </row>
    <row r="18" spans="3:43" ht="15.95" customHeight="1" x14ac:dyDescent="0.25">
      <c r="C18" s="286"/>
      <c r="D18" s="439" t="s">
        <v>1556</v>
      </c>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40"/>
      <c r="AG18" s="440"/>
      <c r="AH18" s="440"/>
      <c r="AI18" s="440"/>
      <c r="AJ18" s="440"/>
      <c r="AK18" s="440"/>
      <c r="AL18" s="440"/>
      <c r="AM18" s="440"/>
      <c r="AN18" s="440"/>
      <c r="AO18" s="440"/>
      <c r="AP18" s="440"/>
      <c r="AQ18" s="441"/>
    </row>
    <row r="19" spans="3:43" ht="15.95" customHeight="1" x14ac:dyDescent="0.25">
      <c r="C19" s="286"/>
      <c r="D19" s="439"/>
      <c r="E19" s="440"/>
      <c r="F19" s="440"/>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40"/>
      <c r="AO19" s="440"/>
      <c r="AP19" s="440"/>
      <c r="AQ19" s="441"/>
    </row>
    <row r="20" spans="3:43" ht="15.95" customHeight="1" x14ac:dyDescent="0.25">
      <c r="C20" s="286"/>
      <c r="D20" s="443" t="s">
        <v>1453</v>
      </c>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1"/>
    </row>
    <row r="21" spans="3:43" ht="15.95" customHeight="1" x14ac:dyDescent="0.25">
      <c r="C21" s="286"/>
      <c r="D21" s="735" t="s">
        <v>1557</v>
      </c>
      <c r="E21" s="735"/>
      <c r="F21" s="735"/>
      <c r="G21" s="735"/>
      <c r="H21" s="735"/>
      <c r="I21" s="735"/>
      <c r="J21" s="735"/>
      <c r="K21" s="735"/>
      <c r="L21" s="735"/>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735"/>
      <c r="AP21" s="735"/>
      <c r="AQ21" s="441"/>
    </row>
    <row r="22" spans="3:43" ht="15.95" customHeight="1" x14ac:dyDescent="0.25">
      <c r="C22" s="286"/>
      <c r="D22" s="735"/>
      <c r="E22" s="735"/>
      <c r="F22" s="735"/>
      <c r="G22" s="735"/>
      <c r="H22" s="735"/>
      <c r="I22" s="735"/>
      <c r="J22" s="735"/>
      <c r="K22" s="735"/>
      <c r="L22" s="735"/>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735"/>
      <c r="AP22" s="735"/>
      <c r="AQ22" s="441"/>
    </row>
    <row r="23" spans="3:43" ht="15.95" customHeight="1" x14ac:dyDescent="0.25">
      <c r="C23" s="286"/>
      <c r="D23" s="448" t="s">
        <v>1518</v>
      </c>
      <c r="E23" s="736" t="s">
        <v>1558</v>
      </c>
      <c r="F23" s="736"/>
      <c r="G23" s="736"/>
      <c r="H23" s="736"/>
      <c r="I23" s="736"/>
      <c r="J23" s="736"/>
      <c r="K23" s="736"/>
      <c r="L23" s="736"/>
      <c r="M23" s="736"/>
      <c r="N23" s="736"/>
      <c r="O23" s="736"/>
      <c r="P23" s="736"/>
      <c r="Q23" s="736"/>
      <c r="R23" s="736"/>
      <c r="S23" s="736"/>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441"/>
    </row>
    <row r="24" spans="3:43" ht="15.95" customHeight="1" x14ac:dyDescent="0.25">
      <c r="C24" s="286"/>
      <c r="D24" s="448"/>
      <c r="E24" s="736"/>
      <c r="F24" s="736"/>
      <c r="G24" s="736"/>
      <c r="H24" s="736"/>
      <c r="I24" s="736"/>
      <c r="J24" s="736"/>
      <c r="K24" s="736"/>
      <c r="L24" s="736"/>
      <c r="M24" s="736"/>
      <c r="N24" s="736"/>
      <c r="O24" s="736"/>
      <c r="P24" s="736"/>
      <c r="Q24" s="736"/>
      <c r="R24" s="736"/>
      <c r="S24" s="736"/>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441"/>
    </row>
    <row r="25" spans="3:43" ht="15.95" customHeight="1" x14ac:dyDescent="0.25">
      <c r="C25" s="286"/>
      <c r="D25" s="448" t="s">
        <v>1518</v>
      </c>
      <c r="E25" s="450" t="s">
        <v>1559</v>
      </c>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40"/>
      <c r="AO25" s="440"/>
      <c r="AP25" s="440"/>
      <c r="AQ25" s="441"/>
    </row>
    <row r="26" spans="3:43" ht="15.95" customHeight="1" x14ac:dyDescent="0.25">
      <c r="C26" s="286"/>
      <c r="D26" s="448" t="s">
        <v>1518</v>
      </c>
      <c r="E26" s="450" t="s">
        <v>1560</v>
      </c>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40"/>
      <c r="AG26" s="440"/>
      <c r="AH26" s="440"/>
      <c r="AI26" s="440"/>
      <c r="AJ26" s="440"/>
      <c r="AK26" s="440"/>
      <c r="AL26" s="440"/>
      <c r="AM26" s="440"/>
      <c r="AN26" s="440"/>
      <c r="AO26" s="440"/>
      <c r="AP26" s="440"/>
      <c r="AQ26" s="441"/>
    </row>
    <row r="27" spans="3:43" ht="15.95" customHeight="1" x14ac:dyDescent="0.25">
      <c r="C27" s="286"/>
      <c r="D27" s="44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40"/>
      <c r="AO27" s="440"/>
      <c r="AP27" s="440"/>
      <c r="AQ27" s="441"/>
    </row>
    <row r="28" spans="3:43" ht="15.95" customHeight="1" x14ac:dyDescent="0.25">
      <c r="C28" s="286"/>
      <c r="D28" s="735" t="s">
        <v>1561</v>
      </c>
      <c r="E28" s="735"/>
      <c r="F28" s="735"/>
      <c r="G28" s="735"/>
      <c r="H28" s="735"/>
      <c r="I28" s="735"/>
      <c r="J28" s="735"/>
      <c r="K28" s="735"/>
      <c r="L28" s="735"/>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735"/>
      <c r="AP28" s="735"/>
      <c r="AQ28" s="441"/>
    </row>
    <row r="29" spans="3:43" ht="15.95" customHeight="1" x14ac:dyDescent="0.25">
      <c r="C29" s="286"/>
      <c r="D29" s="735"/>
      <c r="E29" s="735"/>
      <c r="F29" s="735"/>
      <c r="G29" s="735"/>
      <c r="H29" s="735"/>
      <c r="I29" s="735"/>
      <c r="J29" s="735"/>
      <c r="K29" s="735"/>
      <c r="L29" s="735"/>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735"/>
      <c r="AP29" s="735"/>
      <c r="AQ29" s="441"/>
    </row>
    <row r="30" spans="3:43" ht="15.95" customHeight="1" x14ac:dyDescent="0.25">
      <c r="C30" s="286"/>
      <c r="D30" s="448" t="s">
        <v>1518</v>
      </c>
      <c r="E30" s="450" t="s">
        <v>1562</v>
      </c>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40"/>
      <c r="AO30" s="440"/>
      <c r="AP30" s="440"/>
      <c r="AQ30" s="441"/>
    </row>
    <row r="31" spans="3:43" ht="15.95" customHeight="1" x14ac:dyDescent="0.25">
      <c r="C31" s="286"/>
      <c r="D31" s="448" t="s">
        <v>1518</v>
      </c>
      <c r="E31" s="450" t="s">
        <v>1563</v>
      </c>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40"/>
      <c r="AO31" s="440"/>
      <c r="AP31" s="440"/>
      <c r="AQ31" s="441"/>
    </row>
    <row r="32" spans="3:43" ht="15.95" customHeight="1" x14ac:dyDescent="0.25">
      <c r="C32" s="286"/>
      <c r="D32" s="448" t="s">
        <v>1518</v>
      </c>
      <c r="E32" s="450" t="s">
        <v>1564</v>
      </c>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40"/>
      <c r="AO32" s="440"/>
      <c r="AP32" s="440"/>
      <c r="AQ32" s="441"/>
    </row>
    <row r="33" spans="3:43" ht="15.95" customHeight="1" x14ac:dyDescent="0.25">
      <c r="C33" s="286"/>
      <c r="D33" s="448" t="s">
        <v>1518</v>
      </c>
      <c r="E33" s="450" t="s">
        <v>1565</v>
      </c>
      <c r="F33" s="440"/>
      <c r="G33" s="440"/>
      <c r="H33" s="440"/>
      <c r="I33" s="440"/>
      <c r="J33" s="440"/>
      <c r="K33" s="440"/>
      <c r="L33" s="440"/>
      <c r="M33" s="440"/>
      <c r="N33" s="440"/>
      <c r="O33" s="440"/>
      <c r="P33" s="440"/>
      <c r="Q33" s="440"/>
      <c r="R33" s="440"/>
      <c r="S33" s="440"/>
      <c r="T33" s="440"/>
      <c r="U33" s="440"/>
      <c r="V33" s="440"/>
      <c r="W33" s="440"/>
      <c r="X33" s="440"/>
      <c r="Y33" s="440"/>
      <c r="Z33" s="440"/>
      <c r="AA33" s="440"/>
      <c r="AB33" s="440"/>
      <c r="AC33" s="440"/>
      <c r="AD33" s="440"/>
      <c r="AE33" s="440"/>
      <c r="AF33" s="440"/>
      <c r="AG33" s="440"/>
      <c r="AH33" s="440"/>
      <c r="AI33" s="440"/>
      <c r="AJ33" s="440"/>
      <c r="AK33" s="440"/>
      <c r="AL33" s="440"/>
      <c r="AM33" s="440"/>
      <c r="AN33" s="440"/>
      <c r="AO33" s="440"/>
      <c r="AP33" s="440"/>
      <c r="AQ33" s="441"/>
    </row>
    <row r="34" spans="3:43" ht="15.95" customHeight="1" x14ac:dyDescent="0.25">
      <c r="C34" s="286"/>
      <c r="D34" s="448" t="s">
        <v>1518</v>
      </c>
      <c r="E34" s="450" t="s">
        <v>1566</v>
      </c>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1"/>
    </row>
    <row r="35" spans="3:43" ht="15.95" customHeight="1" x14ac:dyDescent="0.25">
      <c r="C35" s="286"/>
      <c r="D35" s="448" t="s">
        <v>1518</v>
      </c>
      <c r="E35" s="450" t="s">
        <v>1567</v>
      </c>
      <c r="F35" s="440"/>
      <c r="G35" s="440"/>
      <c r="H35" s="440"/>
      <c r="I35" s="440"/>
      <c r="J35" s="440"/>
      <c r="K35" s="440"/>
      <c r="L35" s="440"/>
      <c r="M35" s="440"/>
      <c r="N35" s="440"/>
      <c r="O35" s="440"/>
      <c r="P35" s="440"/>
      <c r="Q35" s="440"/>
      <c r="R35" s="440"/>
      <c r="S35" s="440"/>
      <c r="T35" s="440"/>
      <c r="U35" s="440"/>
      <c r="V35" s="440"/>
      <c r="W35" s="440"/>
      <c r="X35" s="440"/>
      <c r="Y35" s="440"/>
      <c r="Z35" s="440"/>
      <c r="AA35" s="440"/>
      <c r="AB35" s="440"/>
      <c r="AC35" s="440"/>
      <c r="AD35" s="440"/>
      <c r="AE35" s="440"/>
      <c r="AF35" s="440"/>
      <c r="AG35" s="440"/>
      <c r="AH35" s="440"/>
      <c r="AI35" s="440"/>
      <c r="AJ35" s="440"/>
      <c r="AK35" s="440"/>
      <c r="AL35" s="440"/>
      <c r="AM35" s="440"/>
      <c r="AN35" s="440"/>
      <c r="AO35" s="440"/>
      <c r="AP35" s="440"/>
      <c r="AQ35" s="441"/>
    </row>
    <row r="36" spans="3:43" ht="15.95" customHeight="1" x14ac:dyDescent="0.25">
      <c r="C36" s="286"/>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40"/>
      <c r="AG36" s="440"/>
      <c r="AH36" s="440"/>
      <c r="AI36" s="440"/>
      <c r="AJ36" s="440"/>
      <c r="AK36" s="440"/>
      <c r="AL36" s="440"/>
      <c r="AM36" s="440"/>
      <c r="AN36" s="440"/>
      <c r="AO36" s="440"/>
      <c r="AP36" s="440"/>
      <c r="AQ36" s="441"/>
    </row>
    <row r="37" spans="3:43" ht="15.95" customHeight="1" x14ac:dyDescent="0.25">
      <c r="C37" s="286"/>
      <c r="D37" s="440" t="s">
        <v>1568</v>
      </c>
      <c r="E37" s="440"/>
      <c r="F37" s="440"/>
      <c r="G37" s="440"/>
      <c r="H37" s="440"/>
      <c r="I37" s="440"/>
      <c r="J37" s="440"/>
      <c r="K37" s="440"/>
      <c r="L37" s="440"/>
      <c r="M37" s="440"/>
      <c r="N37" s="440"/>
      <c r="O37" s="440"/>
      <c r="P37" s="440"/>
      <c r="Q37" s="440"/>
      <c r="R37" s="440"/>
      <c r="S37" s="440"/>
      <c r="T37" s="440"/>
      <c r="U37" s="440"/>
      <c r="V37" s="440"/>
      <c r="W37" s="440"/>
      <c r="X37" s="440"/>
      <c r="Y37" s="440"/>
      <c r="Z37" s="440"/>
      <c r="AA37" s="440"/>
      <c r="AB37" s="440"/>
      <c r="AC37" s="440"/>
      <c r="AD37" s="440"/>
      <c r="AE37" s="440"/>
      <c r="AF37" s="440"/>
      <c r="AG37" s="440"/>
      <c r="AH37" s="440"/>
      <c r="AI37" s="440"/>
      <c r="AJ37" s="440"/>
      <c r="AK37" s="440"/>
      <c r="AL37" s="440"/>
      <c r="AM37" s="440"/>
      <c r="AN37" s="440"/>
      <c r="AO37" s="440"/>
      <c r="AP37" s="440"/>
      <c r="AQ37" s="441"/>
    </row>
    <row r="38" spans="3:43" ht="15.95" customHeight="1" x14ac:dyDescent="0.25">
      <c r="C38" s="286"/>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40"/>
      <c r="AO38" s="440"/>
      <c r="AP38" s="440"/>
      <c r="AQ38" s="441"/>
    </row>
    <row r="39" spans="3:43" ht="15.95" customHeight="1" x14ac:dyDescent="0.25">
      <c r="C39" s="286"/>
      <c r="D39" s="761" t="s">
        <v>1569</v>
      </c>
      <c r="E39" s="761"/>
      <c r="F39" s="761"/>
      <c r="G39" s="761"/>
      <c r="H39" s="761"/>
      <c r="I39" s="761"/>
      <c r="J39" s="761"/>
      <c r="K39" s="761"/>
      <c r="L39" s="761"/>
      <c r="M39" s="761"/>
      <c r="N39" s="761" t="s">
        <v>1570</v>
      </c>
      <c r="O39" s="761"/>
      <c r="P39" s="761"/>
      <c r="Q39" s="761"/>
      <c r="R39" s="761"/>
      <c r="S39" s="761"/>
      <c r="T39" s="761"/>
      <c r="U39" s="761"/>
      <c r="V39" s="761"/>
      <c r="W39" s="761"/>
      <c r="X39" s="761"/>
      <c r="Y39" s="761" t="s">
        <v>1571</v>
      </c>
      <c r="Z39" s="761"/>
      <c r="AA39" s="761"/>
      <c r="AB39" s="761"/>
      <c r="AC39" s="761"/>
      <c r="AD39" s="761"/>
      <c r="AE39" s="761"/>
      <c r="AF39" s="761"/>
      <c r="AG39" s="761"/>
      <c r="AH39" s="761" t="s">
        <v>1572</v>
      </c>
      <c r="AI39" s="761"/>
      <c r="AJ39" s="761"/>
      <c r="AK39" s="761"/>
      <c r="AL39" s="761"/>
      <c r="AM39" s="761"/>
      <c r="AN39" s="761"/>
      <c r="AO39" s="761"/>
      <c r="AP39" s="761"/>
      <c r="AQ39" s="441"/>
    </row>
    <row r="40" spans="3:43" ht="15.95" customHeight="1" x14ac:dyDescent="0.25">
      <c r="C40" s="286"/>
      <c r="D40" s="746" t="s">
        <v>1573</v>
      </c>
      <c r="E40" s="746"/>
      <c r="F40" s="746"/>
      <c r="G40" s="746"/>
      <c r="H40" s="746"/>
      <c r="I40" s="746"/>
      <c r="J40" s="746"/>
      <c r="K40" s="746"/>
      <c r="L40" s="746"/>
      <c r="M40" s="746"/>
      <c r="N40" s="746" t="s">
        <v>1574</v>
      </c>
      <c r="O40" s="746"/>
      <c r="P40" s="746"/>
      <c r="Q40" s="746"/>
      <c r="R40" s="746"/>
      <c r="S40" s="746"/>
      <c r="T40" s="746"/>
      <c r="U40" s="746"/>
      <c r="V40" s="746"/>
      <c r="W40" s="746"/>
      <c r="X40" s="746"/>
      <c r="Y40" s="746" t="s">
        <v>1575</v>
      </c>
      <c r="Z40" s="746"/>
      <c r="AA40" s="746"/>
      <c r="AB40" s="746"/>
      <c r="AC40" s="746"/>
      <c r="AD40" s="746"/>
      <c r="AE40" s="746"/>
      <c r="AF40" s="746"/>
      <c r="AG40" s="746"/>
      <c r="AH40" s="746" t="s">
        <v>1576</v>
      </c>
      <c r="AI40" s="746"/>
      <c r="AJ40" s="746"/>
      <c r="AK40" s="746"/>
      <c r="AL40" s="746"/>
      <c r="AM40" s="746"/>
      <c r="AN40" s="746"/>
      <c r="AO40" s="746"/>
      <c r="AP40" s="746"/>
      <c r="AQ40" s="441"/>
    </row>
    <row r="41" spans="3:43" ht="15.95" customHeight="1" x14ac:dyDescent="0.25">
      <c r="C41" s="286"/>
      <c r="D41" s="746"/>
      <c r="E41" s="746"/>
      <c r="F41" s="746"/>
      <c r="G41" s="746"/>
      <c r="H41" s="746"/>
      <c r="I41" s="746"/>
      <c r="J41" s="746"/>
      <c r="K41" s="746"/>
      <c r="L41" s="746"/>
      <c r="M41" s="746"/>
      <c r="N41" s="746"/>
      <c r="O41" s="746"/>
      <c r="P41" s="746"/>
      <c r="Q41" s="746"/>
      <c r="R41" s="746"/>
      <c r="S41" s="746"/>
      <c r="T41" s="746"/>
      <c r="U41" s="746"/>
      <c r="V41" s="746"/>
      <c r="W41" s="746"/>
      <c r="X41" s="746"/>
      <c r="Y41" s="746"/>
      <c r="Z41" s="746"/>
      <c r="AA41" s="746"/>
      <c r="AB41" s="746"/>
      <c r="AC41" s="746"/>
      <c r="AD41" s="746"/>
      <c r="AE41" s="746"/>
      <c r="AF41" s="746"/>
      <c r="AG41" s="746"/>
      <c r="AH41" s="746"/>
      <c r="AI41" s="746"/>
      <c r="AJ41" s="746"/>
      <c r="AK41" s="746"/>
      <c r="AL41" s="746"/>
      <c r="AM41" s="746"/>
      <c r="AN41" s="746"/>
      <c r="AO41" s="746"/>
      <c r="AP41" s="746"/>
      <c r="AQ41" s="441"/>
    </row>
    <row r="42" spans="3:43" ht="15.95" customHeight="1" x14ac:dyDescent="0.25">
      <c r="C42" s="286"/>
      <c r="D42" s="746" t="s">
        <v>1577</v>
      </c>
      <c r="E42" s="746"/>
      <c r="F42" s="746"/>
      <c r="G42" s="746"/>
      <c r="H42" s="746"/>
      <c r="I42" s="746"/>
      <c r="J42" s="746"/>
      <c r="K42" s="746"/>
      <c r="L42" s="746"/>
      <c r="M42" s="746"/>
      <c r="N42" s="746" t="s">
        <v>1578</v>
      </c>
      <c r="O42" s="746"/>
      <c r="P42" s="746"/>
      <c r="Q42" s="746"/>
      <c r="R42" s="746"/>
      <c r="S42" s="746"/>
      <c r="T42" s="746"/>
      <c r="U42" s="746"/>
      <c r="V42" s="746"/>
      <c r="W42" s="746"/>
      <c r="X42" s="746"/>
      <c r="Y42" s="746" t="s">
        <v>1579</v>
      </c>
      <c r="Z42" s="746"/>
      <c r="AA42" s="746"/>
      <c r="AB42" s="746"/>
      <c r="AC42" s="746"/>
      <c r="AD42" s="746"/>
      <c r="AE42" s="746"/>
      <c r="AF42" s="746"/>
      <c r="AG42" s="746"/>
      <c r="AH42" s="746" t="s">
        <v>1580</v>
      </c>
      <c r="AI42" s="746"/>
      <c r="AJ42" s="746"/>
      <c r="AK42" s="746"/>
      <c r="AL42" s="746"/>
      <c r="AM42" s="746"/>
      <c r="AN42" s="746"/>
      <c r="AO42" s="746"/>
      <c r="AP42" s="746"/>
      <c r="AQ42" s="287"/>
    </row>
    <row r="43" spans="3:43" ht="15.95" customHeight="1" x14ac:dyDescent="0.25">
      <c r="C43" s="286"/>
      <c r="D43" s="746"/>
      <c r="E43" s="746"/>
      <c r="F43" s="746"/>
      <c r="G43" s="746"/>
      <c r="H43" s="746"/>
      <c r="I43" s="746"/>
      <c r="J43" s="746"/>
      <c r="K43" s="746"/>
      <c r="L43" s="746"/>
      <c r="M43" s="746"/>
      <c r="N43" s="746"/>
      <c r="O43" s="746"/>
      <c r="P43" s="746"/>
      <c r="Q43" s="746"/>
      <c r="R43" s="746"/>
      <c r="S43" s="746"/>
      <c r="T43" s="746"/>
      <c r="U43" s="746"/>
      <c r="V43" s="746"/>
      <c r="W43" s="746"/>
      <c r="X43" s="746"/>
      <c r="Y43" s="746"/>
      <c r="Z43" s="746"/>
      <c r="AA43" s="746"/>
      <c r="AB43" s="746"/>
      <c r="AC43" s="746"/>
      <c r="AD43" s="746"/>
      <c r="AE43" s="746"/>
      <c r="AF43" s="746"/>
      <c r="AG43" s="746"/>
      <c r="AH43" s="746"/>
      <c r="AI43" s="746"/>
      <c r="AJ43" s="746"/>
      <c r="AK43" s="746"/>
      <c r="AL43" s="746"/>
      <c r="AM43" s="746"/>
      <c r="AN43" s="746"/>
      <c r="AO43" s="746"/>
      <c r="AP43" s="746"/>
      <c r="AQ43" s="441"/>
    </row>
    <row r="44" spans="3:43" ht="15.95" customHeight="1" x14ac:dyDescent="0.25">
      <c r="C44" s="286"/>
      <c r="D44" s="746" t="s">
        <v>1581</v>
      </c>
      <c r="E44" s="746"/>
      <c r="F44" s="746"/>
      <c r="G44" s="746"/>
      <c r="H44" s="746"/>
      <c r="I44" s="746"/>
      <c r="J44" s="746"/>
      <c r="K44" s="746"/>
      <c r="L44" s="746"/>
      <c r="M44" s="746"/>
      <c r="N44" s="746" t="s">
        <v>1582</v>
      </c>
      <c r="O44" s="746"/>
      <c r="P44" s="746"/>
      <c r="Q44" s="746"/>
      <c r="R44" s="746"/>
      <c r="S44" s="746"/>
      <c r="T44" s="746"/>
      <c r="U44" s="746"/>
      <c r="V44" s="746"/>
      <c r="W44" s="746"/>
      <c r="X44" s="746"/>
      <c r="Y44" s="746" t="s">
        <v>1583</v>
      </c>
      <c r="Z44" s="746"/>
      <c r="AA44" s="746"/>
      <c r="AB44" s="746"/>
      <c r="AC44" s="746"/>
      <c r="AD44" s="746"/>
      <c r="AE44" s="746"/>
      <c r="AF44" s="746"/>
      <c r="AG44" s="746"/>
      <c r="AH44" s="746" t="s">
        <v>1584</v>
      </c>
      <c r="AI44" s="746"/>
      <c r="AJ44" s="746"/>
      <c r="AK44" s="746"/>
      <c r="AL44" s="746"/>
      <c r="AM44" s="746"/>
      <c r="AN44" s="746"/>
      <c r="AO44" s="746"/>
      <c r="AP44" s="746"/>
      <c r="AQ44" s="441"/>
    </row>
    <row r="45" spans="3:43" ht="15.95" customHeight="1" x14ac:dyDescent="0.25">
      <c r="C45" s="286"/>
      <c r="D45" s="746"/>
      <c r="E45" s="746"/>
      <c r="F45" s="746"/>
      <c r="G45" s="746"/>
      <c r="H45" s="746"/>
      <c r="I45" s="746"/>
      <c r="J45" s="746"/>
      <c r="K45" s="746"/>
      <c r="L45" s="746"/>
      <c r="M45" s="746"/>
      <c r="N45" s="746"/>
      <c r="O45" s="746"/>
      <c r="P45" s="746"/>
      <c r="Q45" s="746"/>
      <c r="R45" s="746"/>
      <c r="S45" s="746"/>
      <c r="T45" s="746"/>
      <c r="U45" s="746"/>
      <c r="V45" s="746"/>
      <c r="W45" s="746"/>
      <c r="X45" s="746"/>
      <c r="Y45" s="746"/>
      <c r="Z45" s="746"/>
      <c r="AA45" s="746"/>
      <c r="AB45" s="746"/>
      <c r="AC45" s="746"/>
      <c r="AD45" s="746"/>
      <c r="AE45" s="746"/>
      <c r="AF45" s="746"/>
      <c r="AG45" s="746"/>
      <c r="AH45" s="746"/>
      <c r="AI45" s="746"/>
      <c r="AJ45" s="746"/>
      <c r="AK45" s="746"/>
      <c r="AL45" s="746"/>
      <c r="AM45" s="746"/>
      <c r="AN45" s="746"/>
      <c r="AO45" s="746"/>
      <c r="AP45" s="746"/>
      <c r="AQ45" s="441"/>
    </row>
    <row r="46" spans="3:43" ht="15.95" customHeight="1" x14ac:dyDescent="0.25">
      <c r="C46" s="286"/>
      <c r="D46" s="746" t="s">
        <v>1585</v>
      </c>
      <c r="E46" s="746"/>
      <c r="F46" s="746"/>
      <c r="G46" s="746"/>
      <c r="H46" s="746"/>
      <c r="I46" s="746"/>
      <c r="J46" s="746"/>
      <c r="K46" s="746"/>
      <c r="L46" s="746"/>
      <c r="M46" s="746"/>
      <c r="N46" s="746" t="s">
        <v>1586</v>
      </c>
      <c r="O46" s="746"/>
      <c r="P46" s="746"/>
      <c r="Q46" s="746"/>
      <c r="R46" s="746"/>
      <c r="S46" s="746"/>
      <c r="T46" s="746"/>
      <c r="U46" s="746"/>
      <c r="V46" s="746"/>
      <c r="W46" s="746"/>
      <c r="X46" s="746"/>
      <c r="Y46" s="746" t="s">
        <v>1587</v>
      </c>
      <c r="Z46" s="746"/>
      <c r="AA46" s="746"/>
      <c r="AB46" s="746"/>
      <c r="AC46" s="746"/>
      <c r="AD46" s="746"/>
      <c r="AE46" s="746"/>
      <c r="AF46" s="746"/>
      <c r="AG46" s="746"/>
      <c r="AH46" s="746" t="s">
        <v>1588</v>
      </c>
      <c r="AI46" s="746"/>
      <c r="AJ46" s="746"/>
      <c r="AK46" s="746"/>
      <c r="AL46" s="746"/>
      <c r="AM46" s="746"/>
      <c r="AN46" s="746"/>
      <c r="AO46" s="746"/>
      <c r="AP46" s="746"/>
      <c r="AQ46" s="441"/>
    </row>
    <row r="47" spans="3:43" ht="15.95" customHeight="1" x14ac:dyDescent="0.25">
      <c r="C47" s="286"/>
      <c r="D47" s="746"/>
      <c r="E47" s="746"/>
      <c r="F47" s="746"/>
      <c r="G47" s="746"/>
      <c r="H47" s="746"/>
      <c r="I47" s="746"/>
      <c r="J47" s="746"/>
      <c r="K47" s="746"/>
      <c r="L47" s="746"/>
      <c r="M47" s="746"/>
      <c r="N47" s="746"/>
      <c r="O47" s="746"/>
      <c r="P47" s="746"/>
      <c r="Q47" s="746"/>
      <c r="R47" s="746"/>
      <c r="S47" s="746"/>
      <c r="T47" s="746"/>
      <c r="U47" s="746"/>
      <c r="V47" s="746"/>
      <c r="W47" s="746"/>
      <c r="X47" s="746"/>
      <c r="Y47" s="746"/>
      <c r="Z47" s="746"/>
      <c r="AA47" s="746"/>
      <c r="AB47" s="746"/>
      <c r="AC47" s="746"/>
      <c r="AD47" s="746"/>
      <c r="AE47" s="746"/>
      <c r="AF47" s="746"/>
      <c r="AG47" s="746"/>
      <c r="AH47" s="746"/>
      <c r="AI47" s="746"/>
      <c r="AJ47" s="746"/>
      <c r="AK47" s="746"/>
      <c r="AL47" s="746"/>
      <c r="AM47" s="746"/>
      <c r="AN47" s="746"/>
      <c r="AO47" s="746"/>
      <c r="AP47" s="746"/>
      <c r="AQ47" s="441"/>
    </row>
    <row r="48" spans="3:43" ht="15.95" customHeight="1" x14ac:dyDescent="0.25">
      <c r="C48" s="286"/>
      <c r="D48" s="746" t="s">
        <v>1589</v>
      </c>
      <c r="E48" s="746"/>
      <c r="F48" s="746"/>
      <c r="G48" s="746"/>
      <c r="H48" s="746"/>
      <c r="I48" s="746"/>
      <c r="J48" s="746"/>
      <c r="K48" s="746"/>
      <c r="L48" s="746"/>
      <c r="M48" s="746"/>
      <c r="N48" s="746" t="s">
        <v>1590</v>
      </c>
      <c r="O48" s="746"/>
      <c r="P48" s="746"/>
      <c r="Q48" s="746"/>
      <c r="R48" s="746"/>
      <c r="S48" s="746"/>
      <c r="T48" s="746"/>
      <c r="U48" s="746"/>
      <c r="V48" s="746"/>
      <c r="W48" s="746"/>
      <c r="X48" s="746"/>
      <c r="Y48" s="746" t="s">
        <v>1591</v>
      </c>
      <c r="Z48" s="746"/>
      <c r="AA48" s="746"/>
      <c r="AB48" s="746"/>
      <c r="AC48" s="746"/>
      <c r="AD48" s="746"/>
      <c r="AE48" s="746"/>
      <c r="AF48" s="746"/>
      <c r="AG48" s="746"/>
      <c r="AH48" s="746" t="s">
        <v>1592</v>
      </c>
      <c r="AI48" s="746"/>
      <c r="AJ48" s="746"/>
      <c r="AK48" s="746"/>
      <c r="AL48" s="746"/>
      <c r="AM48" s="746"/>
      <c r="AN48" s="746"/>
      <c r="AO48" s="746"/>
      <c r="AP48" s="746"/>
      <c r="AQ48" s="441"/>
    </row>
    <row r="49" spans="3:43" ht="15.95" customHeight="1" x14ac:dyDescent="0.25">
      <c r="C49" s="286"/>
      <c r="D49" s="746"/>
      <c r="E49" s="746"/>
      <c r="F49" s="746"/>
      <c r="G49" s="746"/>
      <c r="H49" s="746"/>
      <c r="I49" s="746"/>
      <c r="J49" s="746"/>
      <c r="K49" s="746"/>
      <c r="L49" s="746"/>
      <c r="M49" s="746"/>
      <c r="N49" s="746"/>
      <c r="O49" s="746"/>
      <c r="P49" s="746"/>
      <c r="Q49" s="746"/>
      <c r="R49" s="746"/>
      <c r="S49" s="746"/>
      <c r="T49" s="746"/>
      <c r="U49" s="746"/>
      <c r="V49" s="746"/>
      <c r="W49" s="746"/>
      <c r="X49" s="746"/>
      <c r="Y49" s="746"/>
      <c r="Z49" s="746"/>
      <c r="AA49" s="746"/>
      <c r="AB49" s="746"/>
      <c r="AC49" s="746"/>
      <c r="AD49" s="746"/>
      <c r="AE49" s="746"/>
      <c r="AF49" s="746"/>
      <c r="AG49" s="746"/>
      <c r="AH49" s="746"/>
      <c r="AI49" s="746"/>
      <c r="AJ49" s="746"/>
      <c r="AK49" s="746"/>
      <c r="AL49" s="746"/>
      <c r="AM49" s="746"/>
      <c r="AN49" s="746"/>
      <c r="AO49" s="746"/>
      <c r="AP49" s="746"/>
      <c r="AQ49" s="441"/>
    </row>
    <row r="50" spans="3:43" ht="15.95" customHeight="1" x14ac:dyDescent="0.25">
      <c r="C50" s="286"/>
      <c r="D50" s="466"/>
      <c r="E50" s="288"/>
      <c r="F50" s="288"/>
      <c r="G50" s="467"/>
      <c r="H50" s="467"/>
      <c r="I50" s="467"/>
      <c r="J50" s="467"/>
      <c r="K50" s="288"/>
      <c r="L50" s="60"/>
      <c r="M50" s="466"/>
      <c r="N50" s="60"/>
      <c r="O50" s="467"/>
      <c r="P50" s="467"/>
      <c r="Q50" s="467"/>
      <c r="R50" s="467"/>
      <c r="S50" s="467"/>
      <c r="T50" s="467"/>
      <c r="U50" s="467"/>
      <c r="V50" s="467"/>
      <c r="W50" s="60"/>
      <c r="X50" s="60"/>
      <c r="Y50" s="467"/>
      <c r="Z50" s="466"/>
      <c r="AA50" s="467"/>
      <c r="AB50" s="467"/>
      <c r="AC50" s="467"/>
      <c r="AD50" s="467"/>
      <c r="AE50" s="440"/>
      <c r="AF50" s="440"/>
      <c r="AG50" s="440"/>
      <c r="AH50" s="440"/>
      <c r="AI50" s="466"/>
      <c r="AJ50" s="440"/>
      <c r="AK50" s="440"/>
      <c r="AL50" s="440"/>
      <c r="AM50" s="440"/>
      <c r="AN50" s="440"/>
      <c r="AO50" s="440"/>
      <c r="AP50" s="440"/>
      <c r="AQ50" s="441"/>
    </row>
    <row r="51" spans="3:43" ht="15.95" customHeight="1" x14ac:dyDescent="0.25">
      <c r="C51" s="286"/>
      <c r="D51" s="777" t="s">
        <v>1593</v>
      </c>
      <c r="E51" s="777"/>
      <c r="F51" s="777"/>
      <c r="G51" s="777"/>
      <c r="H51" s="777"/>
      <c r="I51" s="777"/>
      <c r="J51" s="777"/>
      <c r="K51" s="777"/>
      <c r="L51" s="777"/>
      <c r="M51" s="777"/>
      <c r="N51" s="777"/>
      <c r="O51" s="777"/>
      <c r="P51" s="777"/>
      <c r="Q51" s="777"/>
      <c r="R51" s="777"/>
      <c r="S51" s="777"/>
      <c r="T51" s="777"/>
      <c r="U51" s="777"/>
      <c r="V51" s="777"/>
      <c r="W51" s="777"/>
      <c r="X51" s="777"/>
      <c r="Y51" s="777"/>
      <c r="Z51" s="777"/>
      <c r="AA51" s="777"/>
      <c r="AB51" s="777"/>
      <c r="AC51" s="777"/>
      <c r="AD51" s="777"/>
      <c r="AE51" s="777"/>
      <c r="AF51" s="777"/>
      <c r="AG51" s="777"/>
      <c r="AH51" s="777"/>
      <c r="AI51" s="777"/>
      <c r="AJ51" s="777"/>
      <c r="AK51" s="777"/>
      <c r="AL51" s="777"/>
      <c r="AM51" s="777"/>
      <c r="AN51" s="777"/>
      <c r="AO51" s="777"/>
      <c r="AP51" s="777"/>
      <c r="AQ51" s="441"/>
    </row>
    <row r="52" spans="3:43" ht="15.95" customHeight="1" x14ac:dyDescent="0.25">
      <c r="C52" s="286"/>
      <c r="D52" s="777"/>
      <c r="E52" s="777"/>
      <c r="F52" s="777"/>
      <c r="G52" s="777"/>
      <c r="H52" s="777"/>
      <c r="I52" s="777"/>
      <c r="J52" s="777"/>
      <c r="K52" s="777"/>
      <c r="L52" s="777"/>
      <c r="M52" s="777"/>
      <c r="N52" s="777"/>
      <c r="O52" s="777"/>
      <c r="P52" s="777"/>
      <c r="Q52" s="777"/>
      <c r="R52" s="777"/>
      <c r="S52" s="777"/>
      <c r="T52" s="777"/>
      <c r="U52" s="777"/>
      <c r="V52" s="777"/>
      <c r="W52" s="777"/>
      <c r="X52" s="777"/>
      <c r="Y52" s="777"/>
      <c r="Z52" s="777"/>
      <c r="AA52" s="777"/>
      <c r="AB52" s="777"/>
      <c r="AC52" s="777"/>
      <c r="AD52" s="777"/>
      <c r="AE52" s="777"/>
      <c r="AF52" s="777"/>
      <c r="AG52" s="777"/>
      <c r="AH52" s="777"/>
      <c r="AI52" s="777"/>
      <c r="AJ52" s="777"/>
      <c r="AK52" s="777"/>
      <c r="AL52" s="777"/>
      <c r="AM52" s="777"/>
      <c r="AN52" s="777"/>
      <c r="AO52" s="777"/>
      <c r="AP52" s="777"/>
      <c r="AQ52" s="441"/>
    </row>
    <row r="53" spans="3:43" ht="15.95" customHeight="1" x14ac:dyDescent="0.25">
      <c r="C53" s="286"/>
      <c r="D53" s="468"/>
      <c r="E53" s="468"/>
      <c r="F53" s="468"/>
      <c r="G53" s="468"/>
      <c r="H53" s="468"/>
      <c r="I53" s="468"/>
      <c r="J53" s="468"/>
      <c r="K53" s="468"/>
      <c r="L53" s="468"/>
      <c r="M53" s="468"/>
      <c r="N53" s="468"/>
      <c r="O53" s="468"/>
      <c r="P53" s="468"/>
      <c r="Q53" s="468"/>
      <c r="R53" s="468"/>
      <c r="S53" s="468"/>
      <c r="T53" s="468"/>
      <c r="U53" s="468"/>
      <c r="V53" s="468"/>
      <c r="W53" s="468"/>
      <c r="X53" s="468"/>
      <c r="Y53" s="468"/>
      <c r="Z53" s="468"/>
      <c r="AA53" s="468"/>
      <c r="AB53" s="468"/>
      <c r="AC53" s="468"/>
      <c r="AD53" s="468"/>
      <c r="AE53" s="468"/>
      <c r="AF53" s="468"/>
      <c r="AG53" s="468"/>
      <c r="AH53" s="468"/>
      <c r="AI53" s="468"/>
      <c r="AJ53" s="468"/>
      <c r="AK53" s="468"/>
      <c r="AL53" s="468"/>
      <c r="AM53" s="468"/>
      <c r="AN53" s="468"/>
      <c r="AO53" s="468"/>
      <c r="AP53" s="468"/>
      <c r="AQ53" s="441"/>
    </row>
    <row r="54" spans="3:43" ht="15.95" customHeight="1" x14ac:dyDescent="0.25">
      <c r="C54" s="286"/>
      <c r="D54" s="440" t="s">
        <v>1638</v>
      </c>
      <c r="E54" s="468"/>
      <c r="F54" s="468"/>
      <c r="G54" s="468"/>
      <c r="H54" s="468"/>
      <c r="I54" s="468"/>
      <c r="J54" s="468"/>
      <c r="K54" s="468"/>
      <c r="L54" s="468"/>
      <c r="M54" s="468"/>
      <c r="N54" s="468"/>
      <c r="O54" s="468"/>
      <c r="P54" s="468"/>
      <c r="Q54" s="468"/>
      <c r="R54" s="468"/>
      <c r="S54" s="468"/>
      <c r="T54" s="468"/>
      <c r="U54" s="468"/>
      <c r="V54" s="468"/>
      <c r="W54" s="468"/>
      <c r="X54" s="468"/>
      <c r="Y54" s="468"/>
      <c r="Z54" s="468"/>
      <c r="AA54" s="468"/>
      <c r="AB54" s="468"/>
      <c r="AC54" s="468"/>
      <c r="AD54" s="468"/>
      <c r="AE54" s="468"/>
      <c r="AF54" s="468"/>
      <c r="AG54" s="468"/>
      <c r="AH54" s="468"/>
      <c r="AI54" s="468"/>
      <c r="AJ54" s="468"/>
      <c r="AK54" s="468"/>
      <c r="AL54" s="468"/>
      <c r="AM54" s="468"/>
      <c r="AN54" s="468"/>
      <c r="AO54" s="468"/>
      <c r="AP54" s="468"/>
      <c r="AQ54" s="441"/>
    </row>
    <row r="55" spans="3:43" ht="15.95" customHeight="1" x14ac:dyDescent="0.25">
      <c r="C55" s="286"/>
      <c r="D55" s="468"/>
      <c r="E55" s="468"/>
      <c r="F55" s="468"/>
      <c r="G55" s="468"/>
      <c r="H55" s="468"/>
      <c r="I55" s="468"/>
      <c r="J55" s="468"/>
      <c r="K55" s="468"/>
      <c r="L55" s="468"/>
      <c r="M55" s="468"/>
      <c r="N55" s="468"/>
      <c r="O55" s="468"/>
      <c r="P55" s="468"/>
      <c r="Q55" s="468"/>
      <c r="R55" s="468"/>
      <c r="S55" s="468"/>
      <c r="T55" s="468"/>
      <c r="U55" s="468"/>
      <c r="V55" s="468"/>
      <c r="W55" s="468"/>
      <c r="X55" s="468"/>
      <c r="Y55" s="468"/>
      <c r="Z55" s="468"/>
      <c r="AA55" s="468"/>
      <c r="AB55" s="468"/>
      <c r="AC55" s="468"/>
      <c r="AD55" s="468"/>
      <c r="AE55" s="468"/>
      <c r="AF55" s="468"/>
      <c r="AG55" s="468"/>
      <c r="AH55" s="468"/>
      <c r="AI55" s="468"/>
      <c r="AJ55" s="468"/>
      <c r="AK55" s="468"/>
      <c r="AL55" s="468"/>
      <c r="AM55" s="468"/>
      <c r="AN55" s="468"/>
      <c r="AO55" s="468"/>
      <c r="AP55" s="468"/>
      <c r="AQ55" s="441"/>
    </row>
    <row r="56" spans="3:43" ht="15.95" customHeight="1" x14ac:dyDescent="0.25">
      <c r="C56" s="286"/>
      <c r="D56" s="748" t="s">
        <v>1627</v>
      </c>
      <c r="E56" s="748"/>
      <c r="F56" s="748"/>
      <c r="G56" s="748"/>
      <c r="H56" s="748"/>
      <c r="I56" s="748"/>
      <c r="J56" s="748"/>
      <c r="K56" s="748"/>
      <c r="L56" s="748"/>
      <c r="M56" s="748" t="s">
        <v>1628</v>
      </c>
      <c r="N56" s="748"/>
      <c r="O56" s="748"/>
      <c r="P56" s="748"/>
      <c r="Q56" s="748"/>
      <c r="R56" s="748"/>
      <c r="S56" s="748"/>
      <c r="T56" s="468"/>
      <c r="U56" s="468"/>
      <c r="V56" s="468"/>
      <c r="W56" s="468"/>
      <c r="X56" s="468"/>
      <c r="Y56" s="468"/>
      <c r="Z56" s="468"/>
      <c r="AA56" s="468"/>
      <c r="AB56" s="468"/>
      <c r="AC56" s="468"/>
      <c r="AD56" s="468"/>
      <c r="AE56" s="468"/>
      <c r="AF56" s="468"/>
      <c r="AG56" s="468"/>
      <c r="AH56" s="468"/>
      <c r="AI56" s="468"/>
      <c r="AJ56" s="468"/>
      <c r="AK56" s="468"/>
      <c r="AL56" s="468"/>
      <c r="AM56" s="468"/>
      <c r="AN56" s="468"/>
      <c r="AO56" s="468"/>
      <c r="AP56" s="468"/>
      <c r="AQ56" s="441"/>
    </row>
    <row r="57" spans="3:43" ht="15.95" customHeight="1" x14ac:dyDescent="0.25">
      <c r="C57" s="286"/>
      <c r="D57" s="746" t="s">
        <v>1878</v>
      </c>
      <c r="E57" s="746"/>
      <c r="F57" s="746"/>
      <c r="G57" s="746"/>
      <c r="H57" s="746"/>
      <c r="I57" s="746"/>
      <c r="J57" s="746"/>
      <c r="K57" s="746"/>
      <c r="L57" s="746"/>
      <c r="M57" s="746" t="s">
        <v>1629</v>
      </c>
      <c r="N57" s="746"/>
      <c r="O57" s="746"/>
      <c r="P57" s="746"/>
      <c r="Q57" s="746"/>
      <c r="R57" s="746"/>
      <c r="S57" s="746"/>
      <c r="T57" s="468"/>
      <c r="U57" s="468"/>
      <c r="V57" s="468"/>
      <c r="W57" s="468"/>
      <c r="X57" s="468"/>
      <c r="Y57" s="468"/>
      <c r="Z57" s="468"/>
      <c r="AA57" s="468"/>
      <c r="AB57" s="468"/>
      <c r="AC57" s="468"/>
      <c r="AD57" s="468"/>
      <c r="AE57" s="468"/>
      <c r="AF57" s="468"/>
      <c r="AG57" s="468"/>
      <c r="AH57" s="468"/>
      <c r="AI57" s="468"/>
      <c r="AJ57" s="468"/>
      <c r="AK57" s="468"/>
      <c r="AL57" s="468"/>
      <c r="AM57" s="468"/>
      <c r="AN57" s="468"/>
      <c r="AO57" s="468"/>
      <c r="AP57" s="468"/>
      <c r="AQ57" s="441"/>
    </row>
    <row r="58" spans="3:43" ht="15.95" customHeight="1" x14ac:dyDescent="0.25">
      <c r="C58" s="286"/>
      <c r="D58" s="746" t="s">
        <v>1630</v>
      </c>
      <c r="E58" s="746"/>
      <c r="F58" s="746"/>
      <c r="G58" s="746"/>
      <c r="H58" s="746"/>
      <c r="I58" s="746"/>
      <c r="J58" s="746"/>
      <c r="K58" s="746"/>
      <c r="L58" s="746"/>
      <c r="M58" s="746" t="s">
        <v>1631</v>
      </c>
      <c r="N58" s="746"/>
      <c r="O58" s="746"/>
      <c r="P58" s="746"/>
      <c r="Q58" s="746"/>
      <c r="R58" s="746"/>
      <c r="S58" s="746"/>
      <c r="T58" s="468"/>
      <c r="U58" s="468"/>
      <c r="V58" s="468"/>
      <c r="W58" s="468"/>
      <c r="X58" s="468"/>
      <c r="Y58" s="468"/>
      <c r="Z58" s="468"/>
      <c r="AA58" s="468"/>
      <c r="AB58" s="468"/>
      <c r="AC58" s="468"/>
      <c r="AD58" s="468"/>
      <c r="AE58" s="468"/>
      <c r="AF58" s="468"/>
      <c r="AG58" s="468"/>
      <c r="AH58" s="468"/>
      <c r="AI58" s="468"/>
      <c r="AJ58" s="468"/>
      <c r="AK58" s="468"/>
      <c r="AL58" s="468"/>
      <c r="AM58" s="468"/>
      <c r="AN58" s="468"/>
      <c r="AO58" s="468"/>
      <c r="AP58" s="468"/>
      <c r="AQ58" s="441"/>
    </row>
    <row r="59" spans="3:43" ht="15.95" customHeight="1" x14ac:dyDescent="0.25">
      <c r="C59" s="286"/>
      <c r="D59" s="746" t="s">
        <v>1632</v>
      </c>
      <c r="E59" s="746"/>
      <c r="F59" s="746"/>
      <c r="G59" s="746"/>
      <c r="H59" s="746"/>
      <c r="I59" s="746"/>
      <c r="J59" s="746"/>
      <c r="K59" s="746"/>
      <c r="L59" s="746"/>
      <c r="M59" s="746" t="s">
        <v>1633</v>
      </c>
      <c r="N59" s="746"/>
      <c r="O59" s="746"/>
      <c r="P59" s="746"/>
      <c r="Q59" s="746"/>
      <c r="R59" s="746"/>
      <c r="S59" s="746"/>
      <c r="T59" s="468"/>
      <c r="U59" s="468"/>
      <c r="V59" s="468"/>
      <c r="W59" s="468"/>
      <c r="X59" s="468"/>
      <c r="Y59" s="468"/>
      <c r="Z59" s="468"/>
      <c r="AA59" s="468"/>
      <c r="AB59" s="468"/>
      <c r="AC59" s="468"/>
      <c r="AD59" s="468"/>
      <c r="AE59" s="468"/>
      <c r="AF59" s="468"/>
      <c r="AG59" s="468"/>
      <c r="AH59" s="468"/>
      <c r="AI59" s="468"/>
      <c r="AJ59" s="468"/>
      <c r="AK59" s="468"/>
      <c r="AL59" s="468"/>
      <c r="AM59" s="468"/>
      <c r="AN59" s="468"/>
      <c r="AO59" s="468"/>
      <c r="AP59" s="468"/>
      <c r="AQ59" s="441"/>
    </row>
    <row r="60" spans="3:43" ht="15.95" customHeight="1" x14ac:dyDescent="0.25">
      <c r="C60" s="286"/>
      <c r="D60" s="468"/>
      <c r="E60" s="468"/>
      <c r="F60" s="468"/>
      <c r="G60" s="468"/>
      <c r="H60" s="468"/>
      <c r="I60" s="468"/>
      <c r="J60" s="468"/>
      <c r="K60" s="468"/>
      <c r="L60" s="468"/>
      <c r="M60" s="468"/>
      <c r="N60" s="468"/>
      <c r="O60" s="468"/>
      <c r="P60" s="468"/>
      <c r="Q60" s="468"/>
      <c r="R60" s="468"/>
      <c r="S60" s="468"/>
      <c r="T60" s="468"/>
      <c r="U60" s="468"/>
      <c r="V60" s="468"/>
      <c r="W60" s="468"/>
      <c r="X60" s="468"/>
      <c r="Y60" s="468"/>
      <c r="Z60" s="468"/>
      <c r="AA60" s="468"/>
      <c r="AB60" s="468"/>
      <c r="AC60" s="468"/>
      <c r="AD60" s="468"/>
      <c r="AE60" s="468"/>
      <c r="AF60" s="468"/>
      <c r="AG60" s="468"/>
      <c r="AH60" s="468"/>
      <c r="AI60" s="468"/>
      <c r="AJ60" s="468"/>
      <c r="AK60" s="468"/>
      <c r="AL60" s="468"/>
      <c r="AM60" s="468"/>
      <c r="AN60" s="468"/>
      <c r="AO60" s="468"/>
      <c r="AP60" s="468"/>
      <c r="AQ60" s="441"/>
    </row>
    <row r="61" spans="3:43" ht="15.95" customHeight="1" x14ac:dyDescent="0.25">
      <c r="C61" s="286"/>
      <c r="D61" s="443" t="s">
        <v>1454</v>
      </c>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40"/>
      <c r="AO61" s="440"/>
      <c r="AP61" s="440"/>
      <c r="AQ61" s="441"/>
    </row>
    <row r="62" spans="3:43" ht="15.95" customHeight="1" x14ac:dyDescent="0.25">
      <c r="C62" s="286"/>
      <c r="D62" s="735" t="s">
        <v>1594</v>
      </c>
      <c r="E62" s="735"/>
      <c r="F62" s="735"/>
      <c r="G62" s="735"/>
      <c r="H62" s="735"/>
      <c r="I62" s="735"/>
      <c r="J62" s="735"/>
      <c r="K62" s="735"/>
      <c r="L62" s="735"/>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735"/>
      <c r="AP62" s="735"/>
      <c r="AQ62" s="441"/>
    </row>
    <row r="63" spans="3:43" ht="15.95" customHeight="1" x14ac:dyDescent="0.25">
      <c r="C63" s="286"/>
      <c r="D63" s="735"/>
      <c r="E63" s="735"/>
      <c r="F63" s="735"/>
      <c r="G63" s="735"/>
      <c r="H63" s="735"/>
      <c r="I63" s="735"/>
      <c r="J63" s="735"/>
      <c r="K63" s="735"/>
      <c r="L63" s="735"/>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735"/>
      <c r="AP63" s="735"/>
      <c r="AQ63" s="441"/>
    </row>
    <row r="64" spans="3:43" ht="15.95" customHeight="1" x14ac:dyDescent="0.25">
      <c r="C64" s="286"/>
      <c r="D64" s="448" t="s">
        <v>1518</v>
      </c>
      <c r="E64" s="450" t="s">
        <v>1595</v>
      </c>
      <c r="F64" s="440"/>
      <c r="G64" s="440"/>
      <c r="H64" s="440"/>
      <c r="I64" s="440"/>
      <c r="J64" s="440"/>
      <c r="K64" s="440"/>
      <c r="L64" s="440"/>
      <c r="M64" s="440"/>
      <c r="N64" s="440"/>
      <c r="O64" s="440"/>
      <c r="P64" s="440"/>
      <c r="Q64" s="440"/>
      <c r="R64" s="440"/>
      <c r="S64" s="440"/>
      <c r="T64" s="440"/>
      <c r="U64" s="440"/>
      <c r="V64" s="440"/>
      <c r="W64" s="440"/>
      <c r="X64" s="440"/>
      <c r="Y64" s="440"/>
      <c r="Z64" s="440"/>
      <c r="AA64" s="440"/>
      <c r="AB64" s="440"/>
      <c r="AC64" s="440"/>
      <c r="AD64" s="440"/>
      <c r="AE64" s="440"/>
      <c r="AF64" s="440"/>
      <c r="AG64" s="440"/>
      <c r="AH64" s="440"/>
      <c r="AI64" s="440"/>
      <c r="AJ64" s="440"/>
      <c r="AK64" s="440"/>
      <c r="AL64" s="440"/>
      <c r="AM64" s="440"/>
      <c r="AN64" s="440"/>
      <c r="AO64" s="440"/>
      <c r="AP64" s="440"/>
      <c r="AQ64" s="441"/>
    </row>
    <row r="65" spans="3:43" ht="15.95" customHeight="1" x14ac:dyDescent="0.25">
      <c r="C65" s="286"/>
      <c r="D65" s="448" t="s">
        <v>1518</v>
      </c>
      <c r="E65" s="450" t="s">
        <v>1596</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c r="AK65" s="440"/>
      <c r="AL65" s="440"/>
      <c r="AM65" s="440"/>
      <c r="AN65" s="440"/>
      <c r="AO65" s="440"/>
      <c r="AP65" s="440"/>
      <c r="AQ65" s="441"/>
    </row>
    <row r="66" spans="3:43" ht="15.95" customHeight="1" x14ac:dyDescent="0.25">
      <c r="C66" s="286"/>
      <c r="D66" s="448" t="s">
        <v>1518</v>
      </c>
      <c r="E66" s="450" t="s">
        <v>1597</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c r="AK66" s="440"/>
      <c r="AL66" s="440"/>
      <c r="AM66" s="440"/>
      <c r="AN66" s="440"/>
      <c r="AO66" s="440"/>
      <c r="AP66" s="440"/>
      <c r="AQ66" s="441"/>
    </row>
    <row r="67" spans="3:43" ht="15.95" customHeight="1" x14ac:dyDescent="0.25">
      <c r="C67" s="286"/>
      <c r="D67" s="448" t="s">
        <v>1518</v>
      </c>
      <c r="E67" s="450" t="s">
        <v>1598</v>
      </c>
      <c r="F67" s="440"/>
      <c r="G67" s="440"/>
      <c r="H67" s="440"/>
      <c r="I67" s="440"/>
      <c r="J67" s="440"/>
      <c r="K67" s="440"/>
      <c r="L67" s="440"/>
      <c r="M67" s="440"/>
      <c r="N67" s="440"/>
      <c r="O67" s="440"/>
      <c r="P67" s="440"/>
      <c r="Q67" s="440"/>
      <c r="R67" s="440"/>
      <c r="S67" s="440"/>
      <c r="T67" s="440"/>
      <c r="U67" s="440"/>
      <c r="V67" s="440"/>
      <c r="W67" s="440"/>
      <c r="X67" s="440"/>
      <c r="Y67" s="440"/>
      <c r="Z67" s="440"/>
      <c r="AA67" s="440"/>
      <c r="AB67" s="440"/>
      <c r="AC67" s="440"/>
      <c r="AD67" s="440"/>
      <c r="AE67" s="440"/>
      <c r="AF67" s="440"/>
      <c r="AG67" s="440"/>
      <c r="AH67" s="440"/>
      <c r="AI67" s="440"/>
      <c r="AJ67" s="440"/>
      <c r="AK67" s="440"/>
      <c r="AL67" s="440"/>
      <c r="AM67" s="440"/>
      <c r="AN67" s="440"/>
      <c r="AO67" s="440"/>
      <c r="AP67" s="440"/>
      <c r="AQ67" s="441"/>
    </row>
    <row r="68" spans="3:43" ht="15.95" customHeight="1" x14ac:dyDescent="0.25">
      <c r="C68" s="286"/>
      <c r="D68" s="60"/>
      <c r="E68" s="60"/>
      <c r="F68" s="440"/>
      <c r="G68" s="440"/>
      <c r="H68" s="440"/>
      <c r="I68" s="440"/>
      <c r="J68" s="60"/>
      <c r="K68" s="440"/>
      <c r="L68" s="440"/>
      <c r="M68" s="440"/>
      <c r="N68" s="440"/>
      <c r="O68" s="440"/>
      <c r="P68" s="440"/>
      <c r="Q68" s="440"/>
      <c r="R68" s="440"/>
      <c r="S68" s="440"/>
      <c r="T68" s="440"/>
      <c r="U68" s="440"/>
      <c r="V68" s="440"/>
      <c r="W68" s="60"/>
      <c r="X68" s="440"/>
      <c r="Y68" s="440"/>
      <c r="Z68" s="440"/>
      <c r="AA68" s="440"/>
      <c r="AB68" s="440"/>
      <c r="AC68" s="440"/>
      <c r="AD68" s="440"/>
      <c r="AE68" s="440"/>
      <c r="AF68" s="440"/>
      <c r="AG68" s="440"/>
      <c r="AH68" s="440"/>
      <c r="AI68" s="440"/>
      <c r="AJ68" s="440"/>
      <c r="AK68" s="440"/>
      <c r="AL68" s="440"/>
      <c r="AM68" s="440"/>
      <c r="AN68" s="440"/>
      <c r="AO68" s="440"/>
      <c r="AP68" s="440"/>
      <c r="AQ68" s="441"/>
    </row>
    <row r="69" spans="3:43" ht="15.95" customHeight="1" x14ac:dyDescent="0.25">
      <c r="C69" s="286"/>
      <c r="D69" s="762" t="s">
        <v>1479</v>
      </c>
      <c r="E69" s="763"/>
      <c r="F69" s="763"/>
      <c r="G69" s="763"/>
      <c r="H69" s="764"/>
      <c r="I69" s="771" t="s">
        <v>1993</v>
      </c>
      <c r="J69" s="772"/>
      <c r="K69" s="761" t="s">
        <v>1599</v>
      </c>
      <c r="L69" s="761"/>
      <c r="M69" s="761"/>
      <c r="N69" s="761" t="s">
        <v>1600</v>
      </c>
      <c r="O69" s="761"/>
      <c r="P69" s="761"/>
      <c r="Q69" s="761" t="s">
        <v>1601</v>
      </c>
      <c r="R69" s="761"/>
      <c r="S69" s="761"/>
      <c r="T69" s="761" t="s">
        <v>1602</v>
      </c>
      <c r="U69" s="761"/>
      <c r="V69" s="761"/>
      <c r="W69" s="440"/>
      <c r="X69" s="762" t="s">
        <v>1479</v>
      </c>
      <c r="Y69" s="763"/>
      <c r="Z69" s="763"/>
      <c r="AA69" s="763"/>
      <c r="AB69" s="764"/>
      <c r="AC69" s="771" t="s">
        <v>1993</v>
      </c>
      <c r="AD69" s="772"/>
      <c r="AE69" s="761" t="s">
        <v>1599</v>
      </c>
      <c r="AF69" s="761"/>
      <c r="AG69" s="761"/>
      <c r="AH69" s="761" t="s">
        <v>1600</v>
      </c>
      <c r="AI69" s="761"/>
      <c r="AJ69" s="761"/>
      <c r="AK69" s="761" t="s">
        <v>1601</v>
      </c>
      <c r="AL69" s="761"/>
      <c r="AM69" s="761"/>
      <c r="AN69" s="761" t="s">
        <v>1602</v>
      </c>
      <c r="AO69" s="761"/>
      <c r="AP69" s="761"/>
      <c r="AQ69" s="441"/>
    </row>
    <row r="70" spans="3:43" ht="15.95" customHeight="1" x14ac:dyDescent="0.25">
      <c r="C70" s="286"/>
      <c r="D70" s="765"/>
      <c r="E70" s="766"/>
      <c r="F70" s="766"/>
      <c r="G70" s="766"/>
      <c r="H70" s="767"/>
      <c r="I70" s="773"/>
      <c r="J70" s="774"/>
      <c r="K70" s="761"/>
      <c r="L70" s="761"/>
      <c r="M70" s="761"/>
      <c r="N70" s="761"/>
      <c r="O70" s="761"/>
      <c r="P70" s="761"/>
      <c r="Q70" s="761"/>
      <c r="R70" s="761"/>
      <c r="S70" s="761"/>
      <c r="T70" s="761"/>
      <c r="U70" s="761"/>
      <c r="V70" s="761"/>
      <c r="W70" s="440"/>
      <c r="X70" s="765"/>
      <c r="Y70" s="766"/>
      <c r="Z70" s="766"/>
      <c r="AA70" s="766"/>
      <c r="AB70" s="767"/>
      <c r="AC70" s="773"/>
      <c r="AD70" s="774"/>
      <c r="AE70" s="761"/>
      <c r="AF70" s="761"/>
      <c r="AG70" s="761"/>
      <c r="AH70" s="761"/>
      <c r="AI70" s="761"/>
      <c r="AJ70" s="761"/>
      <c r="AK70" s="761"/>
      <c r="AL70" s="761"/>
      <c r="AM70" s="761"/>
      <c r="AN70" s="761"/>
      <c r="AO70" s="761"/>
      <c r="AP70" s="761"/>
      <c r="AQ70" s="441"/>
    </row>
    <row r="71" spans="3:43" ht="15.95" customHeight="1" x14ac:dyDescent="0.25">
      <c r="C71" s="286"/>
      <c r="D71" s="765"/>
      <c r="E71" s="766"/>
      <c r="F71" s="766"/>
      <c r="G71" s="766"/>
      <c r="H71" s="767"/>
      <c r="I71" s="773"/>
      <c r="J71" s="774"/>
      <c r="K71" s="761"/>
      <c r="L71" s="761"/>
      <c r="M71" s="761"/>
      <c r="N71" s="761"/>
      <c r="O71" s="761"/>
      <c r="P71" s="761"/>
      <c r="Q71" s="761"/>
      <c r="R71" s="761"/>
      <c r="S71" s="761"/>
      <c r="T71" s="761"/>
      <c r="U71" s="761"/>
      <c r="V71" s="761"/>
      <c r="W71" s="440"/>
      <c r="X71" s="765"/>
      <c r="Y71" s="766"/>
      <c r="Z71" s="766"/>
      <c r="AA71" s="766"/>
      <c r="AB71" s="767"/>
      <c r="AC71" s="773"/>
      <c r="AD71" s="774"/>
      <c r="AE71" s="761"/>
      <c r="AF71" s="761"/>
      <c r="AG71" s="761"/>
      <c r="AH71" s="761"/>
      <c r="AI71" s="761"/>
      <c r="AJ71" s="761"/>
      <c r="AK71" s="761"/>
      <c r="AL71" s="761"/>
      <c r="AM71" s="761"/>
      <c r="AN71" s="761"/>
      <c r="AO71" s="761"/>
      <c r="AP71" s="761"/>
      <c r="AQ71" s="441"/>
    </row>
    <row r="72" spans="3:43" ht="15.95" customHeight="1" x14ac:dyDescent="0.25">
      <c r="C72" s="286"/>
      <c r="D72" s="768"/>
      <c r="E72" s="769"/>
      <c r="F72" s="769"/>
      <c r="G72" s="769"/>
      <c r="H72" s="770"/>
      <c r="I72" s="775"/>
      <c r="J72" s="776"/>
      <c r="K72" s="761"/>
      <c r="L72" s="761"/>
      <c r="M72" s="761"/>
      <c r="N72" s="761"/>
      <c r="O72" s="761"/>
      <c r="P72" s="761"/>
      <c r="Q72" s="761"/>
      <c r="R72" s="761"/>
      <c r="S72" s="761"/>
      <c r="T72" s="761"/>
      <c r="U72" s="761"/>
      <c r="V72" s="761"/>
      <c r="W72" s="440"/>
      <c r="X72" s="768"/>
      <c r="Y72" s="769"/>
      <c r="Z72" s="769"/>
      <c r="AA72" s="769"/>
      <c r="AB72" s="770"/>
      <c r="AC72" s="775"/>
      <c r="AD72" s="776"/>
      <c r="AE72" s="761"/>
      <c r="AF72" s="761"/>
      <c r="AG72" s="761"/>
      <c r="AH72" s="761"/>
      <c r="AI72" s="761"/>
      <c r="AJ72" s="761"/>
      <c r="AK72" s="761"/>
      <c r="AL72" s="761"/>
      <c r="AM72" s="761"/>
      <c r="AN72" s="761"/>
      <c r="AO72" s="761"/>
      <c r="AP72" s="761"/>
      <c r="AQ72" s="441"/>
    </row>
    <row r="73" spans="3:43" ht="15.95" customHeight="1" x14ac:dyDescent="0.25">
      <c r="C73" s="286"/>
      <c r="D73" s="742" t="s">
        <v>1480</v>
      </c>
      <c r="E73" s="743"/>
      <c r="F73" s="743"/>
      <c r="G73" s="743"/>
      <c r="H73" s="744"/>
      <c r="I73" s="737">
        <v>0.71</v>
      </c>
      <c r="J73" s="738"/>
      <c r="K73" s="737">
        <v>0.8</v>
      </c>
      <c r="L73" s="739"/>
      <c r="M73" s="738"/>
      <c r="N73" s="740">
        <v>0.82</v>
      </c>
      <c r="O73" s="740"/>
      <c r="P73" s="740"/>
      <c r="Q73" s="741">
        <v>0.9</v>
      </c>
      <c r="R73" s="741"/>
      <c r="S73" s="741"/>
      <c r="T73" s="741">
        <v>1.5</v>
      </c>
      <c r="U73" s="741"/>
      <c r="V73" s="741"/>
      <c r="W73" s="440"/>
      <c r="X73" s="742" t="s">
        <v>1496</v>
      </c>
      <c r="Y73" s="743"/>
      <c r="Z73" s="743"/>
      <c r="AA73" s="743"/>
      <c r="AB73" s="743"/>
      <c r="AC73" s="737">
        <v>0.83</v>
      </c>
      <c r="AD73" s="738"/>
      <c r="AE73" s="737">
        <v>0.76</v>
      </c>
      <c r="AF73" s="739"/>
      <c r="AG73" s="738"/>
      <c r="AH73" s="740">
        <v>0.83</v>
      </c>
      <c r="AI73" s="740"/>
      <c r="AJ73" s="740"/>
      <c r="AK73" s="741">
        <v>1.2</v>
      </c>
      <c r="AL73" s="741"/>
      <c r="AM73" s="741"/>
      <c r="AN73" s="741">
        <v>1.6</v>
      </c>
      <c r="AO73" s="741"/>
      <c r="AP73" s="741"/>
      <c r="AQ73" s="441"/>
    </row>
    <row r="74" spans="3:43" ht="15.95" customHeight="1" x14ac:dyDescent="0.25">
      <c r="C74" s="286"/>
      <c r="D74" s="742" t="s">
        <v>1481</v>
      </c>
      <c r="E74" s="743"/>
      <c r="F74" s="743"/>
      <c r="G74" s="743"/>
      <c r="H74" s="744"/>
      <c r="I74" s="737">
        <v>0.76</v>
      </c>
      <c r="J74" s="738"/>
      <c r="K74" s="737">
        <v>1.01</v>
      </c>
      <c r="L74" s="739"/>
      <c r="M74" s="738"/>
      <c r="N74" s="740">
        <v>1.08</v>
      </c>
      <c r="O74" s="740"/>
      <c r="P74" s="740"/>
      <c r="Q74" s="741">
        <v>1.2</v>
      </c>
      <c r="R74" s="741"/>
      <c r="S74" s="741"/>
      <c r="T74" s="741">
        <v>1.4</v>
      </c>
      <c r="U74" s="741"/>
      <c r="V74" s="741"/>
      <c r="W74" s="440"/>
      <c r="X74" s="742" t="s">
        <v>1497</v>
      </c>
      <c r="Y74" s="743"/>
      <c r="Z74" s="743"/>
      <c r="AA74" s="743"/>
      <c r="AB74" s="743"/>
      <c r="AC74" s="737">
        <v>0.68</v>
      </c>
      <c r="AD74" s="738"/>
      <c r="AE74" s="737">
        <v>0.51</v>
      </c>
      <c r="AF74" s="739"/>
      <c r="AG74" s="738"/>
      <c r="AH74" s="740">
        <v>0.6</v>
      </c>
      <c r="AI74" s="740"/>
      <c r="AJ74" s="740"/>
      <c r="AK74" s="741">
        <v>0.7</v>
      </c>
      <c r="AL74" s="741"/>
      <c r="AM74" s="741"/>
      <c r="AN74" s="741">
        <v>1</v>
      </c>
      <c r="AO74" s="741"/>
      <c r="AP74" s="741"/>
      <c r="AQ74" s="441"/>
    </row>
    <row r="75" spans="3:43" ht="15.95" customHeight="1" x14ac:dyDescent="0.25">
      <c r="C75" s="286"/>
      <c r="D75" s="742" t="s">
        <v>1482</v>
      </c>
      <c r="E75" s="743"/>
      <c r="F75" s="743"/>
      <c r="G75" s="743"/>
      <c r="H75" s="744"/>
      <c r="I75" s="737">
        <v>0.9</v>
      </c>
      <c r="J75" s="738"/>
      <c r="K75" s="737">
        <v>1.01</v>
      </c>
      <c r="L75" s="739"/>
      <c r="M75" s="738"/>
      <c r="N75" s="740">
        <v>1.05</v>
      </c>
      <c r="O75" s="740"/>
      <c r="P75" s="740"/>
      <c r="Q75" s="741">
        <v>1.2</v>
      </c>
      <c r="R75" s="741"/>
      <c r="S75" s="741"/>
      <c r="T75" s="741">
        <v>1.4</v>
      </c>
      <c r="U75" s="741"/>
      <c r="V75" s="741"/>
      <c r="W75" s="440"/>
      <c r="X75" s="742" t="s">
        <v>1498</v>
      </c>
      <c r="Y75" s="743"/>
      <c r="Z75" s="743"/>
      <c r="AA75" s="743"/>
      <c r="AB75" s="743"/>
      <c r="AC75" s="737">
        <v>1.06</v>
      </c>
      <c r="AD75" s="738"/>
      <c r="AE75" s="737">
        <v>1.02</v>
      </c>
      <c r="AF75" s="739"/>
      <c r="AG75" s="738"/>
      <c r="AH75" s="740">
        <v>1.06</v>
      </c>
      <c r="AI75" s="740"/>
      <c r="AJ75" s="740"/>
      <c r="AK75" s="741">
        <v>1.1000000000000001</v>
      </c>
      <c r="AL75" s="741"/>
      <c r="AM75" s="741"/>
      <c r="AN75" s="741">
        <v>1.6</v>
      </c>
      <c r="AO75" s="741"/>
      <c r="AP75" s="741"/>
      <c r="AQ75" s="441"/>
    </row>
    <row r="76" spans="3:43" ht="15.95" customHeight="1" x14ac:dyDescent="0.25">
      <c r="C76" s="286"/>
      <c r="D76" s="742" t="s">
        <v>1483</v>
      </c>
      <c r="E76" s="743"/>
      <c r="F76" s="743"/>
      <c r="G76" s="743"/>
      <c r="H76" s="744"/>
      <c r="I76" s="737">
        <v>0.9</v>
      </c>
      <c r="J76" s="738"/>
      <c r="K76" s="737">
        <v>1.01</v>
      </c>
      <c r="L76" s="739"/>
      <c r="M76" s="738"/>
      <c r="N76" s="740">
        <v>0.99</v>
      </c>
      <c r="O76" s="740"/>
      <c r="P76" s="740"/>
      <c r="Q76" s="741">
        <v>1.3</v>
      </c>
      <c r="R76" s="741"/>
      <c r="S76" s="741"/>
      <c r="T76" s="741">
        <v>1.5</v>
      </c>
      <c r="U76" s="741"/>
      <c r="V76" s="741"/>
      <c r="W76" s="440"/>
      <c r="X76" s="742" t="s">
        <v>351</v>
      </c>
      <c r="Y76" s="743"/>
      <c r="Z76" s="743"/>
      <c r="AA76" s="743"/>
      <c r="AB76" s="743"/>
      <c r="AC76" s="737">
        <v>0.79</v>
      </c>
      <c r="AD76" s="738"/>
      <c r="AE76" s="737">
        <v>0.82</v>
      </c>
      <c r="AF76" s="739"/>
      <c r="AG76" s="738"/>
      <c r="AH76" s="740">
        <v>0.9</v>
      </c>
      <c r="AI76" s="740"/>
      <c r="AJ76" s="740"/>
      <c r="AK76" s="741">
        <v>1</v>
      </c>
      <c r="AL76" s="741"/>
      <c r="AM76" s="741"/>
      <c r="AN76" s="741">
        <v>1.3</v>
      </c>
      <c r="AO76" s="741"/>
      <c r="AP76" s="741"/>
      <c r="AQ76" s="441"/>
    </row>
    <row r="77" spans="3:43" ht="15.95" customHeight="1" x14ac:dyDescent="0.25">
      <c r="C77" s="286"/>
      <c r="D77" s="755" t="s">
        <v>1484</v>
      </c>
      <c r="E77" s="756"/>
      <c r="F77" s="756"/>
      <c r="G77" s="756"/>
      <c r="H77" s="757"/>
      <c r="I77" s="749">
        <v>0.79</v>
      </c>
      <c r="J77" s="751"/>
      <c r="K77" s="749">
        <v>0.9</v>
      </c>
      <c r="L77" s="750"/>
      <c r="M77" s="751"/>
      <c r="N77" s="740">
        <v>0.9</v>
      </c>
      <c r="O77" s="740"/>
      <c r="P77" s="740"/>
      <c r="Q77" s="741">
        <v>1.4</v>
      </c>
      <c r="R77" s="741"/>
      <c r="S77" s="741"/>
      <c r="T77" s="741">
        <v>1.8</v>
      </c>
      <c r="U77" s="741"/>
      <c r="V77" s="741"/>
      <c r="W77" s="440"/>
      <c r="X77" s="742" t="s">
        <v>352</v>
      </c>
      <c r="Y77" s="743"/>
      <c r="Z77" s="743"/>
      <c r="AA77" s="743"/>
      <c r="AB77" s="743"/>
      <c r="AC77" s="737">
        <v>0.15</v>
      </c>
      <c r="AD77" s="738"/>
      <c r="AE77" s="737">
        <v>0.21</v>
      </c>
      <c r="AF77" s="739"/>
      <c r="AG77" s="738"/>
      <c r="AH77" s="740">
        <v>0.25</v>
      </c>
      <c r="AI77" s="740"/>
      <c r="AJ77" s="740"/>
      <c r="AK77" s="741">
        <v>0.3</v>
      </c>
      <c r="AL77" s="741"/>
      <c r="AM77" s="741"/>
      <c r="AN77" s="741">
        <v>0.3</v>
      </c>
      <c r="AO77" s="741"/>
      <c r="AP77" s="741"/>
      <c r="AQ77" s="441"/>
    </row>
    <row r="78" spans="3:43" ht="15.95" customHeight="1" x14ac:dyDescent="0.25">
      <c r="C78" s="286"/>
      <c r="D78" s="758"/>
      <c r="E78" s="759"/>
      <c r="F78" s="759"/>
      <c r="G78" s="759"/>
      <c r="H78" s="760"/>
      <c r="I78" s="752"/>
      <c r="J78" s="754"/>
      <c r="K78" s="752"/>
      <c r="L78" s="753"/>
      <c r="M78" s="754"/>
      <c r="N78" s="740"/>
      <c r="O78" s="740"/>
      <c r="P78" s="740"/>
      <c r="Q78" s="741"/>
      <c r="R78" s="741"/>
      <c r="S78" s="741"/>
      <c r="T78" s="741"/>
      <c r="U78" s="741"/>
      <c r="V78" s="741"/>
      <c r="W78" s="440"/>
      <c r="X78" s="742" t="s">
        <v>1499</v>
      </c>
      <c r="Y78" s="743"/>
      <c r="Z78" s="743"/>
      <c r="AA78" s="743"/>
      <c r="AB78" s="743"/>
      <c r="AC78" s="737">
        <v>0.75</v>
      </c>
      <c r="AD78" s="738"/>
      <c r="AE78" s="737">
        <v>0.81</v>
      </c>
      <c r="AF78" s="739"/>
      <c r="AG78" s="738"/>
      <c r="AH78" s="740">
        <v>0.97</v>
      </c>
      <c r="AI78" s="740"/>
      <c r="AJ78" s="740"/>
      <c r="AK78" s="741">
        <v>1</v>
      </c>
      <c r="AL78" s="741"/>
      <c r="AM78" s="741"/>
      <c r="AN78" s="741">
        <v>1.2</v>
      </c>
      <c r="AO78" s="741"/>
      <c r="AP78" s="741"/>
      <c r="AQ78" s="441"/>
    </row>
    <row r="79" spans="3:43" ht="15.95" customHeight="1" x14ac:dyDescent="0.25">
      <c r="C79" s="286"/>
      <c r="D79" s="742" t="s">
        <v>1485</v>
      </c>
      <c r="E79" s="743"/>
      <c r="F79" s="743"/>
      <c r="G79" s="743"/>
      <c r="H79" s="744"/>
      <c r="I79" s="737">
        <v>0.78</v>
      </c>
      <c r="J79" s="738"/>
      <c r="K79" s="737">
        <v>0.95</v>
      </c>
      <c r="L79" s="739"/>
      <c r="M79" s="738"/>
      <c r="N79" s="740">
        <v>0.89</v>
      </c>
      <c r="O79" s="740"/>
      <c r="P79" s="740"/>
      <c r="Q79" s="741">
        <v>1.6</v>
      </c>
      <c r="R79" s="741"/>
      <c r="S79" s="741"/>
      <c r="T79" s="741">
        <v>1.9</v>
      </c>
      <c r="U79" s="741"/>
      <c r="V79" s="741"/>
      <c r="W79" s="440"/>
      <c r="X79" s="742" t="s">
        <v>1500</v>
      </c>
      <c r="Y79" s="743"/>
      <c r="Z79" s="743"/>
      <c r="AA79" s="743"/>
      <c r="AB79" s="743"/>
      <c r="AC79" s="737">
        <v>1.18</v>
      </c>
      <c r="AD79" s="738"/>
      <c r="AE79" s="737">
        <v>1.39</v>
      </c>
      <c r="AF79" s="739"/>
      <c r="AG79" s="738"/>
      <c r="AH79" s="740">
        <v>1.39</v>
      </c>
      <c r="AI79" s="740"/>
      <c r="AJ79" s="740"/>
      <c r="AK79" s="741">
        <v>1.6</v>
      </c>
      <c r="AL79" s="741"/>
      <c r="AM79" s="741"/>
      <c r="AN79" s="741">
        <v>1.5</v>
      </c>
      <c r="AO79" s="741"/>
      <c r="AP79" s="741"/>
      <c r="AQ79" s="441"/>
    </row>
    <row r="80" spans="3:43" ht="15.95" customHeight="1" x14ac:dyDescent="0.25">
      <c r="C80" s="286"/>
      <c r="D80" s="742" t="s">
        <v>1486</v>
      </c>
      <c r="E80" s="743"/>
      <c r="F80" s="743"/>
      <c r="G80" s="743"/>
      <c r="H80" s="744"/>
      <c r="I80" s="737">
        <v>0.61</v>
      </c>
      <c r="J80" s="738"/>
      <c r="K80" s="737">
        <v>0.56999999999999995</v>
      </c>
      <c r="L80" s="739"/>
      <c r="M80" s="738"/>
      <c r="N80" s="740">
        <v>0.61</v>
      </c>
      <c r="O80" s="740"/>
      <c r="P80" s="740"/>
      <c r="Q80" s="741">
        <v>1</v>
      </c>
      <c r="R80" s="741"/>
      <c r="S80" s="741"/>
      <c r="T80" s="741">
        <v>1.5</v>
      </c>
      <c r="U80" s="741"/>
      <c r="V80" s="741"/>
      <c r="W80" s="440"/>
      <c r="X80" s="742" t="s">
        <v>1501</v>
      </c>
      <c r="Y80" s="743"/>
      <c r="Z80" s="743"/>
      <c r="AA80" s="743"/>
      <c r="AB80" s="743"/>
      <c r="AC80" s="737">
        <v>0.8</v>
      </c>
      <c r="AD80" s="738"/>
      <c r="AE80" s="737">
        <v>0.87</v>
      </c>
      <c r="AF80" s="739"/>
      <c r="AG80" s="738"/>
      <c r="AH80" s="740">
        <v>0.96</v>
      </c>
      <c r="AI80" s="740"/>
      <c r="AJ80" s="740"/>
      <c r="AK80" s="741">
        <v>1</v>
      </c>
      <c r="AL80" s="741"/>
      <c r="AM80" s="741"/>
      <c r="AN80" s="741">
        <v>1.3</v>
      </c>
      <c r="AO80" s="741"/>
      <c r="AP80" s="741"/>
      <c r="AQ80" s="441"/>
    </row>
    <row r="81" spans="3:43" ht="15.95" customHeight="1" x14ac:dyDescent="0.25">
      <c r="C81" s="286"/>
      <c r="D81" s="742" t="s">
        <v>1487</v>
      </c>
      <c r="E81" s="743"/>
      <c r="F81" s="743"/>
      <c r="G81" s="743"/>
      <c r="H81" s="744"/>
      <c r="I81" s="737">
        <v>0.65</v>
      </c>
      <c r="J81" s="738"/>
      <c r="K81" s="737">
        <v>0.84</v>
      </c>
      <c r="L81" s="739"/>
      <c r="M81" s="738"/>
      <c r="N81" s="740">
        <v>0.88</v>
      </c>
      <c r="O81" s="740"/>
      <c r="P81" s="740"/>
      <c r="Q81" s="741">
        <v>1</v>
      </c>
      <c r="R81" s="741"/>
      <c r="S81" s="741"/>
      <c r="T81" s="741">
        <v>1.4</v>
      </c>
      <c r="U81" s="741"/>
      <c r="V81" s="741"/>
      <c r="W81" s="440"/>
      <c r="X81" s="742" t="s">
        <v>1502</v>
      </c>
      <c r="Y81" s="743"/>
      <c r="Z81" s="743"/>
      <c r="AA81" s="743"/>
      <c r="AB81" s="743"/>
      <c r="AC81" s="737">
        <v>0.67</v>
      </c>
      <c r="AD81" s="738"/>
      <c r="AE81" s="737">
        <v>0.87</v>
      </c>
      <c r="AF81" s="739"/>
      <c r="AG81" s="738"/>
      <c r="AH81" s="740">
        <v>0.87</v>
      </c>
      <c r="AI81" s="740"/>
      <c r="AJ81" s="740"/>
      <c r="AK81" s="741">
        <v>1.1000000000000001</v>
      </c>
      <c r="AL81" s="741"/>
      <c r="AM81" s="741"/>
      <c r="AN81" s="741">
        <v>1.6</v>
      </c>
      <c r="AO81" s="741"/>
      <c r="AP81" s="741"/>
      <c r="AQ81" s="441"/>
    </row>
    <row r="82" spans="3:43" ht="15.95" customHeight="1" x14ac:dyDescent="0.25">
      <c r="C82" s="286"/>
      <c r="D82" s="742" t="s">
        <v>1488</v>
      </c>
      <c r="E82" s="743"/>
      <c r="F82" s="743"/>
      <c r="G82" s="743"/>
      <c r="H82" s="744"/>
      <c r="I82" s="737">
        <v>0.53</v>
      </c>
      <c r="J82" s="738"/>
      <c r="K82" s="737">
        <v>0.67100000000000004</v>
      </c>
      <c r="L82" s="739"/>
      <c r="M82" s="738"/>
      <c r="N82" s="740">
        <v>0.71</v>
      </c>
      <c r="O82" s="740"/>
      <c r="P82" s="740"/>
      <c r="Q82" s="741"/>
      <c r="R82" s="741"/>
      <c r="S82" s="741"/>
      <c r="T82" s="741"/>
      <c r="U82" s="741"/>
      <c r="V82" s="741"/>
      <c r="W82" s="440"/>
      <c r="X82" s="742" t="s">
        <v>1503</v>
      </c>
      <c r="Y82" s="743"/>
      <c r="Z82" s="743"/>
      <c r="AA82" s="743"/>
      <c r="AB82" s="743"/>
      <c r="AC82" s="737">
        <v>0.94</v>
      </c>
      <c r="AD82" s="738"/>
      <c r="AE82" s="737">
        <v>1</v>
      </c>
      <c r="AF82" s="739"/>
      <c r="AG82" s="738"/>
      <c r="AH82" s="740">
        <v>1.05</v>
      </c>
      <c r="AI82" s="740"/>
      <c r="AJ82" s="740"/>
      <c r="AK82" s="741">
        <v>1.3</v>
      </c>
      <c r="AL82" s="741"/>
      <c r="AM82" s="741"/>
      <c r="AN82" s="741">
        <v>2.2000000000000002</v>
      </c>
      <c r="AO82" s="741"/>
      <c r="AP82" s="741"/>
      <c r="AQ82" s="441"/>
    </row>
    <row r="83" spans="3:43" ht="15.95" customHeight="1" x14ac:dyDescent="0.25">
      <c r="C83" s="286"/>
      <c r="D83" s="742" t="s">
        <v>1489</v>
      </c>
      <c r="E83" s="743"/>
      <c r="F83" s="743"/>
      <c r="G83" s="743"/>
      <c r="H83" s="744"/>
      <c r="I83" s="737">
        <v>0.68</v>
      </c>
      <c r="J83" s="738"/>
      <c r="K83" s="737">
        <v>0.94</v>
      </c>
      <c r="L83" s="739"/>
      <c r="M83" s="738"/>
      <c r="N83" s="740">
        <v>1</v>
      </c>
      <c r="O83" s="740"/>
      <c r="P83" s="740"/>
      <c r="Q83" s="741">
        <v>1.1000000000000001</v>
      </c>
      <c r="R83" s="741"/>
      <c r="S83" s="741"/>
      <c r="T83" s="741">
        <v>1.7</v>
      </c>
      <c r="U83" s="741"/>
      <c r="V83" s="741"/>
      <c r="W83" s="440"/>
      <c r="X83" s="742" t="s">
        <v>353</v>
      </c>
      <c r="Y83" s="743"/>
      <c r="Z83" s="743"/>
      <c r="AA83" s="743"/>
      <c r="AB83" s="743"/>
      <c r="AC83" s="737">
        <v>1.06</v>
      </c>
      <c r="AD83" s="738"/>
      <c r="AE83" s="737">
        <v>1.26</v>
      </c>
      <c r="AF83" s="739"/>
      <c r="AG83" s="738"/>
      <c r="AH83" s="740">
        <v>1.4</v>
      </c>
      <c r="AI83" s="740"/>
      <c r="AJ83" s="740"/>
      <c r="AK83" s="741">
        <v>1.5</v>
      </c>
      <c r="AL83" s="741"/>
      <c r="AM83" s="741"/>
      <c r="AN83" s="741">
        <v>1.9</v>
      </c>
      <c r="AO83" s="741"/>
      <c r="AP83" s="741"/>
      <c r="AQ83" s="287"/>
    </row>
    <row r="84" spans="3:43" ht="15.95" customHeight="1" x14ac:dyDescent="0.25">
      <c r="C84" s="286"/>
      <c r="D84" s="742" t="s">
        <v>1490</v>
      </c>
      <c r="E84" s="743"/>
      <c r="F84" s="743"/>
      <c r="G84" s="743"/>
      <c r="H84" s="744"/>
      <c r="I84" s="737">
        <v>0.82</v>
      </c>
      <c r="J84" s="738"/>
      <c r="K84" s="737">
        <v>0.9</v>
      </c>
      <c r="L84" s="739"/>
      <c r="M84" s="738"/>
      <c r="N84" s="740">
        <v>0.87</v>
      </c>
      <c r="O84" s="740"/>
      <c r="P84" s="740"/>
      <c r="Q84" s="741">
        <v>1</v>
      </c>
      <c r="R84" s="741"/>
      <c r="S84" s="741"/>
      <c r="T84" s="741">
        <v>1.6</v>
      </c>
      <c r="U84" s="741"/>
      <c r="V84" s="741"/>
      <c r="W84" s="440"/>
      <c r="X84" s="742" t="s">
        <v>1504</v>
      </c>
      <c r="Y84" s="743"/>
      <c r="Z84" s="743"/>
      <c r="AA84" s="743"/>
      <c r="AB84" s="743"/>
      <c r="AC84" s="737">
        <v>0.81</v>
      </c>
      <c r="AD84" s="738"/>
      <c r="AE84" s="737">
        <v>0.87</v>
      </c>
      <c r="AF84" s="739"/>
      <c r="AG84" s="738"/>
      <c r="AH84" s="740">
        <v>0.99</v>
      </c>
      <c r="AI84" s="740"/>
      <c r="AJ84" s="740"/>
      <c r="AK84" s="741">
        <v>1.2</v>
      </c>
      <c r="AL84" s="741"/>
      <c r="AM84" s="741"/>
      <c r="AN84" s="741">
        <v>1.5</v>
      </c>
      <c r="AO84" s="741"/>
      <c r="AP84" s="741"/>
      <c r="AQ84" s="287"/>
    </row>
    <row r="85" spans="3:43" ht="15.95" customHeight="1" x14ac:dyDescent="0.25">
      <c r="C85" s="286"/>
      <c r="D85" s="742" t="s">
        <v>1491</v>
      </c>
      <c r="E85" s="743"/>
      <c r="F85" s="743"/>
      <c r="G85" s="743"/>
      <c r="H85" s="744"/>
      <c r="I85" s="737">
        <v>1.05</v>
      </c>
      <c r="J85" s="738"/>
      <c r="K85" s="737">
        <v>1.05</v>
      </c>
      <c r="L85" s="739"/>
      <c r="M85" s="738"/>
      <c r="N85" s="740">
        <v>1.21</v>
      </c>
      <c r="O85" s="740"/>
      <c r="P85" s="740"/>
      <c r="Q85" s="741">
        <v>1.2</v>
      </c>
      <c r="R85" s="741"/>
      <c r="S85" s="741"/>
      <c r="T85" s="741">
        <v>1.6</v>
      </c>
      <c r="U85" s="741"/>
      <c r="V85" s="741"/>
      <c r="W85" s="440"/>
      <c r="X85" s="742" t="s">
        <v>1505</v>
      </c>
      <c r="Y85" s="743"/>
      <c r="Z85" s="743"/>
      <c r="AA85" s="743"/>
      <c r="AB85" s="743"/>
      <c r="AC85" s="737">
        <v>0.87</v>
      </c>
      <c r="AD85" s="738"/>
      <c r="AE85" s="737">
        <v>0.91</v>
      </c>
      <c r="AF85" s="739"/>
      <c r="AG85" s="738"/>
      <c r="AH85" s="740">
        <v>0.78</v>
      </c>
      <c r="AI85" s="740"/>
      <c r="AJ85" s="740"/>
      <c r="AK85" s="741">
        <v>1.1000000000000001</v>
      </c>
      <c r="AL85" s="741"/>
      <c r="AM85" s="741"/>
      <c r="AN85" s="741">
        <v>1.5</v>
      </c>
      <c r="AO85" s="741"/>
      <c r="AP85" s="741"/>
      <c r="AQ85" s="287"/>
    </row>
    <row r="86" spans="3:43" ht="15.95" customHeight="1" x14ac:dyDescent="0.25">
      <c r="C86" s="286"/>
      <c r="D86" s="742" t="s">
        <v>1492</v>
      </c>
      <c r="E86" s="743"/>
      <c r="F86" s="743"/>
      <c r="G86" s="743"/>
      <c r="H86" s="744"/>
      <c r="I86" s="737">
        <v>0.75</v>
      </c>
      <c r="J86" s="738"/>
      <c r="K86" s="737">
        <v>0.87</v>
      </c>
      <c r="L86" s="739"/>
      <c r="M86" s="738"/>
      <c r="N86" s="740">
        <v>1</v>
      </c>
      <c r="O86" s="740"/>
      <c r="P86" s="740"/>
      <c r="Q86" s="741">
        <v>1</v>
      </c>
      <c r="R86" s="741"/>
      <c r="S86" s="741"/>
      <c r="T86" s="741">
        <v>1.7</v>
      </c>
      <c r="U86" s="741"/>
      <c r="V86" s="741"/>
      <c r="W86" s="440"/>
      <c r="X86" s="742" t="s">
        <v>1506</v>
      </c>
      <c r="Y86" s="743"/>
      <c r="Z86" s="743"/>
      <c r="AA86" s="743"/>
      <c r="AB86" s="743"/>
      <c r="AC86" s="737">
        <v>0.8</v>
      </c>
      <c r="AD86" s="738"/>
      <c r="AE86" s="737">
        <v>0.89</v>
      </c>
      <c r="AF86" s="739"/>
      <c r="AG86" s="738"/>
      <c r="AH86" s="740">
        <v>0.92</v>
      </c>
      <c r="AI86" s="740"/>
      <c r="AJ86" s="740"/>
      <c r="AK86" s="741">
        <v>1.1000000000000001</v>
      </c>
      <c r="AL86" s="741"/>
      <c r="AM86" s="741"/>
      <c r="AN86" s="741">
        <v>1.4</v>
      </c>
      <c r="AO86" s="741"/>
      <c r="AP86" s="741"/>
      <c r="AQ86" s="287"/>
    </row>
    <row r="87" spans="3:43" ht="15.95" customHeight="1" x14ac:dyDescent="0.25">
      <c r="C87" s="286"/>
      <c r="D87" s="742" t="s">
        <v>1493</v>
      </c>
      <c r="E87" s="743"/>
      <c r="F87" s="743"/>
      <c r="G87" s="743"/>
      <c r="H87" s="744"/>
      <c r="I87" s="737">
        <v>0.78</v>
      </c>
      <c r="J87" s="738"/>
      <c r="K87" s="737">
        <v>1.19</v>
      </c>
      <c r="L87" s="739"/>
      <c r="M87" s="738"/>
      <c r="N87" s="740">
        <v>1.18</v>
      </c>
      <c r="O87" s="740"/>
      <c r="P87" s="740"/>
      <c r="Q87" s="741">
        <v>1.3</v>
      </c>
      <c r="R87" s="741"/>
      <c r="S87" s="741"/>
      <c r="T87" s="741">
        <v>1.5</v>
      </c>
      <c r="U87" s="741"/>
      <c r="V87" s="741"/>
      <c r="W87" s="440"/>
      <c r="X87" s="742" t="s">
        <v>1507</v>
      </c>
      <c r="Y87" s="743"/>
      <c r="Z87" s="743"/>
      <c r="AA87" s="743"/>
      <c r="AB87" s="743"/>
      <c r="AC87" s="737">
        <v>0.61</v>
      </c>
      <c r="AD87" s="738"/>
      <c r="AE87" s="737">
        <v>0.7</v>
      </c>
      <c r="AF87" s="739"/>
      <c r="AG87" s="738"/>
      <c r="AH87" s="740">
        <v>0.77</v>
      </c>
      <c r="AI87" s="740"/>
      <c r="AJ87" s="740"/>
      <c r="AK87" s="741">
        <v>1</v>
      </c>
      <c r="AL87" s="741"/>
      <c r="AM87" s="741"/>
      <c r="AN87" s="741">
        <v>1.2</v>
      </c>
      <c r="AO87" s="741"/>
      <c r="AP87" s="741"/>
      <c r="AQ87" s="287"/>
    </row>
    <row r="88" spans="3:43" ht="15.95" customHeight="1" x14ac:dyDescent="0.25">
      <c r="C88" s="286"/>
      <c r="D88" s="742" t="s">
        <v>1494</v>
      </c>
      <c r="E88" s="743"/>
      <c r="F88" s="743"/>
      <c r="G88" s="743"/>
      <c r="H88" s="744"/>
      <c r="I88" s="737">
        <v>0.79</v>
      </c>
      <c r="J88" s="738"/>
      <c r="K88" s="737">
        <v>1.17</v>
      </c>
      <c r="L88" s="739"/>
      <c r="M88" s="738"/>
      <c r="N88" s="740">
        <v>1.1100000000000001</v>
      </c>
      <c r="O88" s="740"/>
      <c r="P88" s="740"/>
      <c r="Q88" s="741">
        <v>1.3</v>
      </c>
      <c r="R88" s="741"/>
      <c r="S88" s="741"/>
      <c r="T88" s="741">
        <v>2.2000000000000002</v>
      </c>
      <c r="U88" s="741"/>
      <c r="V88" s="741"/>
      <c r="W88" s="440"/>
      <c r="X88" s="742" t="s">
        <v>354</v>
      </c>
      <c r="Y88" s="743"/>
      <c r="Z88" s="743"/>
      <c r="AA88" s="743"/>
      <c r="AB88" s="743"/>
      <c r="AC88" s="737">
        <v>0.48</v>
      </c>
      <c r="AD88" s="738"/>
      <c r="AE88" s="737">
        <v>0.66</v>
      </c>
      <c r="AF88" s="739"/>
      <c r="AG88" s="738"/>
      <c r="AH88" s="740">
        <v>0.66</v>
      </c>
      <c r="AI88" s="740"/>
      <c r="AJ88" s="740"/>
      <c r="AK88" s="741">
        <v>0.8</v>
      </c>
      <c r="AL88" s="741"/>
      <c r="AM88" s="741"/>
      <c r="AN88" s="741">
        <v>1.2</v>
      </c>
      <c r="AO88" s="741"/>
      <c r="AP88" s="741"/>
      <c r="AQ88" s="287"/>
    </row>
    <row r="89" spans="3:43" ht="15.95" customHeight="1" x14ac:dyDescent="0.25">
      <c r="C89" s="286"/>
      <c r="D89" s="742" t="s">
        <v>1495</v>
      </c>
      <c r="E89" s="743"/>
      <c r="F89" s="743"/>
      <c r="G89" s="743"/>
      <c r="H89" s="744"/>
      <c r="I89" s="737">
        <v>0.75</v>
      </c>
      <c r="J89" s="738"/>
      <c r="K89" s="737">
        <v>0.87</v>
      </c>
      <c r="L89" s="739"/>
      <c r="M89" s="738"/>
      <c r="N89" s="740">
        <v>0.88</v>
      </c>
      <c r="O89" s="740"/>
      <c r="P89" s="740"/>
      <c r="Q89" s="741">
        <v>1</v>
      </c>
      <c r="R89" s="741"/>
      <c r="S89" s="741"/>
      <c r="T89" s="741">
        <v>2</v>
      </c>
      <c r="U89" s="741"/>
      <c r="V89" s="741"/>
      <c r="W89" s="440"/>
      <c r="X89" s="742" t="s">
        <v>1508</v>
      </c>
      <c r="Y89" s="743"/>
      <c r="Z89" s="743"/>
      <c r="AA89" s="743"/>
      <c r="AB89" s="743"/>
      <c r="AC89" s="737">
        <v>0.9</v>
      </c>
      <c r="AD89" s="738"/>
      <c r="AE89" s="737">
        <v>1.19</v>
      </c>
      <c r="AF89" s="739"/>
      <c r="AG89" s="738"/>
      <c r="AH89" s="740">
        <v>1.2</v>
      </c>
      <c r="AI89" s="740"/>
      <c r="AJ89" s="740"/>
      <c r="AK89" s="741">
        <v>1.4</v>
      </c>
      <c r="AL89" s="741"/>
      <c r="AM89" s="741"/>
      <c r="AN89" s="741">
        <v>1.7</v>
      </c>
      <c r="AO89" s="741"/>
      <c r="AP89" s="741"/>
      <c r="AQ89" s="287"/>
    </row>
    <row r="90" spans="3:43" ht="15.95" hidden="1" customHeight="1" x14ac:dyDescent="0.25">
      <c r="C90" s="286"/>
      <c r="D90" s="60"/>
      <c r="E90" s="60"/>
      <c r="F90" s="60"/>
      <c r="G90" s="60"/>
      <c r="H90" s="60"/>
      <c r="I90" s="60"/>
      <c r="J90" s="60"/>
      <c r="K90" s="60"/>
      <c r="L90" s="60"/>
      <c r="M90" s="60"/>
      <c r="N90" s="60"/>
      <c r="O90" s="60"/>
      <c r="P90" s="60"/>
      <c r="Q90" s="60"/>
      <c r="R90" s="60"/>
      <c r="S90" s="60"/>
      <c r="T90" s="60"/>
      <c r="U90" s="60"/>
      <c r="V90" s="60"/>
      <c r="W90" s="440"/>
      <c r="X90" s="440"/>
      <c r="Y90" s="440"/>
      <c r="Z90" s="440"/>
      <c r="AA90" s="60"/>
      <c r="AB90" s="60"/>
      <c r="AC90" s="60"/>
      <c r="AD90" s="60"/>
      <c r="AE90" s="60"/>
      <c r="AF90" s="440"/>
      <c r="AG90" s="60"/>
      <c r="AH90" s="60"/>
      <c r="AI90" s="60"/>
      <c r="AJ90" s="60"/>
      <c r="AK90" s="60"/>
      <c r="AL90" s="60"/>
      <c r="AM90" s="60"/>
      <c r="AN90" s="60"/>
      <c r="AO90" s="60"/>
      <c r="AP90" s="60"/>
      <c r="AQ90" s="287"/>
    </row>
    <row r="91" spans="3:43" ht="15.95" hidden="1" customHeight="1" x14ac:dyDescent="0.25">
      <c r="C91" s="286"/>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s="287"/>
    </row>
    <row r="92" spans="3:43" ht="15.95" hidden="1" customHeight="1" x14ac:dyDescent="0.25">
      <c r="C92" s="286"/>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s="287"/>
    </row>
    <row r="93" spans="3:43" ht="15.95" hidden="1" customHeight="1" x14ac:dyDescent="0.25">
      <c r="C93" s="286"/>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s="287"/>
    </row>
    <row r="94" spans="3:43" ht="15.95" hidden="1" customHeight="1" x14ac:dyDescent="0.25">
      <c r="C94" s="286"/>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s="441"/>
    </row>
    <row r="95" spans="3:43" ht="15.95" hidden="1" customHeight="1" x14ac:dyDescent="0.25">
      <c r="C95" s="286"/>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s="441"/>
    </row>
    <row r="96" spans="3:43" ht="15.95" hidden="1" customHeight="1" x14ac:dyDescent="0.25">
      <c r="C96" s="28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s="441"/>
    </row>
    <row r="97" spans="3:43" ht="15.95" hidden="1" customHeight="1" x14ac:dyDescent="0.25">
      <c r="C97" s="286"/>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s="441"/>
    </row>
    <row r="98" spans="3:43" ht="15.95" customHeight="1" x14ac:dyDescent="0.25">
      <c r="C98" s="286"/>
      <c r="D98" s="469"/>
      <c r="E98" s="60"/>
      <c r="F98" s="60"/>
      <c r="G98" s="60"/>
      <c r="H98" s="60"/>
      <c r="I98" s="60"/>
      <c r="J98" s="60"/>
      <c r="K98" s="60"/>
      <c r="L98" s="60"/>
      <c r="M98" s="60"/>
      <c r="N98" s="60"/>
      <c r="O98" s="60"/>
      <c r="P98" s="60"/>
      <c r="Q98" s="60"/>
      <c r="R98" s="60"/>
      <c r="S98" s="60"/>
      <c r="T98" s="60"/>
      <c r="U98" s="60"/>
      <c r="V98" s="60"/>
      <c r="W98" s="440"/>
      <c r="X98" s="440"/>
      <c r="Y98" s="440"/>
      <c r="Z98" s="440"/>
      <c r="AA98" s="440"/>
      <c r="AB98" s="440"/>
      <c r="AC98" s="440"/>
      <c r="AD98" s="440"/>
      <c r="AE98" s="440"/>
      <c r="AF98" s="440"/>
      <c r="AG98" s="440"/>
      <c r="AH98" s="440"/>
      <c r="AI98" s="440"/>
      <c r="AJ98" s="440"/>
      <c r="AK98" s="440"/>
      <c r="AL98" s="440"/>
      <c r="AM98" s="440"/>
      <c r="AN98" s="440"/>
      <c r="AO98" s="440"/>
      <c r="AP98" s="440"/>
      <c r="AQ98" s="441"/>
    </row>
    <row r="99" spans="3:43" ht="15.95" customHeight="1" x14ac:dyDescent="0.25">
      <c r="C99" s="286"/>
      <c r="D99" s="443" t="s">
        <v>249</v>
      </c>
      <c r="E99" s="60"/>
      <c r="F99" s="60"/>
      <c r="G99" s="60"/>
      <c r="H99" s="60"/>
      <c r="I99" s="60"/>
      <c r="J99" s="60"/>
      <c r="K99" s="60"/>
      <c r="L99" s="60"/>
      <c r="M99" s="60"/>
      <c r="N99" s="60"/>
      <c r="O99" s="60"/>
      <c r="P99" s="60"/>
      <c r="Q99" s="60"/>
      <c r="R99" s="60"/>
      <c r="S99" s="60"/>
      <c r="T99" s="60"/>
      <c r="U99" s="60"/>
      <c r="V99" s="60"/>
      <c r="W99" s="440"/>
      <c r="X99" s="440"/>
      <c r="Y99" s="440"/>
      <c r="Z99" s="440"/>
      <c r="AA99" s="440"/>
      <c r="AB99" s="440"/>
      <c r="AC99" s="440"/>
      <c r="AD99" s="440"/>
      <c r="AE99" s="440"/>
      <c r="AF99" s="440"/>
      <c r="AG99" s="440"/>
      <c r="AH99" s="440"/>
      <c r="AI99" s="440"/>
      <c r="AJ99" s="440"/>
      <c r="AK99" s="440"/>
      <c r="AL99" s="440"/>
      <c r="AM99" s="440"/>
      <c r="AN99" s="440"/>
      <c r="AO99" s="440"/>
      <c r="AP99" s="440"/>
      <c r="AQ99" s="441"/>
    </row>
    <row r="100" spans="3:43" ht="15.95" customHeight="1" x14ac:dyDescent="0.25">
      <c r="C100" s="286"/>
      <c r="D100" s="467" t="s">
        <v>1604</v>
      </c>
      <c r="E100" s="440"/>
      <c r="F100" s="440"/>
      <c r="G100" s="440"/>
      <c r="H100" s="440"/>
      <c r="I100" s="440"/>
      <c r="J100" s="440"/>
      <c r="K100" s="440"/>
      <c r="L100" s="440"/>
      <c r="M100" s="440"/>
      <c r="N100" s="440"/>
      <c r="O100" s="440"/>
      <c r="P100" s="440"/>
      <c r="Q100" s="440"/>
      <c r="R100" s="440"/>
      <c r="S100" s="440"/>
      <c r="T100" s="440"/>
      <c r="U100" s="440"/>
      <c r="V100" s="440"/>
      <c r="W100" s="440"/>
      <c r="X100" s="440"/>
      <c r="Y100" s="440"/>
      <c r="Z100" s="440"/>
      <c r="AA100" s="440"/>
      <c r="AB100" s="440"/>
      <c r="AC100" s="440"/>
      <c r="AD100" s="440"/>
      <c r="AE100" s="440"/>
      <c r="AF100" s="440"/>
      <c r="AG100" s="440"/>
      <c r="AH100" s="440"/>
      <c r="AI100" s="440"/>
      <c r="AJ100" s="440"/>
      <c r="AK100" s="440"/>
      <c r="AL100" s="440"/>
      <c r="AM100" s="440"/>
      <c r="AN100" s="440"/>
      <c r="AO100" s="440"/>
      <c r="AP100" s="440"/>
      <c r="AQ100" s="441"/>
    </row>
    <row r="101" spans="3:43" ht="15.95" customHeight="1" x14ac:dyDescent="0.25">
      <c r="C101" s="286"/>
      <c r="D101" s="448" t="s">
        <v>1518</v>
      </c>
      <c r="E101" s="451" t="s">
        <v>1605</v>
      </c>
      <c r="F101" s="440"/>
      <c r="G101" s="440"/>
      <c r="H101" s="440"/>
      <c r="I101" s="440"/>
      <c r="J101" s="440"/>
      <c r="K101" s="440"/>
      <c r="L101" s="440"/>
      <c r="M101" s="440"/>
      <c r="N101" s="440"/>
      <c r="O101" s="440"/>
      <c r="P101" s="440"/>
      <c r="Q101" s="440"/>
      <c r="R101" s="440"/>
      <c r="S101" s="440"/>
      <c r="T101" s="440"/>
      <c r="U101" s="440"/>
      <c r="V101" s="440"/>
      <c r="W101" s="440"/>
      <c r="X101" s="440"/>
      <c r="Y101" s="440"/>
      <c r="Z101" s="440"/>
      <c r="AA101" s="440"/>
      <c r="AB101" s="440"/>
      <c r="AC101" s="440"/>
      <c r="AD101" s="440"/>
      <c r="AE101" s="440"/>
      <c r="AF101" s="440"/>
      <c r="AG101" s="440"/>
      <c r="AH101" s="440"/>
      <c r="AI101" s="440"/>
      <c r="AJ101" s="440"/>
      <c r="AK101" s="440"/>
      <c r="AL101" s="440"/>
      <c r="AM101" s="440"/>
      <c r="AN101" s="440"/>
      <c r="AO101" s="440"/>
      <c r="AP101" s="440"/>
      <c r="AQ101" s="441"/>
    </row>
    <row r="102" spans="3:43" ht="15.95" customHeight="1" x14ac:dyDescent="0.25">
      <c r="C102" s="286"/>
      <c r="D102" s="448" t="s">
        <v>1518</v>
      </c>
      <c r="E102" s="736" t="s">
        <v>1606</v>
      </c>
      <c r="F102" s="736"/>
      <c r="G102" s="736"/>
      <c r="H102" s="736"/>
      <c r="I102" s="736"/>
      <c r="J102" s="736"/>
      <c r="K102" s="736"/>
      <c r="L102" s="736"/>
      <c r="M102" s="736"/>
      <c r="N102" s="736"/>
      <c r="O102" s="736"/>
      <c r="P102" s="736"/>
      <c r="Q102" s="736"/>
      <c r="R102" s="736"/>
      <c r="S102" s="736"/>
      <c r="T102" s="736"/>
      <c r="U102" s="736"/>
      <c r="V102" s="736"/>
      <c r="W102" s="736"/>
      <c r="X102" s="736"/>
      <c r="Y102" s="736"/>
      <c r="Z102" s="736"/>
      <c r="AA102" s="736"/>
      <c r="AB102" s="736"/>
      <c r="AC102" s="736"/>
      <c r="AD102" s="736"/>
      <c r="AE102" s="736"/>
      <c r="AF102" s="736"/>
      <c r="AG102" s="736"/>
      <c r="AH102" s="736"/>
      <c r="AI102" s="736"/>
      <c r="AJ102" s="736"/>
      <c r="AK102" s="736"/>
      <c r="AL102" s="736"/>
      <c r="AM102" s="736"/>
      <c r="AN102" s="736"/>
      <c r="AO102" s="736"/>
      <c r="AP102" s="736"/>
      <c r="AQ102" s="441"/>
    </row>
    <row r="103" spans="3:43" ht="15.95" customHeight="1" x14ac:dyDescent="0.25">
      <c r="C103" s="286"/>
      <c r="D103" s="448"/>
      <c r="E103" s="736"/>
      <c r="F103" s="736"/>
      <c r="G103" s="736"/>
      <c r="H103" s="736"/>
      <c r="I103" s="736"/>
      <c r="J103" s="736"/>
      <c r="K103" s="736"/>
      <c r="L103" s="736"/>
      <c r="M103" s="736"/>
      <c r="N103" s="736"/>
      <c r="O103" s="736"/>
      <c r="P103" s="736"/>
      <c r="Q103" s="736"/>
      <c r="R103" s="736"/>
      <c r="S103" s="736"/>
      <c r="T103" s="736"/>
      <c r="U103" s="736"/>
      <c r="V103" s="736"/>
      <c r="W103" s="736"/>
      <c r="X103" s="736"/>
      <c r="Y103" s="736"/>
      <c r="Z103" s="736"/>
      <c r="AA103" s="736"/>
      <c r="AB103" s="736"/>
      <c r="AC103" s="736"/>
      <c r="AD103" s="736"/>
      <c r="AE103" s="736"/>
      <c r="AF103" s="736"/>
      <c r="AG103" s="736"/>
      <c r="AH103" s="736"/>
      <c r="AI103" s="736"/>
      <c r="AJ103" s="736"/>
      <c r="AK103" s="736"/>
      <c r="AL103" s="736"/>
      <c r="AM103" s="736"/>
      <c r="AN103" s="736"/>
      <c r="AO103" s="736"/>
      <c r="AP103" s="736"/>
      <c r="AQ103" s="441"/>
    </row>
    <row r="104" spans="3:43" ht="15.95" customHeight="1" x14ac:dyDescent="0.25">
      <c r="C104" s="286"/>
      <c r="D104" s="448" t="s">
        <v>1518</v>
      </c>
      <c r="E104" s="450" t="s">
        <v>1607</v>
      </c>
      <c r="F104" s="440"/>
      <c r="G104" s="440"/>
      <c r="H104" s="440"/>
      <c r="I104" s="440"/>
      <c r="J104" s="440"/>
      <c r="K104" s="440"/>
      <c r="L104" s="440"/>
      <c r="M104" s="440"/>
      <c r="N104" s="440"/>
      <c r="O104" s="440"/>
      <c r="P104" s="440"/>
      <c r="Q104" s="440"/>
      <c r="R104" s="440"/>
      <c r="S104" s="440"/>
      <c r="T104" s="440"/>
      <c r="U104" s="440"/>
      <c r="V104" s="440"/>
      <c r="W104" s="440"/>
      <c r="X104" s="440"/>
      <c r="Y104" s="440"/>
      <c r="Z104" s="440"/>
      <c r="AA104" s="440"/>
      <c r="AB104" s="440"/>
      <c r="AC104" s="440"/>
      <c r="AD104" s="440"/>
      <c r="AE104" s="440"/>
      <c r="AF104" s="440"/>
      <c r="AG104" s="440"/>
      <c r="AH104" s="440"/>
      <c r="AI104" s="440"/>
      <c r="AJ104" s="440"/>
      <c r="AK104" s="440"/>
      <c r="AL104" s="440"/>
      <c r="AM104" s="440"/>
      <c r="AN104" s="440"/>
      <c r="AO104" s="440"/>
      <c r="AP104" s="440"/>
      <c r="AQ104" s="441"/>
    </row>
    <row r="105" spans="3:43" ht="15.95" customHeight="1" x14ac:dyDescent="0.25">
      <c r="C105" s="286"/>
      <c r="D105" s="448" t="s">
        <v>1518</v>
      </c>
      <c r="E105" s="450" t="s">
        <v>1608</v>
      </c>
      <c r="F105" s="440"/>
      <c r="G105" s="440"/>
      <c r="H105" s="440"/>
      <c r="I105" s="440"/>
      <c r="J105" s="440"/>
      <c r="K105" s="440"/>
      <c r="L105" s="440"/>
      <c r="M105" s="440"/>
      <c r="N105" s="440"/>
      <c r="O105" s="440"/>
      <c r="P105" s="440"/>
      <c r="Q105" s="440"/>
      <c r="R105" s="440"/>
      <c r="S105" s="440"/>
      <c r="T105" s="440"/>
      <c r="U105" s="440"/>
      <c r="V105" s="440"/>
      <c r="W105" s="440"/>
      <c r="X105" s="440"/>
      <c r="Y105" s="440"/>
      <c r="Z105" s="440"/>
      <c r="AA105" s="440"/>
      <c r="AB105" s="440"/>
      <c r="AC105" s="440"/>
      <c r="AD105" s="440"/>
      <c r="AE105" s="440"/>
      <c r="AF105" s="440"/>
      <c r="AG105" s="440"/>
      <c r="AH105" s="440"/>
      <c r="AI105" s="440"/>
      <c r="AJ105" s="440"/>
      <c r="AK105" s="440"/>
      <c r="AL105" s="440"/>
      <c r="AM105" s="440"/>
      <c r="AN105" s="440"/>
      <c r="AO105" s="440"/>
      <c r="AP105" s="440"/>
      <c r="AQ105" s="441"/>
    </row>
    <row r="106" spans="3:43" ht="15.95" customHeight="1" x14ac:dyDescent="0.25">
      <c r="C106" s="286"/>
      <c r="D106" s="60"/>
      <c r="E106" s="448" t="s">
        <v>1518</v>
      </c>
      <c r="F106" s="450" t="s">
        <v>1609</v>
      </c>
      <c r="G106" s="440"/>
      <c r="H106" s="440"/>
      <c r="I106" s="440"/>
      <c r="J106" s="440"/>
      <c r="K106" s="440"/>
      <c r="L106" s="440"/>
      <c r="M106" s="440"/>
      <c r="N106" s="440"/>
      <c r="O106" s="440"/>
      <c r="P106" s="440"/>
      <c r="Q106" s="440"/>
      <c r="R106" s="440"/>
      <c r="S106" s="440"/>
      <c r="T106" s="440"/>
      <c r="U106" s="440"/>
      <c r="V106" s="440"/>
      <c r="W106" s="440"/>
      <c r="X106" s="440"/>
      <c r="Y106" s="440"/>
      <c r="Z106" s="440"/>
      <c r="AA106" s="440"/>
      <c r="AB106" s="440"/>
      <c r="AC106" s="440"/>
      <c r="AD106" s="440"/>
      <c r="AE106" s="440"/>
      <c r="AF106" s="440"/>
      <c r="AG106" s="440"/>
      <c r="AH106" s="440"/>
      <c r="AI106" s="440"/>
      <c r="AJ106" s="440"/>
      <c r="AK106" s="440"/>
      <c r="AL106" s="440"/>
      <c r="AM106" s="440"/>
      <c r="AN106" s="440"/>
      <c r="AO106" s="440"/>
      <c r="AP106" s="440"/>
      <c r="AQ106" s="441"/>
    </row>
    <row r="107" spans="3:43" ht="15.95" customHeight="1" x14ac:dyDescent="0.25">
      <c r="C107" s="286"/>
      <c r="D107" s="440"/>
      <c r="E107" s="448" t="s">
        <v>1518</v>
      </c>
      <c r="F107" s="450" t="s">
        <v>1610</v>
      </c>
      <c r="G107" s="440"/>
      <c r="H107" s="440"/>
      <c r="I107" s="440"/>
      <c r="J107" s="440"/>
      <c r="K107" s="440"/>
      <c r="L107" s="440"/>
      <c r="M107" s="440"/>
      <c r="N107" s="440"/>
      <c r="O107" s="440"/>
      <c r="P107" s="440"/>
      <c r="Q107" s="440"/>
      <c r="R107" s="440"/>
      <c r="S107" s="440"/>
      <c r="T107" s="440"/>
      <c r="U107" s="440"/>
      <c r="V107" s="440"/>
      <c r="W107" s="440"/>
      <c r="X107" s="440"/>
      <c r="Y107" s="440"/>
      <c r="Z107" s="440"/>
      <c r="AA107" s="440"/>
      <c r="AB107" s="440"/>
      <c r="AC107" s="440"/>
      <c r="AD107" s="440"/>
      <c r="AE107" s="440"/>
      <c r="AF107" s="440"/>
      <c r="AG107" s="440"/>
      <c r="AH107" s="440"/>
      <c r="AI107" s="440"/>
      <c r="AJ107" s="440"/>
      <c r="AK107" s="440"/>
      <c r="AL107" s="440"/>
      <c r="AM107" s="440"/>
      <c r="AN107" s="440"/>
      <c r="AO107" s="440"/>
      <c r="AP107" s="440"/>
      <c r="AQ107" s="441"/>
    </row>
    <row r="108" spans="3:43" ht="15.95" customHeight="1" x14ac:dyDescent="0.25">
      <c r="C108" s="286"/>
      <c r="D108" s="440"/>
      <c r="E108" s="448" t="s">
        <v>1518</v>
      </c>
      <c r="F108" s="450" t="s">
        <v>1611</v>
      </c>
      <c r="G108" s="440"/>
      <c r="H108" s="440"/>
      <c r="I108" s="440"/>
      <c r="J108" s="440"/>
      <c r="K108" s="440"/>
      <c r="L108" s="440"/>
      <c r="M108" s="440"/>
      <c r="N108" s="440"/>
      <c r="O108" s="440"/>
      <c r="P108" s="440"/>
      <c r="Q108" s="440"/>
      <c r="R108" s="440"/>
      <c r="S108" s="440"/>
      <c r="T108" s="440"/>
      <c r="U108" s="440"/>
      <c r="V108" s="440"/>
      <c r="W108" s="440"/>
      <c r="X108" s="440"/>
      <c r="Y108" s="440"/>
      <c r="Z108" s="440"/>
      <c r="AA108" s="440"/>
      <c r="AB108" s="440"/>
      <c r="AC108" s="440"/>
      <c r="AD108" s="440"/>
      <c r="AE108" s="440"/>
      <c r="AF108" s="440"/>
      <c r="AG108" s="440"/>
      <c r="AH108" s="440"/>
      <c r="AI108" s="440"/>
      <c r="AJ108" s="440"/>
      <c r="AK108" s="440"/>
      <c r="AL108" s="440"/>
      <c r="AM108" s="440"/>
      <c r="AN108" s="440"/>
      <c r="AO108" s="440"/>
      <c r="AP108" s="440"/>
      <c r="AQ108" s="441"/>
    </row>
    <row r="109" spans="3:43" ht="15.95" customHeight="1" x14ac:dyDescent="0.25">
      <c r="C109" s="286"/>
      <c r="D109" s="440"/>
      <c r="E109" s="448" t="s">
        <v>1518</v>
      </c>
      <c r="F109" s="450" t="s">
        <v>1612</v>
      </c>
      <c r="G109" s="440"/>
      <c r="H109" s="440"/>
      <c r="I109" s="440"/>
      <c r="J109" s="440"/>
      <c r="K109" s="440"/>
      <c r="L109" s="440"/>
      <c r="M109" s="440"/>
      <c r="N109" s="440"/>
      <c r="O109" s="440"/>
      <c r="P109" s="440"/>
      <c r="Q109" s="440"/>
      <c r="R109" s="440"/>
      <c r="S109" s="440"/>
      <c r="T109" s="440"/>
      <c r="U109" s="440"/>
      <c r="V109" s="440"/>
      <c r="W109" s="440"/>
      <c r="X109" s="440"/>
      <c r="Y109" s="440"/>
      <c r="Z109" s="440"/>
      <c r="AA109" s="440"/>
      <c r="AB109" s="440"/>
      <c r="AC109" s="440"/>
      <c r="AD109" s="440"/>
      <c r="AE109" s="440"/>
      <c r="AF109" s="440"/>
      <c r="AG109" s="440"/>
      <c r="AH109" s="440"/>
      <c r="AI109" s="440"/>
      <c r="AJ109" s="440"/>
      <c r="AK109" s="440"/>
      <c r="AL109" s="440"/>
      <c r="AM109" s="440"/>
      <c r="AN109" s="440"/>
      <c r="AO109" s="440"/>
      <c r="AP109" s="440"/>
      <c r="AQ109" s="441"/>
    </row>
    <row r="110" spans="3:43" ht="15.95" customHeight="1" x14ac:dyDescent="0.25">
      <c r="C110" s="286"/>
      <c r="D110" s="448" t="s">
        <v>1518</v>
      </c>
      <c r="E110" s="736" t="s">
        <v>1613</v>
      </c>
      <c r="F110" s="736"/>
      <c r="G110" s="736"/>
      <c r="H110" s="736"/>
      <c r="I110" s="736"/>
      <c r="J110" s="736"/>
      <c r="K110" s="736"/>
      <c r="L110" s="736"/>
      <c r="M110" s="736"/>
      <c r="N110" s="736"/>
      <c r="O110" s="736"/>
      <c r="P110" s="736"/>
      <c r="Q110" s="736"/>
      <c r="R110" s="736"/>
      <c r="S110" s="736"/>
      <c r="T110" s="736"/>
      <c r="U110" s="736"/>
      <c r="V110" s="736"/>
      <c r="W110" s="736"/>
      <c r="X110" s="736"/>
      <c r="Y110" s="736"/>
      <c r="Z110" s="736"/>
      <c r="AA110" s="736"/>
      <c r="AB110" s="736"/>
      <c r="AC110" s="736"/>
      <c r="AD110" s="736"/>
      <c r="AE110" s="736"/>
      <c r="AF110" s="736"/>
      <c r="AG110" s="736"/>
      <c r="AH110" s="736"/>
      <c r="AI110" s="736"/>
      <c r="AJ110" s="736"/>
      <c r="AK110" s="736"/>
      <c r="AL110" s="736"/>
      <c r="AM110" s="736"/>
      <c r="AN110" s="736"/>
      <c r="AO110" s="736"/>
      <c r="AP110" s="736"/>
      <c r="AQ110" s="441"/>
    </row>
    <row r="111" spans="3:43" ht="15.95" customHeight="1" x14ac:dyDescent="0.25">
      <c r="C111" s="286"/>
      <c r="D111" s="448"/>
      <c r="E111" s="736"/>
      <c r="F111" s="736"/>
      <c r="G111" s="736"/>
      <c r="H111" s="736"/>
      <c r="I111" s="736"/>
      <c r="J111" s="736"/>
      <c r="K111" s="736"/>
      <c r="L111" s="736"/>
      <c r="M111" s="736"/>
      <c r="N111" s="736"/>
      <c r="O111" s="736"/>
      <c r="P111" s="736"/>
      <c r="Q111" s="736"/>
      <c r="R111" s="736"/>
      <c r="S111" s="736"/>
      <c r="T111" s="736"/>
      <c r="U111" s="736"/>
      <c r="V111" s="736"/>
      <c r="W111" s="736"/>
      <c r="X111" s="736"/>
      <c r="Y111" s="736"/>
      <c r="Z111" s="736"/>
      <c r="AA111" s="736"/>
      <c r="AB111" s="736"/>
      <c r="AC111" s="736"/>
      <c r="AD111" s="736"/>
      <c r="AE111" s="736"/>
      <c r="AF111" s="736"/>
      <c r="AG111" s="736"/>
      <c r="AH111" s="736"/>
      <c r="AI111" s="736"/>
      <c r="AJ111" s="736"/>
      <c r="AK111" s="736"/>
      <c r="AL111" s="736"/>
      <c r="AM111" s="736"/>
      <c r="AN111" s="736"/>
      <c r="AO111" s="736"/>
      <c r="AP111" s="736"/>
      <c r="AQ111" s="441"/>
    </row>
    <row r="112" spans="3:43" ht="15.95" customHeight="1" x14ac:dyDescent="0.25">
      <c r="C112" s="286"/>
      <c r="D112" s="448" t="s">
        <v>1518</v>
      </c>
      <c r="E112" s="450" t="s">
        <v>1614</v>
      </c>
      <c r="F112" s="440"/>
      <c r="G112" s="440"/>
      <c r="H112" s="440"/>
      <c r="I112" s="440"/>
      <c r="J112" s="440"/>
      <c r="K112" s="440"/>
      <c r="L112" s="440"/>
      <c r="M112" s="440"/>
      <c r="N112" s="440"/>
      <c r="O112" s="440"/>
      <c r="P112" s="440"/>
      <c r="Q112" s="440"/>
      <c r="R112" s="440"/>
      <c r="S112" s="440"/>
      <c r="T112" s="440"/>
      <c r="U112" s="440"/>
      <c r="V112" s="440"/>
      <c r="W112" s="440"/>
      <c r="X112" s="440"/>
      <c r="Y112" s="440"/>
      <c r="Z112" s="440"/>
      <c r="AA112" s="440"/>
      <c r="AB112" s="440"/>
      <c r="AC112" s="440"/>
      <c r="AD112" s="440"/>
      <c r="AE112" s="440"/>
      <c r="AF112" s="440"/>
      <c r="AG112" s="440"/>
      <c r="AH112" s="440"/>
      <c r="AI112" s="440"/>
      <c r="AJ112" s="440"/>
      <c r="AK112" s="440"/>
      <c r="AL112" s="440"/>
      <c r="AM112" s="440"/>
      <c r="AN112" s="440"/>
      <c r="AO112" s="440"/>
      <c r="AP112" s="440"/>
      <c r="AQ112" s="441"/>
    </row>
    <row r="113" spans="3:43" ht="15.95" customHeight="1" x14ac:dyDescent="0.25">
      <c r="C113" s="286"/>
      <c r="D113" s="448" t="s">
        <v>1518</v>
      </c>
      <c r="E113" s="450" t="s">
        <v>1615</v>
      </c>
      <c r="F113" s="440"/>
      <c r="G113" s="440"/>
      <c r="H113" s="440"/>
      <c r="I113" s="440"/>
      <c r="J113" s="440"/>
      <c r="K113" s="440"/>
      <c r="L113" s="440"/>
      <c r="M113" s="440"/>
      <c r="N113" s="440"/>
      <c r="O113" s="440"/>
      <c r="P113" s="440"/>
      <c r="Q113" s="440"/>
      <c r="R113" s="440"/>
      <c r="S113" s="440"/>
      <c r="T113" s="440"/>
      <c r="U113" s="440"/>
      <c r="V113" s="440"/>
      <c r="W113" s="440"/>
      <c r="X113" s="440"/>
      <c r="Y113" s="440"/>
      <c r="Z113" s="440"/>
      <c r="AA113" s="440"/>
      <c r="AB113" s="440"/>
      <c r="AC113" s="440"/>
      <c r="AD113" s="440"/>
      <c r="AE113" s="440"/>
      <c r="AF113" s="440"/>
      <c r="AG113" s="440"/>
      <c r="AH113" s="440"/>
      <c r="AI113" s="440"/>
      <c r="AJ113" s="440"/>
      <c r="AK113" s="440"/>
      <c r="AL113" s="440"/>
      <c r="AM113" s="440"/>
      <c r="AN113" s="440"/>
      <c r="AO113" s="440"/>
      <c r="AP113" s="440"/>
      <c r="AQ113" s="441"/>
    </row>
    <row r="114" spans="3:43" ht="15.95" customHeight="1" x14ac:dyDescent="0.25">
      <c r="C114" s="286"/>
      <c r="D114" s="450" t="s">
        <v>1616</v>
      </c>
      <c r="E114" s="450"/>
      <c r="F114" s="440"/>
      <c r="G114" s="440"/>
      <c r="H114" s="440"/>
      <c r="I114" s="440"/>
      <c r="J114" s="440"/>
      <c r="K114" s="440"/>
      <c r="L114" s="440"/>
      <c r="M114" s="440"/>
      <c r="N114" s="440"/>
      <c r="O114" s="440"/>
      <c r="P114" s="440"/>
      <c r="Q114" s="440"/>
      <c r="R114" s="440"/>
      <c r="S114" s="440"/>
      <c r="T114" s="440"/>
      <c r="U114" s="440"/>
      <c r="V114" s="440"/>
      <c r="W114" s="440"/>
      <c r="X114" s="440"/>
      <c r="Y114" s="440"/>
      <c r="Z114" s="440"/>
      <c r="AA114" s="440"/>
      <c r="AB114" s="440"/>
      <c r="AC114" s="440"/>
      <c r="AD114" s="440"/>
      <c r="AE114" s="440"/>
      <c r="AF114" s="440"/>
      <c r="AG114" s="440"/>
      <c r="AH114" s="440"/>
      <c r="AI114" s="440"/>
      <c r="AJ114" s="440"/>
      <c r="AK114" s="440"/>
      <c r="AL114" s="440"/>
      <c r="AM114" s="440"/>
      <c r="AN114" s="440"/>
      <c r="AO114" s="440"/>
      <c r="AP114" s="440"/>
      <c r="AQ114" s="441"/>
    </row>
    <row r="115" spans="3:43" ht="15.95" customHeight="1" x14ac:dyDescent="0.25">
      <c r="C115" s="286"/>
      <c r="D115" s="448"/>
      <c r="E115" s="450"/>
      <c r="F115" s="440"/>
      <c r="G115" s="440"/>
      <c r="H115" s="440"/>
      <c r="I115" s="440"/>
      <c r="J115" s="440"/>
      <c r="K115" s="440"/>
      <c r="L115" s="440"/>
      <c r="M115" s="440"/>
      <c r="N115" s="440"/>
      <c r="O115" s="440"/>
      <c r="P115" s="440"/>
      <c r="Q115" s="440"/>
      <c r="R115" s="440"/>
      <c r="S115" s="440"/>
      <c r="T115" s="440"/>
      <c r="U115" s="440"/>
      <c r="V115" s="440"/>
      <c r="W115" s="440"/>
      <c r="X115" s="440"/>
      <c r="Y115" s="440"/>
      <c r="Z115" s="440"/>
      <c r="AA115" s="440"/>
      <c r="AB115" s="440"/>
      <c r="AC115" s="440"/>
      <c r="AD115" s="440"/>
      <c r="AE115" s="440"/>
      <c r="AF115" s="440"/>
      <c r="AG115" s="440"/>
      <c r="AH115" s="440"/>
      <c r="AI115" s="440"/>
      <c r="AJ115" s="440"/>
      <c r="AK115" s="440"/>
      <c r="AL115" s="440"/>
      <c r="AM115" s="440"/>
      <c r="AN115" s="440"/>
      <c r="AO115" s="440"/>
      <c r="AP115" s="440"/>
      <c r="AQ115" s="441"/>
    </row>
    <row r="116" spans="3:43" ht="15.95" customHeight="1" x14ac:dyDescent="0.25">
      <c r="C116" s="286"/>
      <c r="D116" s="747" t="s">
        <v>1617</v>
      </c>
      <c r="E116" s="747"/>
      <c r="F116" s="747"/>
      <c r="G116" s="747"/>
      <c r="H116" s="747"/>
      <c r="I116" s="747"/>
      <c r="J116" s="747"/>
      <c r="K116" s="747"/>
      <c r="L116" s="747"/>
      <c r="M116" s="747"/>
      <c r="N116" s="747"/>
      <c r="O116" s="747"/>
      <c r="P116" s="747"/>
      <c r="Q116" s="747"/>
      <c r="R116" s="748" t="s">
        <v>1618</v>
      </c>
      <c r="S116" s="748"/>
      <c r="T116" s="748"/>
      <c r="U116" s="748"/>
      <c r="V116" s="748"/>
      <c r="W116" s="748"/>
      <c r="X116" s="748"/>
      <c r="AQ116" s="441"/>
    </row>
    <row r="117" spans="3:43" ht="15.95" customHeight="1" x14ac:dyDescent="0.25">
      <c r="C117" s="286"/>
      <c r="D117" s="745" t="s">
        <v>591</v>
      </c>
      <c r="E117" s="745"/>
      <c r="F117" s="745"/>
      <c r="G117" s="745"/>
      <c r="H117" s="745"/>
      <c r="I117" s="745"/>
      <c r="J117" s="745"/>
      <c r="K117" s="745"/>
      <c r="L117" s="745"/>
      <c r="M117" s="745"/>
      <c r="N117" s="745"/>
      <c r="O117" s="745"/>
      <c r="P117" s="745"/>
      <c r="Q117" s="745"/>
      <c r="R117" s="746" t="s">
        <v>1619</v>
      </c>
      <c r="S117" s="746"/>
      <c r="T117" s="746"/>
      <c r="U117" s="746"/>
      <c r="V117" s="746"/>
      <c r="W117" s="746"/>
      <c r="X117" s="746"/>
      <c r="AQ117" s="441"/>
    </row>
    <row r="118" spans="3:43" ht="15.95" customHeight="1" x14ac:dyDescent="0.25">
      <c r="C118" s="286"/>
      <c r="D118" s="745" t="s">
        <v>1620</v>
      </c>
      <c r="E118" s="745"/>
      <c r="F118" s="745"/>
      <c r="G118" s="745"/>
      <c r="H118" s="745"/>
      <c r="I118" s="745"/>
      <c r="J118" s="745"/>
      <c r="K118" s="745"/>
      <c r="L118" s="745"/>
      <c r="M118" s="745"/>
      <c r="N118" s="745"/>
      <c r="O118" s="745"/>
      <c r="P118" s="745"/>
      <c r="Q118" s="745"/>
      <c r="R118" s="746" t="s">
        <v>1621</v>
      </c>
      <c r="S118" s="746"/>
      <c r="T118" s="746"/>
      <c r="U118" s="746"/>
      <c r="V118" s="746"/>
      <c r="W118" s="746"/>
      <c r="X118" s="746"/>
      <c r="AQ118" s="441"/>
    </row>
    <row r="119" spans="3:43" ht="15.95" customHeight="1" x14ac:dyDescent="0.25">
      <c r="C119" s="286"/>
      <c r="D119" s="745" t="s">
        <v>251</v>
      </c>
      <c r="E119" s="745"/>
      <c r="F119" s="745"/>
      <c r="G119" s="745"/>
      <c r="H119" s="745"/>
      <c r="I119" s="745"/>
      <c r="J119" s="745"/>
      <c r="K119" s="745"/>
      <c r="L119" s="745"/>
      <c r="M119" s="745"/>
      <c r="N119" s="745"/>
      <c r="O119" s="745"/>
      <c r="P119" s="745"/>
      <c r="Q119" s="745"/>
      <c r="R119" s="746" t="s">
        <v>1622</v>
      </c>
      <c r="S119" s="746"/>
      <c r="T119" s="746"/>
      <c r="U119" s="746"/>
      <c r="V119" s="746"/>
      <c r="W119" s="746"/>
      <c r="X119" s="746"/>
      <c r="AQ119" s="441"/>
    </row>
    <row r="120" spans="3:43" ht="15.95" customHeight="1" x14ac:dyDescent="0.25">
      <c r="C120" s="286"/>
      <c r="D120" s="745" t="s">
        <v>1623</v>
      </c>
      <c r="E120" s="745"/>
      <c r="F120" s="745"/>
      <c r="G120" s="745"/>
      <c r="H120" s="745"/>
      <c r="I120" s="745"/>
      <c r="J120" s="745"/>
      <c r="K120" s="745"/>
      <c r="L120" s="745"/>
      <c r="M120" s="745"/>
      <c r="N120" s="745"/>
      <c r="O120" s="745"/>
      <c r="P120" s="745"/>
      <c r="Q120" s="745"/>
      <c r="R120" s="746" t="s">
        <v>1624</v>
      </c>
      <c r="S120" s="746"/>
      <c r="T120" s="746"/>
      <c r="U120" s="746"/>
      <c r="V120" s="746"/>
      <c r="W120" s="746"/>
      <c r="X120" s="746"/>
      <c r="AQ120" s="441"/>
    </row>
    <row r="121" spans="3:43" ht="15.95" customHeight="1" x14ac:dyDescent="0.25">
      <c r="C121" s="286"/>
      <c r="D121" s="745" t="s">
        <v>1625</v>
      </c>
      <c r="E121" s="745"/>
      <c r="F121" s="745"/>
      <c r="G121" s="745"/>
      <c r="H121" s="745"/>
      <c r="I121" s="745"/>
      <c r="J121" s="745"/>
      <c r="K121" s="745"/>
      <c r="L121" s="745"/>
      <c r="M121" s="745"/>
      <c r="N121" s="745"/>
      <c r="O121" s="745"/>
      <c r="P121" s="745"/>
      <c r="Q121" s="745"/>
      <c r="R121" s="746" t="s">
        <v>1626</v>
      </c>
      <c r="S121" s="746"/>
      <c r="T121" s="746"/>
      <c r="U121" s="746"/>
      <c r="V121" s="746"/>
      <c r="W121" s="746"/>
      <c r="X121" s="746"/>
      <c r="AQ121" s="441"/>
    </row>
    <row r="122" spans="3:43" ht="15.95" customHeight="1" x14ac:dyDescent="0.25">
      <c r="C122" s="291"/>
      <c r="D122" s="455"/>
      <c r="E122" s="455"/>
      <c r="F122" s="455"/>
      <c r="G122" s="455"/>
      <c r="H122" s="455"/>
      <c r="I122" s="455"/>
      <c r="J122" s="455"/>
      <c r="K122" s="455"/>
      <c r="L122" s="455"/>
      <c r="M122" s="455"/>
      <c r="N122" s="455"/>
      <c r="O122" s="455"/>
      <c r="P122" s="455"/>
      <c r="Q122" s="455"/>
      <c r="R122" s="455"/>
      <c r="S122" s="455"/>
      <c r="T122" s="455"/>
      <c r="U122" s="455"/>
      <c r="V122" s="455"/>
      <c r="W122" s="455"/>
      <c r="X122" s="455"/>
      <c r="Y122" s="455"/>
      <c r="Z122" s="455"/>
      <c r="AA122" s="455"/>
      <c r="AB122" s="455"/>
      <c r="AC122" s="455"/>
      <c r="AD122" s="455"/>
      <c r="AE122" s="455"/>
      <c r="AF122" s="455"/>
      <c r="AG122" s="455"/>
      <c r="AH122" s="455"/>
      <c r="AI122" s="455"/>
      <c r="AJ122" s="455"/>
      <c r="AK122" s="455"/>
      <c r="AL122" s="455"/>
      <c r="AM122" s="455"/>
      <c r="AN122" s="455"/>
      <c r="AO122" s="455"/>
      <c r="AP122" s="455"/>
      <c r="AQ122" s="456"/>
    </row>
    <row r="123" spans="3:43" ht="15.95" customHeight="1" x14ac:dyDescent="0.25">
      <c r="C123" s="457"/>
      <c r="D123" s="458"/>
      <c r="E123" s="458"/>
      <c r="F123" s="458"/>
      <c r="G123" s="458"/>
      <c r="H123" s="458"/>
      <c r="I123" s="458"/>
      <c r="J123" s="458"/>
      <c r="K123" s="458"/>
      <c r="L123" s="458"/>
      <c r="M123" s="458"/>
      <c r="N123" s="458"/>
      <c r="O123" s="458"/>
      <c r="P123" s="458"/>
      <c r="Q123" s="458"/>
      <c r="R123" s="458"/>
      <c r="S123" s="458"/>
      <c r="T123" s="458"/>
      <c r="U123" s="458"/>
      <c r="V123" s="458"/>
      <c r="W123" s="458"/>
      <c r="X123" s="458"/>
      <c r="Y123" s="458"/>
      <c r="Z123" s="458"/>
      <c r="AA123" s="458"/>
      <c r="AB123" s="458"/>
      <c r="AC123" s="458"/>
      <c r="AD123" s="458"/>
      <c r="AE123" s="458"/>
      <c r="AF123" s="458"/>
      <c r="AG123" s="458"/>
      <c r="AH123" s="458"/>
      <c r="AI123" s="458"/>
      <c r="AJ123" s="458"/>
      <c r="AK123" s="458"/>
      <c r="AL123" s="458"/>
      <c r="AM123" s="458"/>
      <c r="AN123" s="458"/>
      <c r="AO123" s="458"/>
      <c r="AP123" s="458"/>
      <c r="AQ123" s="459"/>
    </row>
    <row r="124" spans="3:43" ht="15.95" customHeight="1" x14ac:dyDescent="0.25">
      <c r="C124" s="457"/>
      <c r="D124" s="458"/>
      <c r="E124" s="458"/>
      <c r="F124" s="458"/>
      <c r="G124" s="458"/>
      <c r="H124" s="458"/>
      <c r="I124" s="458"/>
      <c r="J124" s="458"/>
      <c r="K124" s="458"/>
      <c r="L124" s="458"/>
      <c r="M124" s="458"/>
      <c r="N124" s="458"/>
      <c r="O124" s="458"/>
      <c r="P124" s="458"/>
      <c r="Q124" s="458"/>
      <c r="R124" s="458"/>
      <c r="S124" s="458"/>
      <c r="T124" s="458"/>
      <c r="U124" s="458"/>
      <c r="V124" s="458"/>
      <c r="W124" s="458"/>
      <c r="X124" s="458"/>
      <c r="Y124" s="458"/>
      <c r="Z124" s="458"/>
      <c r="AA124" s="458"/>
      <c r="AB124" s="458"/>
      <c r="AC124" s="458"/>
      <c r="AD124" s="458"/>
      <c r="AE124" s="458"/>
      <c r="AF124" s="458"/>
      <c r="AG124" s="458"/>
      <c r="AH124" s="458"/>
      <c r="AI124" s="458"/>
      <c r="AJ124" s="458"/>
      <c r="AK124" s="458"/>
      <c r="AL124" s="458"/>
      <c r="AM124" s="458"/>
      <c r="AN124" s="458"/>
      <c r="AO124" s="458"/>
      <c r="AP124" s="458"/>
      <c r="AQ124" s="459"/>
    </row>
    <row r="125" spans="3:43" ht="15.95" customHeight="1" x14ac:dyDescent="0.25">
      <c r="C125" s="460"/>
      <c r="D125" s="461"/>
      <c r="E125" s="461"/>
      <c r="F125" s="461"/>
      <c r="G125" s="461"/>
      <c r="H125" s="461"/>
      <c r="I125" s="461"/>
      <c r="J125" s="461"/>
      <c r="K125" s="461"/>
      <c r="L125" s="461"/>
      <c r="M125" s="461"/>
      <c r="N125" s="461"/>
      <c r="O125" s="461"/>
      <c r="P125" s="461"/>
      <c r="Q125" s="461"/>
      <c r="R125" s="461"/>
      <c r="S125" s="461"/>
      <c r="T125" s="461"/>
      <c r="U125" s="461"/>
      <c r="V125" s="461"/>
      <c r="W125" s="461"/>
      <c r="X125" s="461"/>
      <c r="Y125" s="461"/>
      <c r="Z125" s="461"/>
      <c r="AA125" s="461"/>
      <c r="AB125" s="461"/>
      <c r="AC125" s="461"/>
      <c r="AD125" s="461"/>
      <c r="AE125" s="461"/>
      <c r="AF125" s="461"/>
      <c r="AG125" s="461"/>
      <c r="AH125" s="461"/>
      <c r="AI125" s="461"/>
      <c r="AJ125" s="461"/>
      <c r="AK125" s="461"/>
      <c r="AL125" s="461"/>
      <c r="AM125" s="461"/>
      <c r="AN125" s="461"/>
      <c r="AO125" s="461"/>
      <c r="AP125" s="461"/>
      <c r="AQ125" s="462"/>
    </row>
    <row r="126" spans="3:43" ht="15.95" customHeight="1" x14ac:dyDescent="0.25"/>
    <row r="127" spans="3:43" ht="15.95" customHeight="1" x14ac:dyDescent="0.25"/>
    <row r="128" spans="3:43" ht="15.95" customHeight="1" x14ac:dyDescent="0.25"/>
    <row r="129" spans="3:3" ht="15.95" customHeight="1" x14ac:dyDescent="0.25"/>
    <row r="130" spans="3:3" ht="15.95" customHeight="1" x14ac:dyDescent="0.25">
      <c r="C130" s="450" t="s">
        <v>1634</v>
      </c>
    </row>
    <row r="131" spans="3:3" ht="15.95" customHeight="1" x14ac:dyDescent="0.25">
      <c r="C131" s="450" t="s">
        <v>1635</v>
      </c>
    </row>
    <row r="132" spans="3:3" ht="15.95" customHeight="1" x14ac:dyDescent="0.25">
      <c r="C132" s="299"/>
    </row>
    <row r="133" spans="3:3" ht="15.95" customHeight="1" x14ac:dyDescent="0.25">
      <c r="C133" s="450" t="s">
        <v>1636</v>
      </c>
    </row>
    <row r="134" spans="3:3" ht="15.95" customHeight="1" x14ac:dyDescent="0.25">
      <c r="C134" s="450" t="s">
        <v>1879</v>
      </c>
    </row>
    <row r="135" spans="3:3" ht="15.95" customHeight="1" x14ac:dyDescent="0.25">
      <c r="C135" s="450" t="s">
        <v>1637</v>
      </c>
    </row>
    <row r="136" spans="3:3" ht="15.95" customHeight="1" x14ac:dyDescent="0.25"/>
    <row r="137" spans="3:3" ht="15.95" hidden="1" customHeight="1" x14ac:dyDescent="0.25"/>
    <row r="138" spans="3:3" ht="15.95" hidden="1" customHeight="1" x14ac:dyDescent="0.25"/>
    <row r="139" spans="3:3" ht="15.95" hidden="1" customHeight="1" x14ac:dyDescent="0.25"/>
    <row r="140" spans="3:3" ht="15.95" hidden="1" customHeight="1" x14ac:dyDescent="0.25"/>
    <row r="141" spans="3:3" ht="15.95" hidden="1" customHeight="1" x14ac:dyDescent="0.25"/>
    <row r="142" spans="3:3" ht="15.95" hidden="1" customHeight="1" x14ac:dyDescent="0.25"/>
    <row r="143" spans="3:3" ht="15.95" hidden="1" customHeight="1" x14ac:dyDescent="0.25"/>
    <row r="144" spans="3:3" ht="15.95" hidden="1" customHeight="1" x14ac:dyDescent="0.25"/>
    <row r="145" ht="15.95" hidden="1" customHeight="1" x14ac:dyDescent="0.25"/>
    <row r="146" ht="15.95" hidden="1" customHeight="1" x14ac:dyDescent="0.25"/>
    <row r="147" ht="15.95" hidden="1" customHeight="1" x14ac:dyDescent="0.25"/>
    <row r="148" ht="15.95" hidden="1" customHeight="1" x14ac:dyDescent="0.25"/>
    <row r="149" ht="15.95" hidden="1" customHeight="1" x14ac:dyDescent="0.25"/>
    <row r="150" ht="15.95" hidden="1" customHeight="1" x14ac:dyDescent="0.25"/>
    <row r="151" ht="15.95" hidden="1" customHeight="1" x14ac:dyDescent="0.25"/>
    <row r="152" ht="15.95" hidden="1" customHeight="1" x14ac:dyDescent="0.25"/>
    <row r="153" ht="15.95" hidden="1" customHeight="1" x14ac:dyDescent="0.25"/>
    <row r="154" ht="15.95" hidden="1" customHeight="1" x14ac:dyDescent="0.25"/>
    <row r="155" ht="15.95" hidden="1" customHeight="1" x14ac:dyDescent="0.25"/>
    <row r="156" ht="15.95" hidden="1" customHeight="1" x14ac:dyDescent="0.25"/>
    <row r="157" ht="15.95" hidden="1" customHeight="1" x14ac:dyDescent="0.25"/>
    <row r="158" ht="15.95" hidden="1" customHeight="1" x14ac:dyDescent="0.25"/>
    <row r="159" ht="15.95" hidden="1" customHeight="1" x14ac:dyDescent="0.25"/>
    <row r="160" ht="15.95" hidden="1" customHeight="1" x14ac:dyDescent="0.25"/>
    <row r="161" ht="15.95" hidden="1" customHeight="1" x14ac:dyDescent="0.25"/>
    <row r="162" ht="15.95" hidden="1" customHeight="1" x14ac:dyDescent="0.25"/>
    <row r="163" ht="15.95" hidden="1" customHeight="1" x14ac:dyDescent="0.25"/>
    <row r="164" ht="15.95" hidden="1" customHeight="1" x14ac:dyDescent="0.25"/>
    <row r="165" ht="15.95" hidden="1" customHeight="1" x14ac:dyDescent="0.25"/>
    <row r="166" ht="15.95" hidden="1" customHeight="1" x14ac:dyDescent="0.25"/>
    <row r="167" ht="15.95" hidden="1" customHeight="1" x14ac:dyDescent="0.25"/>
    <row r="168" ht="15.95" hidden="1" customHeight="1" x14ac:dyDescent="0.25"/>
    <row r="169" ht="15.95" hidden="1" customHeight="1" x14ac:dyDescent="0.25"/>
    <row r="170" ht="15.95" hidden="1" customHeight="1" x14ac:dyDescent="0.25"/>
    <row r="171" ht="15.95" hidden="1" customHeight="1" x14ac:dyDescent="0.25"/>
    <row r="172" ht="15.95" hidden="1" customHeight="1" x14ac:dyDescent="0.25"/>
    <row r="173" ht="15.95" hidden="1" customHeight="1" x14ac:dyDescent="0.25"/>
    <row r="174" ht="15.95" hidden="1" customHeight="1" x14ac:dyDescent="0.25"/>
    <row r="175" ht="15.95" hidden="1" customHeight="1" x14ac:dyDescent="0.25"/>
    <row r="176" ht="15.95" hidden="1" customHeight="1" x14ac:dyDescent="0.25"/>
    <row r="177" ht="15.95" hidden="1" customHeight="1" x14ac:dyDescent="0.25"/>
    <row r="178" ht="15.95" hidden="1" customHeight="1" x14ac:dyDescent="0.25"/>
    <row r="179" ht="15.95" hidden="1" customHeight="1" x14ac:dyDescent="0.25"/>
    <row r="180" ht="15.95" hidden="1" customHeight="1" x14ac:dyDescent="0.25"/>
    <row r="181" ht="15.95" hidden="1" customHeight="1" x14ac:dyDescent="0.25"/>
    <row r="182" ht="15.95" hidden="1" customHeight="1" x14ac:dyDescent="0.25"/>
    <row r="183" ht="15.95" hidden="1" customHeight="1" x14ac:dyDescent="0.25"/>
    <row r="184" ht="15.95" hidden="1" customHeight="1" x14ac:dyDescent="0.25"/>
    <row r="185" ht="15.95" hidden="1" customHeight="1" x14ac:dyDescent="0.25"/>
    <row r="186" ht="15.95" hidden="1" customHeight="1" x14ac:dyDescent="0.25"/>
    <row r="187" ht="15.95" hidden="1" customHeight="1" x14ac:dyDescent="0.25"/>
    <row r="188" ht="15.95" hidden="1" customHeight="1" x14ac:dyDescent="0.25"/>
    <row r="189" ht="15.95" hidden="1" customHeight="1" x14ac:dyDescent="0.25"/>
    <row r="190" ht="15.95" hidden="1" customHeight="1" x14ac:dyDescent="0.25"/>
    <row r="191" ht="15.95" hidden="1" customHeight="1" x14ac:dyDescent="0.25"/>
    <row r="192" ht="15.95" hidden="1" customHeight="1" x14ac:dyDescent="0.25"/>
    <row r="193" spans="2:44" ht="15.95" hidden="1" customHeight="1" x14ac:dyDescent="0.25"/>
    <row r="194" spans="2:44" ht="15.95" hidden="1" customHeight="1" x14ac:dyDescent="0.25"/>
    <row r="195" spans="2:44" ht="15.95" hidden="1" customHeight="1" x14ac:dyDescent="0.25"/>
    <row r="196" spans="2:44" ht="15.95" hidden="1" customHeight="1" x14ac:dyDescent="0.25"/>
    <row r="197" spans="2:44" ht="15.95" hidden="1" customHeight="1" x14ac:dyDescent="0.25"/>
    <row r="198" spans="2:44" ht="15.95" hidden="1" customHeight="1" x14ac:dyDescent="0.25"/>
    <row r="199" spans="2:44" ht="15.95" hidden="1" customHeight="1" x14ac:dyDescent="0.25"/>
    <row r="200" spans="2:44" ht="15.95" customHeight="1" x14ac:dyDescent="0.25">
      <c r="B200" s="136" t="str">
        <f>FOOT1</f>
        <v>Ameren Missouri BizSavers program</v>
      </c>
      <c r="C200" s="136"/>
      <c r="D200" s="136"/>
      <c r="E200" s="136"/>
      <c r="F200" s="136"/>
      <c r="G200" s="136"/>
      <c r="H200" s="136"/>
      <c r="I200" s="136"/>
      <c r="J200" s="136"/>
      <c r="K200" s="136"/>
      <c r="L200" s="136"/>
      <c r="M200" s="729" t="str">
        <f>FOOTDISCLAIM</f>
        <v/>
      </c>
      <c r="N200" s="729"/>
      <c r="O200" s="729"/>
      <c r="P200" s="729"/>
      <c r="Q200" s="729"/>
      <c r="R200" s="729"/>
      <c r="S200" s="729"/>
      <c r="T200" s="729"/>
      <c r="U200" s="729"/>
      <c r="V200" s="729"/>
      <c r="W200" s="729"/>
      <c r="X200" s="729"/>
      <c r="Y200" s="729"/>
      <c r="Z200" s="729"/>
      <c r="AA200" s="729"/>
      <c r="AB200" s="729"/>
      <c r="AC200" s="729"/>
      <c r="AD200" s="729"/>
      <c r="AE200" s="729"/>
      <c r="AF200" s="729"/>
      <c r="AG200" s="729"/>
      <c r="AH200" s="136"/>
      <c r="AI200" s="136"/>
      <c r="AJ200" s="136"/>
      <c r="AK200" s="136"/>
      <c r="AL200" s="136"/>
      <c r="AM200" s="136"/>
      <c r="AN200" s="136"/>
      <c r="AO200" s="136"/>
      <c r="AP200" s="136"/>
      <c r="AQ200" s="136"/>
      <c r="AR200" s="300" t="str">
        <f>FOOT4</f>
        <v/>
      </c>
    </row>
    <row r="201" spans="2:44" ht="15.95" customHeight="1" x14ac:dyDescent="0.25">
      <c r="B201" s="136" t="str">
        <f>FOOT2</f>
        <v>Toll-Free 866-941-7299</v>
      </c>
      <c r="C201" s="136"/>
      <c r="D201" s="136"/>
      <c r="E201" s="136"/>
      <c r="F201" s="136"/>
      <c r="G201" s="136"/>
      <c r="H201" s="136"/>
      <c r="I201" s="136"/>
      <c r="J201" s="136"/>
      <c r="K201" s="136"/>
      <c r="L201" s="136"/>
      <c r="M201" s="729"/>
      <c r="N201" s="729"/>
      <c r="O201" s="729"/>
      <c r="P201" s="729"/>
      <c r="Q201" s="729"/>
      <c r="R201" s="729"/>
      <c r="S201" s="729"/>
      <c r="T201" s="729"/>
      <c r="U201" s="729"/>
      <c r="V201" s="729"/>
      <c r="W201" s="729"/>
      <c r="X201" s="729"/>
      <c r="Y201" s="729"/>
      <c r="Z201" s="729"/>
      <c r="AA201" s="729"/>
      <c r="AB201" s="729"/>
      <c r="AC201" s="729"/>
      <c r="AD201" s="729"/>
      <c r="AE201" s="729"/>
      <c r="AF201" s="729"/>
      <c r="AG201" s="729"/>
      <c r="AH201" s="136"/>
      <c r="AI201" s="136"/>
      <c r="AJ201" s="136"/>
      <c r="AK201" s="136"/>
      <c r="AL201" s="136"/>
      <c r="AM201" s="136"/>
      <c r="AN201" s="136"/>
      <c r="AO201" s="136"/>
      <c r="AP201" s="136"/>
      <c r="AQ201" s="136"/>
      <c r="AR201" s="300" t="str">
        <f>FOOT5</f>
        <v/>
      </c>
    </row>
    <row r="202" spans="2:44" ht="15.95" customHeight="1" x14ac:dyDescent="0.25">
      <c r="B202" s="138" t="str">
        <f>FOOT3</f>
        <v>BizSavers@ameren.com</v>
      </c>
      <c r="C202" s="136"/>
      <c r="D202" s="136"/>
      <c r="E202" s="136"/>
      <c r="F202" s="136"/>
      <c r="G202" s="136"/>
      <c r="H202" s="136"/>
      <c r="I202" s="136"/>
      <c r="J202" s="136"/>
      <c r="K202" s="136"/>
      <c r="L202" s="136"/>
      <c r="M202" s="139"/>
      <c r="N202" s="136"/>
      <c r="O202" s="136"/>
      <c r="P202" s="139"/>
      <c r="Q202" s="139"/>
      <c r="R202" s="139"/>
      <c r="S202" s="139"/>
      <c r="T202" s="139"/>
      <c r="U202" s="139"/>
      <c r="V202" s="139"/>
      <c r="W202" s="140" t="str">
        <f>VERSION</f>
        <v>New Construction v3.8.0</v>
      </c>
      <c r="X202" s="139"/>
      <c r="Y202" s="139"/>
      <c r="Z202" s="139"/>
      <c r="AA202" s="139"/>
      <c r="AB202" s="139"/>
      <c r="AC202" s="139"/>
      <c r="AD202" s="139"/>
      <c r="AE202" s="136"/>
      <c r="AF202" s="136"/>
      <c r="AG202" s="136"/>
      <c r="AH202" s="136"/>
      <c r="AI202" s="136"/>
      <c r="AJ202" s="136"/>
      <c r="AK202" s="136"/>
      <c r="AL202" s="136"/>
      <c r="AM202" s="136"/>
      <c r="AN202" s="136"/>
      <c r="AO202" s="136"/>
      <c r="AP202" s="136"/>
      <c r="AQ202" s="136"/>
      <c r="AR202" s="300" t="str">
        <f>FOOT6</f>
        <v>Product of TRC Companies</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sheetData>
  <sheetProtection algorithmName="SHA-512" hashValue="uaSf3sHZ1KNgevnrz7oziD/QRajfBBLtNyxNc7CfZkoNfXr/BNio2zAAZ5Qt7SVgxk72O+QVSAC4AlPHCMSyJg==" saltValue="MufdyaeiH+4qFhnplXPjpQ==" spinCount="100000" sheet="1" objects="1" scenarios="1" selectLockedCells="1"/>
  <mergeCells count="270">
    <mergeCell ref="AH1:AK1"/>
    <mergeCell ref="AL1:AP1"/>
    <mergeCell ref="AQ1:AR1"/>
    <mergeCell ref="AH2:AK3"/>
    <mergeCell ref="AL2:AP3"/>
    <mergeCell ref="AQ2:AR3"/>
    <mergeCell ref="D56:L56"/>
    <mergeCell ref="M56:S56"/>
    <mergeCell ref="M200:AG201"/>
    <mergeCell ref="D21:AP22"/>
    <mergeCell ref="E23:AP24"/>
    <mergeCell ref="D28:AP29"/>
    <mergeCell ref="D39:M39"/>
    <mergeCell ref="N39:X39"/>
    <mergeCell ref="Y39:AG39"/>
    <mergeCell ref="F10:AN10"/>
    <mergeCell ref="F11:AN11"/>
    <mergeCell ref="AH39:AP39"/>
    <mergeCell ref="D40:M41"/>
    <mergeCell ref="N40:X41"/>
    <mergeCell ref="Y40:AG41"/>
    <mergeCell ref="D57:L57"/>
    <mergeCell ref="M57:S57"/>
    <mergeCell ref="D58:L58"/>
    <mergeCell ref="M58:S58"/>
    <mergeCell ref="D59:L59"/>
    <mergeCell ref="M59:S59"/>
    <mergeCell ref="D46:M47"/>
    <mergeCell ref="N46:X47"/>
    <mergeCell ref="Y46:AG47"/>
    <mergeCell ref="AH46:AP47"/>
    <mergeCell ref="D48:M49"/>
    <mergeCell ref="N48:X49"/>
    <mergeCell ref="Y48:AG49"/>
    <mergeCell ref="AH48:AP49"/>
    <mergeCell ref="D51:AP52"/>
    <mergeCell ref="AH40:AP41"/>
    <mergeCell ref="D42:M43"/>
    <mergeCell ref="N42:X43"/>
    <mergeCell ref="Y42:AG43"/>
    <mergeCell ref="AH42:AP43"/>
    <mergeCell ref="D44:M45"/>
    <mergeCell ref="N44:X45"/>
    <mergeCell ref="Y44:AG45"/>
    <mergeCell ref="AH44:AP45"/>
    <mergeCell ref="D62:AP63"/>
    <mergeCell ref="K69:M72"/>
    <mergeCell ref="N69:P72"/>
    <mergeCell ref="Q69:S72"/>
    <mergeCell ref="T69:V72"/>
    <mergeCell ref="AE69:AG72"/>
    <mergeCell ref="AH69:AJ72"/>
    <mergeCell ref="AK69:AM72"/>
    <mergeCell ref="AN69:AP72"/>
    <mergeCell ref="D69:H72"/>
    <mergeCell ref="X69:AB72"/>
    <mergeCell ref="I69:J72"/>
    <mergeCell ref="AC69:AD72"/>
    <mergeCell ref="AN75:AP75"/>
    <mergeCell ref="AK75:AM75"/>
    <mergeCell ref="D75:H75"/>
    <mergeCell ref="X75:AB75"/>
    <mergeCell ref="AN73:AP73"/>
    <mergeCell ref="K74:M74"/>
    <mergeCell ref="N74:P74"/>
    <mergeCell ref="Q74:S74"/>
    <mergeCell ref="T74:V74"/>
    <mergeCell ref="AE74:AG74"/>
    <mergeCell ref="AH74:AJ74"/>
    <mergeCell ref="AK74:AM74"/>
    <mergeCell ref="AN74:AP74"/>
    <mergeCell ref="K73:M73"/>
    <mergeCell ref="N73:P73"/>
    <mergeCell ref="Q73:S73"/>
    <mergeCell ref="T73:V73"/>
    <mergeCell ref="AE73:AG73"/>
    <mergeCell ref="AH73:AJ73"/>
    <mergeCell ref="AK73:AM73"/>
    <mergeCell ref="D73:H73"/>
    <mergeCell ref="D74:H74"/>
    <mergeCell ref="X73:AB73"/>
    <mergeCell ref="X74:AB74"/>
    <mergeCell ref="D76:H76"/>
    <mergeCell ref="D77:H78"/>
    <mergeCell ref="I77:J78"/>
    <mergeCell ref="K75:M75"/>
    <mergeCell ref="N75:P75"/>
    <mergeCell ref="Q75:S75"/>
    <mergeCell ref="T75:V75"/>
    <mergeCell ref="AE75:AG75"/>
    <mergeCell ref="AH75:AJ75"/>
    <mergeCell ref="AC75:AD75"/>
    <mergeCell ref="AK76:AM76"/>
    <mergeCell ref="AN76:AP76"/>
    <mergeCell ref="X76:AB76"/>
    <mergeCell ref="X77:AB77"/>
    <mergeCell ref="X78:AB78"/>
    <mergeCell ref="K76:M76"/>
    <mergeCell ref="N76:P76"/>
    <mergeCell ref="Q76:S76"/>
    <mergeCell ref="T76:V76"/>
    <mergeCell ref="AE76:AG76"/>
    <mergeCell ref="AH76:AJ76"/>
    <mergeCell ref="K77:M78"/>
    <mergeCell ref="N77:P78"/>
    <mergeCell ref="Q77:S78"/>
    <mergeCell ref="T77:V78"/>
    <mergeCell ref="AE77:AG77"/>
    <mergeCell ref="AH77:AJ77"/>
    <mergeCell ref="AC76:AD76"/>
    <mergeCell ref="AC77:AD77"/>
    <mergeCell ref="AC78:AD78"/>
    <mergeCell ref="D79:H79"/>
    <mergeCell ref="D80:H80"/>
    <mergeCell ref="X79:AB79"/>
    <mergeCell ref="X80:AB80"/>
    <mergeCell ref="AK77:AM77"/>
    <mergeCell ref="AN77:AP77"/>
    <mergeCell ref="AE78:AG78"/>
    <mergeCell ref="AH78:AJ78"/>
    <mergeCell ref="AK78:AM78"/>
    <mergeCell ref="AN78:AP78"/>
    <mergeCell ref="AE79:AG79"/>
    <mergeCell ref="AH79:AJ79"/>
    <mergeCell ref="AK79:AM79"/>
    <mergeCell ref="AN79:AP79"/>
    <mergeCell ref="K80:M80"/>
    <mergeCell ref="N80:P80"/>
    <mergeCell ref="Q80:S80"/>
    <mergeCell ref="T80:V80"/>
    <mergeCell ref="K79:M79"/>
    <mergeCell ref="N79:P79"/>
    <mergeCell ref="Q79:S79"/>
    <mergeCell ref="T79:V79"/>
    <mergeCell ref="AE80:AG80"/>
    <mergeCell ref="AH80:AJ80"/>
    <mergeCell ref="AK80:AM80"/>
    <mergeCell ref="AN80:AP80"/>
    <mergeCell ref="D83:H83"/>
    <mergeCell ref="D84:H84"/>
    <mergeCell ref="X83:AB83"/>
    <mergeCell ref="X84:AB84"/>
    <mergeCell ref="AN81:AP81"/>
    <mergeCell ref="K82:M82"/>
    <mergeCell ref="N82:P82"/>
    <mergeCell ref="Q82:S82"/>
    <mergeCell ref="T82:V82"/>
    <mergeCell ref="AE82:AG82"/>
    <mergeCell ref="AH82:AJ82"/>
    <mergeCell ref="AK82:AM82"/>
    <mergeCell ref="AN82:AP82"/>
    <mergeCell ref="K81:M81"/>
    <mergeCell ref="N81:P81"/>
    <mergeCell ref="Q81:S81"/>
    <mergeCell ref="T81:V81"/>
    <mergeCell ref="AE81:AG81"/>
    <mergeCell ref="AH81:AJ81"/>
    <mergeCell ref="AK81:AM81"/>
    <mergeCell ref="D81:H81"/>
    <mergeCell ref="D82:H82"/>
    <mergeCell ref="X81:AB81"/>
    <mergeCell ref="X82:AB82"/>
    <mergeCell ref="AN83:AP83"/>
    <mergeCell ref="K84:M84"/>
    <mergeCell ref="N84:P84"/>
    <mergeCell ref="Q84:S84"/>
    <mergeCell ref="T84:V84"/>
    <mergeCell ref="AE84:AG84"/>
    <mergeCell ref="AH84:AJ84"/>
    <mergeCell ref="AK84:AM84"/>
    <mergeCell ref="AN84:AP84"/>
    <mergeCell ref="K83:M83"/>
    <mergeCell ref="N83:P83"/>
    <mergeCell ref="Q83:S83"/>
    <mergeCell ref="T83:V83"/>
    <mergeCell ref="AE83:AG83"/>
    <mergeCell ref="AH83:AJ83"/>
    <mergeCell ref="AK83:AM83"/>
    <mergeCell ref="D87:H87"/>
    <mergeCell ref="X87:AB87"/>
    <mergeCell ref="AN85:AP85"/>
    <mergeCell ref="K86:M86"/>
    <mergeCell ref="N86:P86"/>
    <mergeCell ref="Q86:S86"/>
    <mergeCell ref="T86:V86"/>
    <mergeCell ref="AE86:AG86"/>
    <mergeCell ref="AH86:AJ86"/>
    <mergeCell ref="AK86:AM86"/>
    <mergeCell ref="AN86:AP86"/>
    <mergeCell ref="K85:M85"/>
    <mergeCell ref="N85:P85"/>
    <mergeCell ref="Q85:S85"/>
    <mergeCell ref="T85:V85"/>
    <mergeCell ref="AE85:AG85"/>
    <mergeCell ref="AH85:AJ85"/>
    <mergeCell ref="AK85:AM85"/>
    <mergeCell ref="D85:H85"/>
    <mergeCell ref="D86:H86"/>
    <mergeCell ref="X85:AB85"/>
    <mergeCell ref="X86:AB86"/>
    <mergeCell ref="AN87:AP87"/>
    <mergeCell ref="AC86:AD86"/>
    <mergeCell ref="N87:P87"/>
    <mergeCell ref="Q87:S87"/>
    <mergeCell ref="T87:V87"/>
    <mergeCell ref="AE87:AG87"/>
    <mergeCell ref="AH87:AJ87"/>
    <mergeCell ref="AK87:AM87"/>
    <mergeCell ref="AC87:AD87"/>
    <mergeCell ref="AC88:AD88"/>
    <mergeCell ref="AC89:AD89"/>
    <mergeCell ref="D120:Q120"/>
    <mergeCell ref="R120:X120"/>
    <mergeCell ref="D121:Q121"/>
    <mergeCell ref="R121:X121"/>
    <mergeCell ref="E110:AP111"/>
    <mergeCell ref="D116:Q116"/>
    <mergeCell ref="R116:X116"/>
    <mergeCell ref="D117:Q117"/>
    <mergeCell ref="R117:X117"/>
    <mergeCell ref="D118:Q118"/>
    <mergeCell ref="R118:X118"/>
    <mergeCell ref="D119:Q119"/>
    <mergeCell ref="R119:X119"/>
    <mergeCell ref="E102:AP103"/>
    <mergeCell ref="AE88:AG88"/>
    <mergeCell ref="AH88:AJ88"/>
    <mergeCell ref="AK88:AM88"/>
    <mergeCell ref="AN88:AP88"/>
    <mergeCell ref="K89:M89"/>
    <mergeCell ref="N89:P89"/>
    <mergeCell ref="Q89:S89"/>
    <mergeCell ref="T89:V89"/>
    <mergeCell ref="D88:H88"/>
    <mergeCell ref="D89:H89"/>
    <mergeCell ref="X88:AB88"/>
    <mergeCell ref="X89:AB89"/>
    <mergeCell ref="I89:J89"/>
    <mergeCell ref="K88:M88"/>
    <mergeCell ref="N88:P88"/>
    <mergeCell ref="Q88:S88"/>
    <mergeCell ref="T88:V88"/>
    <mergeCell ref="AE89:AG89"/>
    <mergeCell ref="AH89:AJ89"/>
    <mergeCell ref="AK89:AM89"/>
    <mergeCell ref="AN89:AP89"/>
    <mergeCell ref="I84:J84"/>
    <mergeCell ref="I85:J85"/>
    <mergeCell ref="I86:J86"/>
    <mergeCell ref="I87:J87"/>
    <mergeCell ref="I88:J88"/>
    <mergeCell ref="AC73:AD73"/>
    <mergeCell ref="AC74:AD74"/>
    <mergeCell ref="I73:J73"/>
    <mergeCell ref="I74:J74"/>
    <mergeCell ref="I75:J75"/>
    <mergeCell ref="I76:J76"/>
    <mergeCell ref="I79:J79"/>
    <mergeCell ref="I80:J80"/>
    <mergeCell ref="I81:J81"/>
    <mergeCell ref="I82:J82"/>
    <mergeCell ref="I83:J83"/>
    <mergeCell ref="AC79:AD79"/>
    <mergeCell ref="AC80:AD80"/>
    <mergeCell ref="AC81:AD81"/>
    <mergeCell ref="AC82:AD82"/>
    <mergeCell ref="AC83:AD83"/>
    <mergeCell ref="AC84:AD84"/>
    <mergeCell ref="AC85:AD85"/>
    <mergeCell ref="K87:M87"/>
  </mergeCells>
  <conditionalFormatting sqref="AQ2:AR3">
    <cfRule type="cellIs" dxfId="343" priority="3" operator="equal">
      <formula>1</formula>
    </cfRule>
    <cfRule type="cellIs" dxfId="342" priority="4" operator="between">
      <formula>0.51</formula>
      <formula>0.99</formula>
    </cfRule>
    <cfRule type="cellIs" dxfId="341" priority="5" operator="lessThanOrEqual">
      <formula>0.5</formula>
    </cfRule>
  </conditionalFormatting>
  <conditionalFormatting sqref="AH2 AL2">
    <cfRule type="expression" dxfId="340" priority="1">
      <formula>OR(PROJSTATUS=PROJSTATELI,PROJSTATUS=PROJSTATEXP,PROJSTATUS=PROJSTATUNDER)</formula>
    </cfRule>
    <cfRule type="expression" dxfId="339" priority="2">
      <formula>PROJSTATUS=PROJSTATFILLINITIAL</formula>
    </cfRule>
    <cfRule type="expression" dxfId="338" priority="6">
      <formula>PROJSTATUS=PROJSTATPREAPPROVE</formula>
    </cfRule>
    <cfRule type="expression" dxfId="337" priority="7">
      <formula>OR(PROJSTATUS=PROJSTATSSUBMITINITIAL,PROJSTATUS=PROJSTATREVIEW)</formula>
    </cfRule>
  </conditionalFormatting>
  <hyperlinks>
    <hyperlink ref="B202" r:id="rId1" display="NIPSCO.Savings@LMCO.com" xr:uid="{00000000-0004-0000-0A00-000000000000}"/>
    <hyperlink ref="C134" r:id="rId2" display="Email: BIZefficiency@ameren.com " xr:uid="{00000000-0004-0000-0A00-000001000000}"/>
    <hyperlink ref="C135" r:id="rId3" xr:uid="{00000000-0004-0000-0A00-000002000000}"/>
  </hyperlinks>
  <pageMargins left="0.25" right="0.25" top="0.25" bottom="0.25" header="0.25" footer="0.25"/>
  <pageSetup scale="52" fitToHeight="0" orientation="portrait" r:id="rId4"/>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A1:AS284"/>
  <sheetViews>
    <sheetView showGridLines="0" showRowColHeaders="0" zoomScale="85" zoomScaleNormal="85" workbookViewId="0">
      <selection activeCell="C6" sqref="C6"/>
    </sheetView>
  </sheetViews>
  <sheetFormatPr defaultColWidth="0" defaultRowHeight="15" customHeight="1" zeroHeight="1" x14ac:dyDescent="0.25"/>
  <cols>
    <col min="1" max="45" width="4.7109375" customWidth="1"/>
    <col min="46" max="16384" width="9.140625" hidden="1"/>
  </cols>
  <sheetData>
    <row r="1" spans="2:44" ht="15.95" customHeight="1" x14ac:dyDescent="0.3">
      <c r="AH1" s="711" t="s">
        <v>494</v>
      </c>
      <c r="AI1" s="712"/>
      <c r="AJ1" s="712"/>
      <c r="AK1" s="712"/>
      <c r="AL1" s="723" t="s">
        <v>911</v>
      </c>
      <c r="AM1" s="723"/>
      <c r="AN1" s="723"/>
      <c r="AO1" s="723"/>
      <c r="AP1" s="723"/>
      <c r="AQ1" s="717" t="s">
        <v>499</v>
      </c>
      <c r="AR1" s="718"/>
    </row>
    <row r="2" spans="2:44" ht="15.95" customHeight="1" x14ac:dyDescent="0.25">
      <c r="AH2" s="713" t="str">
        <f ca="1">INCENSTATUS</f>
        <v>---</v>
      </c>
      <c r="AI2" s="714"/>
      <c r="AJ2" s="714"/>
      <c r="AK2" s="714"/>
      <c r="AL2" s="724" t="str">
        <f ca="1">PROJSTATUS</f>
        <v>Please Complete Initial Application</v>
      </c>
      <c r="AM2" s="724"/>
      <c r="AN2" s="724"/>
      <c r="AO2" s="724"/>
      <c r="AP2" s="724"/>
      <c r="AQ2" s="719">
        <f ca="1">PROGRESSSTATUS</f>
        <v>0</v>
      </c>
      <c r="AR2" s="720"/>
    </row>
    <row r="3" spans="2:44" ht="15.95" customHeight="1" x14ac:dyDescent="0.25">
      <c r="AH3" s="715"/>
      <c r="AI3" s="716"/>
      <c r="AJ3" s="716"/>
      <c r="AK3" s="716"/>
      <c r="AL3" s="725"/>
      <c r="AM3" s="725"/>
      <c r="AN3" s="725"/>
      <c r="AO3" s="725"/>
      <c r="AP3" s="725"/>
      <c r="AQ3" s="721"/>
      <c r="AR3" s="722"/>
    </row>
    <row r="4" spans="2:44" ht="15.95" customHeight="1" x14ac:dyDescent="0.25"/>
    <row r="5" spans="2:44" ht="15.95" customHeight="1" x14ac:dyDescent="0.25"/>
    <row r="6" spans="2:44" ht="15.95" customHeight="1" x14ac:dyDescent="0.25"/>
    <row r="7" spans="2:44" ht="15.95" customHeight="1" x14ac:dyDescent="0.25"/>
    <row r="8" spans="2:44" ht="15.95" customHeight="1" x14ac:dyDescent="0.25"/>
    <row r="9" spans="2:44" ht="15.95" customHeight="1" x14ac:dyDescent="0.25">
      <c r="B9" s="135"/>
      <c r="C9" s="135"/>
      <c r="D9" s="135"/>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row>
    <row r="10" spans="2:44" ht="15.95" customHeight="1" x14ac:dyDescent="0.3">
      <c r="B10" s="135"/>
      <c r="C10" s="135"/>
      <c r="D10" s="135"/>
      <c r="E10" s="135"/>
      <c r="F10" s="778" t="s">
        <v>1020</v>
      </c>
      <c r="G10" s="778"/>
      <c r="H10" s="778"/>
      <c r="I10" s="778"/>
      <c r="J10" s="778"/>
      <c r="K10" s="778"/>
      <c r="L10" s="778"/>
      <c r="M10" s="778"/>
      <c r="N10" s="778"/>
      <c r="O10" s="778"/>
      <c r="P10" s="778"/>
      <c r="Q10" s="778"/>
      <c r="R10" s="778"/>
      <c r="S10" s="778"/>
      <c r="T10" s="778"/>
      <c r="U10" s="778"/>
      <c r="V10" s="778"/>
      <c r="W10" s="778"/>
      <c r="X10" s="778"/>
      <c r="Y10" s="778"/>
      <c r="Z10" s="778"/>
      <c r="AA10" s="778"/>
      <c r="AB10" s="778"/>
      <c r="AC10" s="778"/>
      <c r="AD10" s="778"/>
      <c r="AE10" s="778"/>
      <c r="AF10" s="778"/>
      <c r="AG10" s="778"/>
      <c r="AH10" s="778"/>
      <c r="AI10" s="778"/>
      <c r="AJ10" s="778"/>
      <c r="AK10" s="778"/>
      <c r="AL10" s="778"/>
      <c r="AM10" s="778"/>
      <c r="AN10" s="778"/>
      <c r="AO10" s="135"/>
      <c r="AP10" s="135"/>
      <c r="AQ10" s="135"/>
      <c r="AR10" s="135"/>
    </row>
    <row r="11" spans="2:44" ht="15.95" customHeight="1" x14ac:dyDescent="0.25">
      <c r="B11" s="135"/>
      <c r="C11" s="135"/>
      <c r="D11" s="135"/>
      <c r="E11" s="135"/>
      <c r="F11" s="779"/>
      <c r="G11" s="779"/>
      <c r="H11" s="779"/>
      <c r="I11" s="779"/>
      <c r="J11" s="779"/>
      <c r="K11" s="779"/>
      <c r="L11" s="779"/>
      <c r="M11" s="779"/>
      <c r="N11" s="779"/>
      <c r="O11" s="779"/>
      <c r="P11" s="779"/>
      <c r="Q11" s="779"/>
      <c r="R11" s="779"/>
      <c r="S11" s="779"/>
      <c r="T11" s="779"/>
      <c r="U11" s="779"/>
      <c r="V11" s="779"/>
      <c r="W11" s="779"/>
      <c r="X11" s="779"/>
      <c r="Y11" s="779"/>
      <c r="Z11" s="779"/>
      <c r="AA11" s="779"/>
      <c r="AB11" s="779"/>
      <c r="AC11" s="779"/>
      <c r="AD11" s="779"/>
      <c r="AE11" s="779"/>
      <c r="AF11" s="779"/>
      <c r="AG11" s="779"/>
      <c r="AH11" s="779"/>
      <c r="AI11" s="779"/>
      <c r="AJ11" s="779"/>
      <c r="AK11" s="779"/>
      <c r="AL11" s="779"/>
      <c r="AM11" s="779"/>
      <c r="AN11" s="779"/>
      <c r="AO11" s="135"/>
      <c r="AP11" s="135"/>
      <c r="AQ11" s="135"/>
      <c r="AR11" s="135"/>
    </row>
    <row r="12" spans="2:44" ht="15.95" customHeight="1" x14ac:dyDescent="0.25">
      <c r="B12" s="135"/>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135"/>
    </row>
    <row r="13" spans="2:44" ht="15.95" customHeight="1" x14ac:dyDescent="0.25">
      <c r="B13" s="135"/>
      <c r="C13" s="780"/>
      <c r="D13" s="780"/>
      <c r="E13" s="780"/>
      <c r="F13" s="780"/>
      <c r="G13" s="780"/>
      <c r="H13" s="780"/>
      <c r="I13" s="63"/>
      <c r="J13" s="781"/>
      <c r="K13" s="781"/>
      <c r="L13" s="781"/>
      <c r="M13" s="781"/>
      <c r="N13" s="781"/>
      <c r="O13" s="781"/>
      <c r="P13" s="63"/>
      <c r="Q13" s="781"/>
      <c r="R13" s="781"/>
      <c r="S13" s="781"/>
      <c r="T13" s="781"/>
      <c r="U13" s="781"/>
      <c r="V13" s="781"/>
      <c r="W13" s="63"/>
      <c r="X13" s="781"/>
      <c r="Y13" s="781"/>
      <c r="Z13" s="781"/>
      <c r="AA13" s="781"/>
      <c r="AB13" s="781"/>
      <c r="AC13" s="781"/>
      <c r="AD13" s="63"/>
      <c r="AE13" s="781"/>
      <c r="AF13" s="781"/>
      <c r="AG13" s="781"/>
      <c r="AH13" s="781"/>
      <c r="AI13" s="781"/>
      <c r="AJ13" s="781"/>
      <c r="AK13" s="63"/>
      <c r="AL13" s="781"/>
      <c r="AM13" s="781"/>
      <c r="AN13" s="781"/>
      <c r="AO13" s="781"/>
      <c r="AP13" s="781"/>
      <c r="AQ13" s="781"/>
      <c r="AR13" s="135"/>
    </row>
    <row r="14" spans="2:44" ht="15.95" customHeight="1" x14ac:dyDescent="0.25">
      <c r="B14" s="135"/>
      <c r="C14" s="780"/>
      <c r="D14" s="780"/>
      <c r="E14" s="780"/>
      <c r="F14" s="780"/>
      <c r="G14" s="780"/>
      <c r="H14" s="780"/>
      <c r="I14" s="63"/>
      <c r="J14" s="781"/>
      <c r="K14" s="781"/>
      <c r="L14" s="781"/>
      <c r="M14" s="781"/>
      <c r="N14" s="781"/>
      <c r="O14" s="781"/>
      <c r="P14" s="63"/>
      <c r="Q14" s="781"/>
      <c r="R14" s="781"/>
      <c r="S14" s="781"/>
      <c r="T14" s="781"/>
      <c r="U14" s="781"/>
      <c r="V14" s="781"/>
      <c r="W14" s="63"/>
      <c r="X14" s="781"/>
      <c r="Y14" s="781"/>
      <c r="Z14" s="781"/>
      <c r="AA14" s="781"/>
      <c r="AB14" s="781"/>
      <c r="AC14" s="781"/>
      <c r="AD14" s="63"/>
      <c r="AE14" s="781"/>
      <c r="AF14" s="781"/>
      <c r="AG14" s="781"/>
      <c r="AH14" s="781"/>
      <c r="AI14" s="781"/>
      <c r="AJ14" s="781"/>
      <c r="AK14" s="63"/>
      <c r="AL14" s="781"/>
      <c r="AM14" s="781"/>
      <c r="AN14" s="781"/>
      <c r="AO14" s="781"/>
      <c r="AP14" s="781"/>
      <c r="AQ14" s="781"/>
      <c r="AR14" s="135"/>
    </row>
    <row r="15" spans="2:44" ht="15.95" customHeight="1" x14ac:dyDescent="0.25">
      <c r="B15" s="135"/>
      <c r="C15" s="780"/>
      <c r="D15" s="780"/>
      <c r="E15" s="780"/>
      <c r="F15" s="780"/>
      <c r="G15" s="780"/>
      <c r="H15" s="780"/>
      <c r="I15" s="63"/>
      <c r="J15" s="781"/>
      <c r="K15" s="781"/>
      <c r="L15" s="781"/>
      <c r="M15" s="781"/>
      <c r="N15" s="781"/>
      <c r="O15" s="781"/>
      <c r="P15" s="63"/>
      <c r="Q15" s="781"/>
      <c r="R15" s="781"/>
      <c r="S15" s="781"/>
      <c r="T15" s="781"/>
      <c r="U15" s="781"/>
      <c r="V15" s="781"/>
      <c r="W15" s="63"/>
      <c r="X15" s="781"/>
      <c r="Y15" s="781"/>
      <c r="Z15" s="781"/>
      <c r="AA15" s="781"/>
      <c r="AB15" s="781"/>
      <c r="AC15" s="781"/>
      <c r="AD15" s="63"/>
      <c r="AE15" s="781"/>
      <c r="AF15" s="781"/>
      <c r="AG15" s="781"/>
      <c r="AH15" s="781"/>
      <c r="AI15" s="781"/>
      <c r="AJ15" s="781"/>
      <c r="AK15" s="63"/>
      <c r="AL15" s="781"/>
      <c r="AM15" s="781"/>
      <c r="AN15" s="781"/>
      <c r="AO15" s="781"/>
      <c r="AP15" s="781"/>
      <c r="AQ15" s="781"/>
      <c r="AR15" s="135"/>
    </row>
    <row r="16" spans="2:44" ht="15.95" customHeight="1" x14ac:dyDescent="0.25">
      <c r="B16" s="135"/>
      <c r="C16" s="780"/>
      <c r="D16" s="780"/>
      <c r="E16" s="780"/>
      <c r="F16" s="780"/>
      <c r="G16" s="780"/>
      <c r="H16" s="780"/>
      <c r="I16" s="63"/>
      <c r="J16" s="781"/>
      <c r="K16" s="781"/>
      <c r="L16" s="781"/>
      <c r="M16" s="781"/>
      <c r="N16" s="781"/>
      <c r="O16" s="781"/>
      <c r="P16" s="63"/>
      <c r="Q16" s="781"/>
      <c r="R16" s="781"/>
      <c r="S16" s="781"/>
      <c r="T16" s="781"/>
      <c r="U16" s="781"/>
      <c r="V16" s="781"/>
      <c r="W16" s="63"/>
      <c r="X16" s="781"/>
      <c r="Y16" s="781"/>
      <c r="Z16" s="781"/>
      <c r="AA16" s="781"/>
      <c r="AB16" s="781"/>
      <c r="AC16" s="781"/>
      <c r="AD16" s="63"/>
      <c r="AE16" s="781"/>
      <c r="AF16" s="781"/>
      <c r="AG16" s="781"/>
      <c r="AH16" s="781"/>
      <c r="AI16" s="781"/>
      <c r="AJ16" s="781"/>
      <c r="AK16" s="63"/>
      <c r="AL16" s="781"/>
      <c r="AM16" s="781"/>
      <c r="AN16" s="781"/>
      <c r="AO16" s="781"/>
      <c r="AP16" s="781"/>
      <c r="AQ16" s="781"/>
      <c r="AR16" s="135"/>
    </row>
    <row r="17" spans="2:44" s="63" customFormat="1" ht="15.95" customHeight="1" x14ac:dyDescent="0.25">
      <c r="B17" s="135"/>
      <c r="C17" s="780"/>
      <c r="D17" s="780"/>
      <c r="E17" s="780"/>
      <c r="F17" s="780"/>
      <c r="G17" s="780"/>
      <c r="H17" s="780"/>
      <c r="J17" s="781"/>
      <c r="K17" s="781"/>
      <c r="L17" s="781"/>
      <c r="M17" s="781"/>
      <c r="N17" s="781"/>
      <c r="O17" s="781"/>
      <c r="Q17" s="781"/>
      <c r="R17" s="781"/>
      <c r="S17" s="781"/>
      <c r="T17" s="781"/>
      <c r="U17" s="781"/>
      <c r="V17" s="781"/>
      <c r="X17" s="781"/>
      <c r="Y17" s="781"/>
      <c r="Z17" s="781"/>
      <c r="AA17" s="781"/>
      <c r="AB17" s="781"/>
      <c r="AC17" s="781"/>
      <c r="AE17" s="781"/>
      <c r="AF17" s="781"/>
      <c r="AG17" s="781"/>
      <c r="AH17" s="781"/>
      <c r="AI17" s="781"/>
      <c r="AJ17" s="781"/>
      <c r="AL17" s="781"/>
      <c r="AM17" s="781"/>
      <c r="AN17" s="781"/>
      <c r="AO17" s="781"/>
      <c r="AP17" s="781"/>
      <c r="AQ17" s="781"/>
      <c r="AR17" s="135"/>
    </row>
    <row r="18" spans="2:44" ht="15.95" customHeight="1" x14ac:dyDescent="0.25">
      <c r="B18" s="135"/>
      <c r="C18" s="780"/>
      <c r="D18" s="780"/>
      <c r="E18" s="780"/>
      <c r="F18" s="780"/>
      <c r="G18" s="780"/>
      <c r="H18" s="780"/>
      <c r="I18" s="63"/>
      <c r="J18" s="781"/>
      <c r="K18" s="781"/>
      <c r="L18" s="781"/>
      <c r="M18" s="781"/>
      <c r="N18" s="781"/>
      <c r="O18" s="781"/>
      <c r="P18" s="63"/>
      <c r="Q18" s="781"/>
      <c r="R18" s="781"/>
      <c r="S18" s="781"/>
      <c r="T18" s="781"/>
      <c r="U18" s="781"/>
      <c r="V18" s="781"/>
      <c r="W18" s="63"/>
      <c r="X18" s="781"/>
      <c r="Y18" s="781"/>
      <c r="Z18" s="781"/>
      <c r="AA18" s="781"/>
      <c r="AB18" s="781"/>
      <c r="AC18" s="781"/>
      <c r="AD18" s="63"/>
      <c r="AE18" s="781"/>
      <c r="AF18" s="781"/>
      <c r="AG18" s="781"/>
      <c r="AH18" s="781"/>
      <c r="AI18" s="781"/>
      <c r="AJ18" s="781"/>
      <c r="AK18" s="63"/>
      <c r="AL18" s="781"/>
      <c r="AM18" s="781"/>
      <c r="AN18" s="781"/>
      <c r="AO18" s="781"/>
      <c r="AP18" s="781"/>
      <c r="AQ18" s="781"/>
      <c r="AR18" s="135"/>
    </row>
    <row r="19" spans="2:44" ht="15.95" customHeight="1" x14ac:dyDescent="0.25">
      <c r="B19" s="135"/>
      <c r="C19" s="780"/>
      <c r="D19" s="780"/>
      <c r="E19" s="780"/>
      <c r="F19" s="780"/>
      <c r="G19" s="780"/>
      <c r="H19" s="780"/>
      <c r="I19" s="63"/>
      <c r="J19" s="781"/>
      <c r="K19" s="781"/>
      <c r="L19" s="781"/>
      <c r="M19" s="781"/>
      <c r="N19" s="781"/>
      <c r="O19" s="781"/>
      <c r="P19" s="63"/>
      <c r="Q19" s="781"/>
      <c r="R19" s="781"/>
      <c r="S19" s="781"/>
      <c r="T19" s="781"/>
      <c r="U19" s="781"/>
      <c r="V19" s="781"/>
      <c r="W19" s="63"/>
      <c r="X19" s="781"/>
      <c r="Y19" s="781"/>
      <c r="Z19" s="781"/>
      <c r="AA19" s="781"/>
      <c r="AB19" s="781"/>
      <c r="AC19" s="781"/>
      <c r="AD19" s="63"/>
      <c r="AE19" s="781"/>
      <c r="AF19" s="781"/>
      <c r="AG19" s="781"/>
      <c r="AH19" s="781"/>
      <c r="AI19" s="781"/>
      <c r="AJ19" s="781"/>
      <c r="AK19" s="63"/>
      <c r="AL19" s="781"/>
      <c r="AM19" s="781"/>
      <c r="AN19" s="781"/>
      <c r="AO19" s="781"/>
      <c r="AP19" s="781"/>
      <c r="AQ19" s="781"/>
      <c r="AR19" s="135"/>
    </row>
    <row r="20" spans="2:44" ht="15.95" customHeight="1" x14ac:dyDescent="0.25">
      <c r="B20" s="135"/>
      <c r="C20" s="780"/>
      <c r="D20" s="780"/>
      <c r="E20" s="780"/>
      <c r="F20" s="780"/>
      <c r="G20" s="780"/>
      <c r="H20" s="780"/>
      <c r="I20" s="63"/>
      <c r="J20" s="781"/>
      <c r="K20" s="781"/>
      <c r="L20" s="781"/>
      <c r="M20" s="781"/>
      <c r="N20" s="781"/>
      <c r="O20" s="781"/>
      <c r="P20" s="63"/>
      <c r="Q20" s="781"/>
      <c r="R20" s="781"/>
      <c r="S20" s="781"/>
      <c r="T20" s="781"/>
      <c r="U20" s="781"/>
      <c r="V20" s="781"/>
      <c r="W20" s="63"/>
      <c r="X20" s="781"/>
      <c r="Y20" s="781"/>
      <c r="Z20" s="781"/>
      <c r="AA20" s="781"/>
      <c r="AB20" s="781"/>
      <c r="AC20" s="781"/>
      <c r="AD20" s="63"/>
      <c r="AE20" s="781"/>
      <c r="AF20" s="781"/>
      <c r="AG20" s="781"/>
      <c r="AH20" s="781"/>
      <c r="AI20" s="781"/>
      <c r="AJ20" s="781"/>
      <c r="AK20" s="63"/>
      <c r="AL20" s="781"/>
      <c r="AM20" s="781"/>
      <c r="AN20" s="781"/>
      <c r="AO20" s="781"/>
      <c r="AP20" s="781"/>
      <c r="AQ20" s="781"/>
      <c r="AR20" s="135"/>
    </row>
    <row r="21" spans="2:44" ht="15.95" customHeight="1" x14ac:dyDescent="0.25">
      <c r="B21" s="135"/>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135"/>
    </row>
    <row r="22" spans="2:44" ht="15.95" customHeight="1" x14ac:dyDescent="0.25">
      <c r="B22" s="135"/>
      <c r="C22" s="63"/>
      <c r="D22" s="63"/>
      <c r="E22" s="63"/>
      <c r="F22" s="780"/>
      <c r="G22" s="780"/>
      <c r="H22" s="780"/>
      <c r="I22" s="780"/>
      <c r="J22" s="780"/>
      <c r="K22" s="780"/>
      <c r="L22" s="780"/>
      <c r="M22" s="780"/>
      <c r="N22" s="780"/>
      <c r="O22" s="780"/>
      <c r="P22" s="780"/>
      <c r="Q22" s="780"/>
      <c r="R22" s="780"/>
      <c r="S22" s="780"/>
      <c r="T22" s="780"/>
      <c r="U22" s="780"/>
      <c r="V22" s="780"/>
      <c r="W22" s="780"/>
      <c r="X22" s="780"/>
      <c r="Y22" s="780"/>
      <c r="Z22" s="780"/>
      <c r="AA22" s="780"/>
      <c r="AB22" s="780"/>
      <c r="AC22" s="780"/>
      <c r="AD22" s="780"/>
      <c r="AE22" s="780"/>
      <c r="AF22" s="780"/>
      <c r="AG22" s="780"/>
      <c r="AH22" s="780"/>
      <c r="AI22" s="780"/>
      <c r="AJ22" s="780"/>
      <c r="AK22" s="780"/>
      <c r="AL22" s="780"/>
      <c r="AM22" s="780"/>
      <c r="AN22" s="780"/>
      <c r="AO22" s="63"/>
      <c r="AP22" s="63"/>
      <c r="AQ22" s="63"/>
      <c r="AR22" s="135"/>
    </row>
    <row r="23" spans="2:44" ht="15.95" customHeight="1" x14ac:dyDescent="0.3">
      <c r="B23" s="135"/>
      <c r="C23" s="63"/>
      <c r="D23" s="63"/>
      <c r="E23" s="63"/>
      <c r="F23" s="782"/>
      <c r="G23" s="782"/>
      <c r="H23" s="782"/>
      <c r="I23" s="782"/>
      <c r="J23" s="782"/>
      <c r="K23" s="782"/>
      <c r="L23" s="782"/>
      <c r="M23" s="782"/>
      <c r="N23" s="782"/>
      <c r="O23" s="782"/>
      <c r="P23" s="782"/>
      <c r="Q23" s="782"/>
      <c r="R23" s="782"/>
      <c r="S23" s="782"/>
      <c r="T23" s="782"/>
      <c r="U23" s="782"/>
      <c r="V23" s="782"/>
      <c r="W23" s="782"/>
      <c r="X23" s="782"/>
      <c r="Y23" s="782"/>
      <c r="Z23" s="782"/>
      <c r="AA23" s="782"/>
      <c r="AB23" s="782"/>
      <c r="AC23" s="782"/>
      <c r="AD23" s="782"/>
      <c r="AE23" s="782"/>
      <c r="AF23" s="782"/>
      <c r="AG23" s="782"/>
      <c r="AH23" s="782"/>
      <c r="AI23" s="782"/>
      <c r="AJ23" s="782"/>
      <c r="AK23" s="782"/>
      <c r="AL23" s="782"/>
      <c r="AM23" s="782"/>
      <c r="AN23" s="782"/>
      <c r="AO23" s="63"/>
      <c r="AP23" s="63"/>
      <c r="AQ23" s="63"/>
      <c r="AR23" s="135"/>
    </row>
    <row r="24" spans="2:44" ht="15.95" customHeight="1" x14ac:dyDescent="0.25">
      <c r="B24" s="135"/>
      <c r="C24" s="63"/>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135"/>
    </row>
    <row r="25" spans="2:44" ht="15.95" customHeight="1" x14ac:dyDescent="0.25">
      <c r="B25" s="135"/>
      <c r="C25" s="781"/>
      <c r="D25" s="781"/>
      <c r="E25" s="781"/>
      <c r="F25" s="781"/>
      <c r="G25" s="781"/>
      <c r="H25" s="781"/>
      <c r="I25" s="63"/>
      <c r="J25" s="781"/>
      <c r="K25" s="781"/>
      <c r="L25" s="781"/>
      <c r="M25" s="781"/>
      <c r="N25" s="781"/>
      <c r="O25" s="781"/>
      <c r="P25" s="63"/>
      <c r="Q25" s="781"/>
      <c r="R25" s="781"/>
      <c r="S25" s="781"/>
      <c r="T25" s="781"/>
      <c r="U25" s="781"/>
      <c r="V25" s="781"/>
      <c r="W25" s="63"/>
      <c r="X25" s="781"/>
      <c r="Y25" s="781"/>
      <c r="Z25" s="781"/>
      <c r="AA25" s="781"/>
      <c r="AB25" s="781"/>
      <c r="AC25" s="781"/>
      <c r="AD25" s="63"/>
      <c r="AE25" s="781"/>
      <c r="AF25" s="781"/>
      <c r="AG25" s="781"/>
      <c r="AH25" s="781"/>
      <c r="AI25" s="781"/>
      <c r="AJ25" s="781"/>
      <c r="AK25" s="63"/>
      <c r="AL25" s="781"/>
      <c r="AM25" s="781"/>
      <c r="AN25" s="781"/>
      <c r="AO25" s="781"/>
      <c r="AP25" s="781"/>
      <c r="AQ25" s="781"/>
      <c r="AR25" s="135"/>
    </row>
    <row r="26" spans="2:44" ht="15.95" customHeight="1" x14ac:dyDescent="0.25">
      <c r="B26" s="135"/>
      <c r="C26" s="781"/>
      <c r="D26" s="781"/>
      <c r="E26" s="781"/>
      <c r="F26" s="781"/>
      <c r="G26" s="781"/>
      <c r="H26" s="781"/>
      <c r="I26" s="63"/>
      <c r="J26" s="781"/>
      <c r="K26" s="781"/>
      <c r="L26" s="781"/>
      <c r="M26" s="781"/>
      <c r="N26" s="781"/>
      <c r="O26" s="781"/>
      <c r="P26" s="63"/>
      <c r="Q26" s="781"/>
      <c r="R26" s="781"/>
      <c r="S26" s="781"/>
      <c r="T26" s="781"/>
      <c r="U26" s="781"/>
      <c r="V26" s="781"/>
      <c r="W26" s="63"/>
      <c r="X26" s="781"/>
      <c r="Y26" s="781"/>
      <c r="Z26" s="781"/>
      <c r="AA26" s="781"/>
      <c r="AB26" s="781"/>
      <c r="AC26" s="781"/>
      <c r="AD26" s="63"/>
      <c r="AE26" s="781"/>
      <c r="AF26" s="781"/>
      <c r="AG26" s="781"/>
      <c r="AH26" s="781"/>
      <c r="AI26" s="781"/>
      <c r="AJ26" s="781"/>
      <c r="AK26" s="63"/>
      <c r="AL26" s="781"/>
      <c r="AM26" s="781"/>
      <c r="AN26" s="781"/>
      <c r="AO26" s="781"/>
      <c r="AP26" s="781"/>
      <c r="AQ26" s="781"/>
      <c r="AR26" s="135"/>
    </row>
    <row r="27" spans="2:44" ht="15.95" customHeight="1" x14ac:dyDescent="0.25">
      <c r="B27" s="135"/>
      <c r="C27" s="781"/>
      <c r="D27" s="781"/>
      <c r="E27" s="781"/>
      <c r="F27" s="781"/>
      <c r="G27" s="781"/>
      <c r="H27" s="781"/>
      <c r="I27" s="63"/>
      <c r="J27" s="781"/>
      <c r="K27" s="781"/>
      <c r="L27" s="781"/>
      <c r="M27" s="781"/>
      <c r="N27" s="781"/>
      <c r="O27" s="781"/>
      <c r="P27" s="63"/>
      <c r="Q27" s="781"/>
      <c r="R27" s="781"/>
      <c r="S27" s="781"/>
      <c r="T27" s="781"/>
      <c r="U27" s="781"/>
      <c r="V27" s="781"/>
      <c r="W27" s="63"/>
      <c r="X27" s="781"/>
      <c r="Y27" s="781"/>
      <c r="Z27" s="781"/>
      <c r="AA27" s="781"/>
      <c r="AB27" s="781"/>
      <c r="AC27" s="781"/>
      <c r="AD27" s="63"/>
      <c r="AE27" s="781"/>
      <c r="AF27" s="781"/>
      <c r="AG27" s="781"/>
      <c r="AH27" s="781"/>
      <c r="AI27" s="781"/>
      <c r="AJ27" s="781"/>
      <c r="AK27" s="63"/>
      <c r="AL27" s="781"/>
      <c r="AM27" s="781"/>
      <c r="AN27" s="781"/>
      <c r="AO27" s="781"/>
      <c r="AP27" s="781"/>
      <c r="AQ27" s="781"/>
      <c r="AR27" s="135"/>
    </row>
    <row r="28" spans="2:44" ht="15.95" customHeight="1" x14ac:dyDescent="0.25">
      <c r="B28" s="135"/>
      <c r="C28" s="781"/>
      <c r="D28" s="781"/>
      <c r="E28" s="781"/>
      <c r="F28" s="781"/>
      <c r="G28" s="781"/>
      <c r="H28" s="781"/>
      <c r="I28" s="63"/>
      <c r="J28" s="781"/>
      <c r="K28" s="781"/>
      <c r="L28" s="781"/>
      <c r="M28" s="781"/>
      <c r="N28" s="781"/>
      <c r="O28" s="781"/>
      <c r="P28" s="63"/>
      <c r="Q28" s="781"/>
      <c r="R28" s="781"/>
      <c r="S28" s="781"/>
      <c r="T28" s="781"/>
      <c r="U28" s="781"/>
      <c r="V28" s="781"/>
      <c r="W28" s="63"/>
      <c r="X28" s="781"/>
      <c r="Y28" s="781"/>
      <c r="Z28" s="781"/>
      <c r="AA28" s="781"/>
      <c r="AB28" s="781"/>
      <c r="AC28" s="781"/>
      <c r="AD28" s="63"/>
      <c r="AE28" s="781"/>
      <c r="AF28" s="781"/>
      <c r="AG28" s="781"/>
      <c r="AH28" s="781"/>
      <c r="AI28" s="781"/>
      <c r="AJ28" s="781"/>
      <c r="AK28" s="63"/>
      <c r="AL28" s="781"/>
      <c r="AM28" s="781"/>
      <c r="AN28" s="781"/>
      <c r="AO28" s="781"/>
      <c r="AP28" s="781"/>
      <c r="AQ28" s="781"/>
      <c r="AR28" s="135"/>
    </row>
    <row r="29" spans="2:44" ht="15.95" customHeight="1" x14ac:dyDescent="0.25">
      <c r="B29" s="135"/>
      <c r="C29" s="781"/>
      <c r="D29" s="781"/>
      <c r="E29" s="781"/>
      <c r="F29" s="781"/>
      <c r="G29" s="781"/>
      <c r="H29" s="781"/>
      <c r="I29" s="63"/>
      <c r="J29" s="781"/>
      <c r="K29" s="781"/>
      <c r="L29" s="781"/>
      <c r="M29" s="781"/>
      <c r="N29" s="781"/>
      <c r="O29" s="781"/>
      <c r="P29" s="63"/>
      <c r="Q29" s="781"/>
      <c r="R29" s="781"/>
      <c r="S29" s="781"/>
      <c r="T29" s="781"/>
      <c r="U29" s="781"/>
      <c r="V29" s="781"/>
      <c r="W29" s="63"/>
      <c r="X29" s="781"/>
      <c r="Y29" s="781"/>
      <c r="Z29" s="781"/>
      <c r="AA29" s="781"/>
      <c r="AB29" s="781"/>
      <c r="AC29" s="781"/>
      <c r="AD29" s="63"/>
      <c r="AE29" s="781"/>
      <c r="AF29" s="781"/>
      <c r="AG29" s="781"/>
      <c r="AH29" s="781"/>
      <c r="AI29" s="781"/>
      <c r="AJ29" s="781"/>
      <c r="AK29" s="63"/>
      <c r="AL29" s="781"/>
      <c r="AM29" s="781"/>
      <c r="AN29" s="781"/>
      <c r="AO29" s="781"/>
      <c r="AP29" s="781"/>
      <c r="AQ29" s="781"/>
      <c r="AR29" s="135"/>
    </row>
    <row r="30" spans="2:44" ht="15.95" customHeight="1" x14ac:dyDescent="0.25">
      <c r="B30" s="135"/>
      <c r="C30" s="781"/>
      <c r="D30" s="781"/>
      <c r="E30" s="781"/>
      <c r="F30" s="781"/>
      <c r="G30" s="781"/>
      <c r="H30" s="781"/>
      <c r="I30" s="63"/>
      <c r="J30" s="781"/>
      <c r="K30" s="781"/>
      <c r="L30" s="781"/>
      <c r="M30" s="781"/>
      <c r="N30" s="781"/>
      <c r="O30" s="781"/>
      <c r="P30" s="63"/>
      <c r="Q30" s="781"/>
      <c r="R30" s="781"/>
      <c r="S30" s="781"/>
      <c r="T30" s="781"/>
      <c r="U30" s="781"/>
      <c r="V30" s="781"/>
      <c r="W30" s="63"/>
      <c r="X30" s="781"/>
      <c r="Y30" s="781"/>
      <c r="Z30" s="781"/>
      <c r="AA30" s="781"/>
      <c r="AB30" s="781"/>
      <c r="AC30" s="781"/>
      <c r="AD30" s="63"/>
      <c r="AE30" s="781"/>
      <c r="AF30" s="781"/>
      <c r="AG30" s="781"/>
      <c r="AH30" s="781"/>
      <c r="AI30" s="781"/>
      <c r="AJ30" s="781"/>
      <c r="AK30" s="63"/>
      <c r="AL30" s="781"/>
      <c r="AM30" s="781"/>
      <c r="AN30" s="781"/>
      <c r="AO30" s="781"/>
      <c r="AP30" s="781"/>
      <c r="AQ30" s="781"/>
      <c r="AR30" s="135"/>
    </row>
    <row r="31" spans="2:44" ht="15.95" customHeight="1" x14ac:dyDescent="0.25">
      <c r="B31" s="135"/>
      <c r="C31" s="781"/>
      <c r="D31" s="781"/>
      <c r="E31" s="781"/>
      <c r="F31" s="781"/>
      <c r="G31" s="781"/>
      <c r="H31" s="781"/>
      <c r="I31" s="63"/>
      <c r="J31" s="781"/>
      <c r="K31" s="781"/>
      <c r="L31" s="781"/>
      <c r="M31" s="781"/>
      <c r="N31" s="781"/>
      <c r="O31" s="781"/>
      <c r="P31" s="63"/>
      <c r="Q31" s="781"/>
      <c r="R31" s="781"/>
      <c r="S31" s="781"/>
      <c r="T31" s="781"/>
      <c r="U31" s="781"/>
      <c r="V31" s="781"/>
      <c r="W31" s="63"/>
      <c r="X31" s="781"/>
      <c r="Y31" s="781"/>
      <c r="Z31" s="781"/>
      <c r="AA31" s="781"/>
      <c r="AB31" s="781"/>
      <c r="AC31" s="781"/>
      <c r="AD31" s="63"/>
      <c r="AE31" s="781"/>
      <c r="AF31" s="781"/>
      <c r="AG31" s="781"/>
      <c r="AH31" s="781"/>
      <c r="AI31" s="781"/>
      <c r="AJ31" s="781"/>
      <c r="AK31" s="63"/>
      <c r="AL31" s="781"/>
      <c r="AM31" s="781"/>
      <c r="AN31" s="781"/>
      <c r="AO31" s="781"/>
      <c r="AP31" s="781"/>
      <c r="AQ31" s="781"/>
      <c r="AR31" s="135"/>
    </row>
    <row r="32" spans="2:44" ht="15.95" customHeight="1" x14ac:dyDescent="0.25">
      <c r="B32" s="135"/>
      <c r="C32" s="781"/>
      <c r="D32" s="781"/>
      <c r="E32" s="781"/>
      <c r="F32" s="781"/>
      <c r="G32" s="781"/>
      <c r="H32" s="781"/>
      <c r="I32" s="63"/>
      <c r="J32" s="781"/>
      <c r="K32" s="781"/>
      <c r="L32" s="781"/>
      <c r="M32" s="781"/>
      <c r="N32" s="781"/>
      <c r="O32" s="781"/>
      <c r="P32" s="63"/>
      <c r="Q32" s="781"/>
      <c r="R32" s="781"/>
      <c r="S32" s="781"/>
      <c r="T32" s="781"/>
      <c r="U32" s="781"/>
      <c r="V32" s="781"/>
      <c r="W32" s="63"/>
      <c r="X32" s="781"/>
      <c r="Y32" s="781"/>
      <c r="Z32" s="781"/>
      <c r="AA32" s="781"/>
      <c r="AB32" s="781"/>
      <c r="AC32" s="781"/>
      <c r="AD32" s="63"/>
      <c r="AE32" s="781"/>
      <c r="AF32" s="781"/>
      <c r="AG32" s="781"/>
      <c r="AH32" s="781"/>
      <c r="AI32" s="781"/>
      <c r="AJ32" s="781"/>
      <c r="AK32" s="63"/>
      <c r="AL32" s="781"/>
      <c r="AM32" s="781"/>
      <c r="AN32" s="781"/>
      <c r="AO32" s="781"/>
      <c r="AP32" s="781"/>
      <c r="AQ32" s="781"/>
      <c r="AR32" s="135"/>
    </row>
    <row r="33" spans="2:44" ht="15.95" customHeight="1" x14ac:dyDescent="0.25">
      <c r="B33" s="135"/>
      <c r="C33" s="63"/>
      <c r="D33" s="63"/>
      <c r="E33" s="63"/>
      <c r="F33" s="63"/>
      <c r="G33" s="63"/>
      <c r="H33" s="63"/>
      <c r="I33" s="63"/>
      <c r="J33" s="63"/>
      <c r="K33" s="63"/>
      <c r="L33" s="63"/>
      <c r="M33" s="63"/>
      <c r="N33" s="63"/>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135"/>
    </row>
    <row r="34" spans="2:44" ht="15.95" customHeight="1" x14ac:dyDescent="0.25">
      <c r="B34" s="135"/>
      <c r="C34" s="63"/>
      <c r="D34" s="63"/>
      <c r="E34" s="63"/>
      <c r="F34" s="780"/>
      <c r="G34" s="780"/>
      <c r="H34" s="780"/>
      <c r="I34" s="780"/>
      <c r="J34" s="780"/>
      <c r="K34" s="780"/>
      <c r="L34" s="780"/>
      <c r="M34" s="780"/>
      <c r="N34" s="780"/>
      <c r="O34" s="780"/>
      <c r="P34" s="780"/>
      <c r="Q34" s="780"/>
      <c r="R34" s="780"/>
      <c r="S34" s="780"/>
      <c r="T34" s="780"/>
      <c r="U34" s="780"/>
      <c r="V34" s="780"/>
      <c r="W34" s="780"/>
      <c r="X34" s="780"/>
      <c r="Y34" s="780"/>
      <c r="Z34" s="780"/>
      <c r="AA34" s="780"/>
      <c r="AB34" s="780"/>
      <c r="AC34" s="780"/>
      <c r="AD34" s="780"/>
      <c r="AE34" s="780"/>
      <c r="AF34" s="780"/>
      <c r="AG34" s="780"/>
      <c r="AH34" s="780"/>
      <c r="AI34" s="780"/>
      <c r="AJ34" s="780"/>
      <c r="AK34" s="780"/>
      <c r="AL34" s="780"/>
      <c r="AM34" s="780"/>
      <c r="AN34" s="780"/>
      <c r="AO34" s="63"/>
      <c r="AP34" s="63"/>
      <c r="AQ34" s="63"/>
      <c r="AR34" s="135"/>
    </row>
    <row r="35" spans="2:44" ht="15.95" customHeight="1" x14ac:dyDescent="0.25">
      <c r="B35" s="135"/>
      <c r="C35" s="63"/>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135"/>
    </row>
    <row r="36" spans="2:44" ht="15.95" hidden="1" customHeight="1" x14ac:dyDescent="0.25">
      <c r="B36" s="135"/>
      <c r="AR36" s="135"/>
    </row>
    <row r="37" spans="2:44" ht="15.95" hidden="1" customHeight="1" x14ac:dyDescent="0.25">
      <c r="B37" s="135"/>
      <c r="AR37" s="135"/>
    </row>
    <row r="38" spans="2:44" ht="15.95" hidden="1" customHeight="1" x14ac:dyDescent="0.25">
      <c r="B38" s="135"/>
      <c r="AR38" s="135"/>
    </row>
    <row r="39" spans="2:44" ht="15.95" hidden="1" customHeight="1" x14ac:dyDescent="0.25">
      <c r="B39" s="135"/>
      <c r="AR39" s="135"/>
    </row>
    <row r="40" spans="2:44" ht="15.95" hidden="1" customHeight="1" x14ac:dyDescent="0.25">
      <c r="B40" s="135"/>
      <c r="AR40" s="135"/>
    </row>
    <row r="41" spans="2:44" ht="15.95" hidden="1" customHeight="1" x14ac:dyDescent="0.25">
      <c r="B41" s="135"/>
      <c r="AR41" s="135"/>
    </row>
    <row r="42" spans="2:44" ht="15.95" hidden="1" customHeight="1" x14ac:dyDescent="0.25">
      <c r="B42" s="135"/>
      <c r="AR42" s="135"/>
    </row>
    <row r="43" spans="2:44" ht="15.95" hidden="1" customHeight="1" x14ac:dyDescent="0.25">
      <c r="B43" s="135"/>
      <c r="AR43" s="135"/>
    </row>
    <row r="44" spans="2:44" ht="15.95" hidden="1" customHeight="1" x14ac:dyDescent="0.25">
      <c r="B44" s="135"/>
      <c r="AR44" s="135"/>
    </row>
    <row r="45" spans="2:44" ht="15.95" hidden="1" customHeight="1" x14ac:dyDescent="0.25">
      <c r="B45" s="135"/>
      <c r="AR45" s="135"/>
    </row>
    <row r="46" spans="2:44" ht="15.95" hidden="1" customHeight="1" x14ac:dyDescent="0.25">
      <c r="B46" s="135"/>
      <c r="AR46" s="135"/>
    </row>
    <row r="47" spans="2:44" ht="15.95" hidden="1" customHeight="1" x14ac:dyDescent="0.25">
      <c r="B47" s="135"/>
      <c r="AR47" s="135"/>
    </row>
    <row r="48" spans="2:44" ht="15.95" hidden="1" customHeight="1" x14ac:dyDescent="0.25">
      <c r="B48" s="135"/>
      <c r="AR48" s="135"/>
    </row>
    <row r="49" spans="2:44" ht="15.95" hidden="1" customHeight="1" x14ac:dyDescent="0.25">
      <c r="B49" s="135"/>
      <c r="AR49" s="135"/>
    </row>
    <row r="50" spans="2:44" ht="15.95" hidden="1" customHeight="1" x14ac:dyDescent="0.25">
      <c r="B50" s="135"/>
      <c r="AR50" s="135"/>
    </row>
    <row r="51" spans="2:44" ht="15.95" hidden="1" customHeight="1" x14ac:dyDescent="0.25">
      <c r="B51" s="135"/>
      <c r="AR51" s="135"/>
    </row>
    <row r="52" spans="2:44" ht="15.95" hidden="1" customHeight="1" x14ac:dyDescent="0.25">
      <c r="B52" s="135"/>
      <c r="AR52" s="135"/>
    </row>
    <row r="53" spans="2:44" ht="15.95" hidden="1" customHeight="1" x14ac:dyDescent="0.25">
      <c r="B53" s="135"/>
      <c r="AR53" s="135"/>
    </row>
    <row r="54" spans="2:44" ht="15.95" hidden="1" customHeight="1" x14ac:dyDescent="0.25">
      <c r="B54" s="135"/>
      <c r="AR54" s="135"/>
    </row>
    <row r="55" spans="2:44" ht="15.95" hidden="1" customHeight="1" x14ac:dyDescent="0.25">
      <c r="B55" s="135"/>
      <c r="AR55" s="135"/>
    </row>
    <row r="56" spans="2:44" ht="15.95" hidden="1" customHeight="1" x14ac:dyDescent="0.25">
      <c r="B56" s="135"/>
      <c r="AR56" s="135"/>
    </row>
    <row r="57" spans="2:44" ht="15.95" hidden="1" customHeight="1" x14ac:dyDescent="0.25">
      <c r="B57" s="135"/>
      <c r="AR57" s="135"/>
    </row>
    <row r="58" spans="2:44" ht="15.95" hidden="1" customHeight="1" x14ac:dyDescent="0.25">
      <c r="B58" s="135"/>
      <c r="AR58" s="135"/>
    </row>
    <row r="59" spans="2:44" ht="15.95" hidden="1" customHeight="1" x14ac:dyDescent="0.25">
      <c r="B59" s="135"/>
      <c r="AR59" s="135"/>
    </row>
    <row r="60" spans="2:44" ht="15.95" hidden="1" customHeight="1" x14ac:dyDescent="0.25">
      <c r="B60" s="135"/>
      <c r="AR60" s="135"/>
    </row>
    <row r="61" spans="2:44" ht="15.95" hidden="1" customHeight="1" x14ac:dyDescent="0.25">
      <c r="B61" s="135"/>
      <c r="AR61" s="135"/>
    </row>
    <row r="62" spans="2:44" ht="15.95" hidden="1" customHeight="1" x14ac:dyDescent="0.25">
      <c r="B62" s="135"/>
      <c r="AR62" s="135"/>
    </row>
    <row r="63" spans="2:44" ht="15.95" hidden="1" customHeight="1" x14ac:dyDescent="0.25">
      <c r="B63" s="135"/>
      <c r="AR63" s="135"/>
    </row>
    <row r="64" spans="2:44" ht="15.95" hidden="1" customHeight="1" x14ac:dyDescent="0.25">
      <c r="B64" s="135"/>
      <c r="AR64" s="135"/>
    </row>
    <row r="65" spans="2:44" ht="15.95" hidden="1" customHeight="1" x14ac:dyDescent="0.25">
      <c r="B65" s="135"/>
      <c r="AR65" s="135"/>
    </row>
    <row r="66" spans="2:44" ht="15.95" hidden="1" customHeight="1" x14ac:dyDescent="0.25">
      <c r="B66" s="135"/>
      <c r="AR66" s="135"/>
    </row>
    <row r="67" spans="2:44" ht="15.95" hidden="1" customHeight="1" x14ac:dyDescent="0.25">
      <c r="B67" s="135"/>
      <c r="AR67" s="135"/>
    </row>
    <row r="68" spans="2:44" ht="15.95" hidden="1" customHeight="1" x14ac:dyDescent="0.25">
      <c r="B68" s="135"/>
      <c r="AR68" s="135"/>
    </row>
    <row r="69" spans="2:44" ht="15.95" hidden="1" customHeight="1" x14ac:dyDescent="0.25">
      <c r="B69" s="135"/>
      <c r="AR69" s="135"/>
    </row>
    <row r="70" spans="2:44" ht="15.95" hidden="1" customHeight="1" x14ac:dyDescent="0.25">
      <c r="B70" s="135"/>
      <c r="AR70" s="135"/>
    </row>
    <row r="71" spans="2:44" ht="15.95" hidden="1" customHeight="1" x14ac:dyDescent="0.25">
      <c r="B71" s="135"/>
      <c r="AR71" s="135"/>
    </row>
    <row r="72" spans="2:44" ht="15.95" hidden="1" customHeight="1" x14ac:dyDescent="0.25">
      <c r="B72" s="135"/>
      <c r="AR72" s="135"/>
    </row>
    <row r="73" spans="2:44" ht="15.95" hidden="1" customHeight="1" x14ac:dyDescent="0.25">
      <c r="B73" s="135"/>
      <c r="AR73" s="135"/>
    </row>
    <row r="74" spans="2:44" ht="15.95" hidden="1" customHeight="1" x14ac:dyDescent="0.25">
      <c r="B74" s="135"/>
      <c r="AR74" s="135"/>
    </row>
    <row r="75" spans="2:44" ht="15.95" hidden="1" customHeight="1" x14ac:dyDescent="0.25">
      <c r="B75" s="135"/>
      <c r="AR75" s="135"/>
    </row>
    <row r="76" spans="2:44" ht="15.95" hidden="1" customHeight="1" x14ac:dyDescent="0.25">
      <c r="B76" s="135"/>
      <c r="AR76" s="135"/>
    </row>
    <row r="77" spans="2:44" ht="15.95" hidden="1" customHeight="1" x14ac:dyDescent="0.25">
      <c r="B77" s="135"/>
      <c r="AR77" s="135"/>
    </row>
    <row r="78" spans="2:44" ht="15.95" hidden="1" customHeight="1" x14ac:dyDescent="0.25">
      <c r="B78" s="135"/>
      <c r="AR78" s="135"/>
    </row>
    <row r="79" spans="2:44" ht="15.95" hidden="1" customHeight="1" x14ac:dyDescent="0.25">
      <c r="B79" s="135"/>
      <c r="AR79" s="135"/>
    </row>
    <row r="80" spans="2:44" ht="15.95" hidden="1" customHeight="1" x14ac:dyDescent="0.25">
      <c r="B80" s="135"/>
      <c r="AR80" s="135"/>
    </row>
    <row r="81" spans="2:44" ht="15.95" hidden="1" customHeight="1" x14ac:dyDescent="0.25">
      <c r="B81" s="135"/>
      <c r="AR81" s="135"/>
    </row>
    <row r="82" spans="2:44" ht="15.95" hidden="1" customHeight="1" x14ac:dyDescent="0.25">
      <c r="B82" s="135"/>
      <c r="AR82" s="135"/>
    </row>
    <row r="83" spans="2:44" ht="15.95" hidden="1" customHeight="1" x14ac:dyDescent="0.25">
      <c r="B83" s="135"/>
      <c r="AR83" s="135"/>
    </row>
    <row r="84" spans="2:44" ht="15.95" hidden="1" customHeight="1" x14ac:dyDescent="0.25">
      <c r="B84" s="135"/>
      <c r="AR84" s="135"/>
    </row>
    <row r="85" spans="2:44" ht="15.95" hidden="1" customHeight="1" x14ac:dyDescent="0.25">
      <c r="B85" s="135"/>
      <c r="AR85" s="135"/>
    </row>
    <row r="86" spans="2:44" ht="15.95" hidden="1" customHeight="1" x14ac:dyDescent="0.25">
      <c r="B86" s="135"/>
      <c r="AR86" s="135"/>
    </row>
    <row r="87" spans="2:44" ht="15.95" hidden="1" customHeight="1" x14ac:dyDescent="0.25">
      <c r="B87" s="135"/>
      <c r="AR87" s="135"/>
    </row>
    <row r="88" spans="2:44" ht="15.95" hidden="1" customHeight="1" x14ac:dyDescent="0.25">
      <c r="B88" s="135"/>
      <c r="AR88" s="135"/>
    </row>
    <row r="89" spans="2:44" ht="15.95" hidden="1" customHeight="1" x14ac:dyDescent="0.25">
      <c r="B89" s="135"/>
      <c r="AR89" s="135"/>
    </row>
    <row r="90" spans="2:44" ht="15.95" hidden="1" customHeight="1" x14ac:dyDescent="0.25">
      <c r="B90" s="135"/>
      <c r="AR90" s="135"/>
    </row>
    <row r="91" spans="2:44" ht="15.95" hidden="1" customHeight="1" x14ac:dyDescent="0.25">
      <c r="B91" s="135"/>
      <c r="AR91" s="135"/>
    </row>
    <row r="92" spans="2:44" ht="15.95" hidden="1" customHeight="1" x14ac:dyDescent="0.25">
      <c r="B92" s="135"/>
      <c r="AR92" s="135"/>
    </row>
    <row r="93" spans="2:44" ht="15.95" hidden="1" customHeight="1" x14ac:dyDescent="0.25">
      <c r="B93" s="135"/>
      <c r="AR93" s="135"/>
    </row>
    <row r="94" spans="2:44" ht="15.95" hidden="1" customHeight="1" x14ac:dyDescent="0.25">
      <c r="B94" s="135"/>
      <c r="AR94" s="135"/>
    </row>
    <row r="95" spans="2:44" ht="15.95" hidden="1" customHeight="1" x14ac:dyDescent="0.25">
      <c r="B95" s="135"/>
      <c r="AR95" s="135"/>
    </row>
    <row r="96" spans="2:44" ht="15.95" hidden="1" customHeight="1" x14ac:dyDescent="0.25">
      <c r="B96" s="135"/>
      <c r="AR96" s="135"/>
    </row>
    <row r="97" spans="2:44" ht="15.95" hidden="1" customHeight="1" x14ac:dyDescent="0.25">
      <c r="B97" s="135"/>
      <c r="AR97" s="135"/>
    </row>
    <row r="98" spans="2:44" ht="15.95" hidden="1" customHeight="1" x14ac:dyDescent="0.25">
      <c r="B98" s="135"/>
      <c r="AR98" s="135"/>
    </row>
    <row r="99" spans="2:44" ht="15.95" hidden="1" customHeight="1" x14ac:dyDescent="0.25">
      <c r="B99" s="135"/>
      <c r="AR99" s="135"/>
    </row>
    <row r="100" spans="2:44" ht="15.95" hidden="1" customHeight="1" x14ac:dyDescent="0.25">
      <c r="B100" s="135"/>
      <c r="AR100" s="135"/>
    </row>
    <row r="101" spans="2:44" ht="15.95" hidden="1" customHeight="1" x14ac:dyDescent="0.25">
      <c r="B101" s="135"/>
      <c r="AR101" s="135"/>
    </row>
    <row r="102" spans="2:44" ht="15.95" hidden="1" customHeight="1" x14ac:dyDescent="0.25">
      <c r="B102" s="135"/>
      <c r="AR102" s="135"/>
    </row>
    <row r="103" spans="2:44" ht="15.95" hidden="1" customHeight="1" x14ac:dyDescent="0.25">
      <c r="B103" s="135"/>
      <c r="AR103" s="135"/>
    </row>
    <row r="104" spans="2:44" ht="15.95" hidden="1" customHeight="1" x14ac:dyDescent="0.25">
      <c r="B104" s="135"/>
      <c r="AR104" s="135"/>
    </row>
    <row r="105" spans="2:44" ht="15.95" hidden="1" customHeight="1" x14ac:dyDescent="0.25">
      <c r="B105" s="135"/>
      <c r="AR105" s="135"/>
    </row>
    <row r="106" spans="2:44" ht="15.95" hidden="1" customHeight="1" x14ac:dyDescent="0.25">
      <c r="B106" s="135"/>
      <c r="AR106" s="135"/>
    </row>
    <row r="107" spans="2:44" ht="15.95" hidden="1" customHeight="1" x14ac:dyDescent="0.25">
      <c r="B107" s="135"/>
      <c r="AR107" s="135"/>
    </row>
    <row r="108" spans="2:44" ht="15.95" hidden="1" customHeight="1" x14ac:dyDescent="0.25">
      <c r="B108" s="135"/>
      <c r="AR108" s="135"/>
    </row>
    <row r="109" spans="2:44" ht="15.95" hidden="1" customHeight="1" x14ac:dyDescent="0.25">
      <c r="B109" s="135"/>
      <c r="AR109" s="135"/>
    </row>
    <row r="110" spans="2:44" ht="15.95" hidden="1" customHeight="1" x14ac:dyDescent="0.25">
      <c r="B110" s="135"/>
      <c r="AR110" s="135"/>
    </row>
    <row r="111" spans="2:44" ht="15.95" hidden="1" customHeight="1" x14ac:dyDescent="0.25">
      <c r="B111" s="135"/>
      <c r="AR111" s="135"/>
    </row>
    <row r="112" spans="2:44" ht="15.95" hidden="1" customHeight="1" x14ac:dyDescent="0.25">
      <c r="B112" s="135"/>
      <c r="AR112" s="135"/>
    </row>
    <row r="113" spans="2:44" ht="15.95" hidden="1" customHeight="1" x14ac:dyDescent="0.25">
      <c r="B113" s="135"/>
      <c r="AR113" s="135"/>
    </row>
    <row r="114" spans="2:44" ht="15.95" hidden="1" customHeight="1" x14ac:dyDescent="0.25">
      <c r="B114" s="135"/>
      <c r="AR114" s="135"/>
    </row>
    <row r="115" spans="2:44" ht="15.95" hidden="1" customHeight="1" x14ac:dyDescent="0.25">
      <c r="B115" s="135"/>
      <c r="AR115" s="135"/>
    </row>
    <row r="116" spans="2:44" ht="15.95" hidden="1" customHeight="1" x14ac:dyDescent="0.25">
      <c r="B116" s="135"/>
      <c r="AR116" s="135"/>
    </row>
    <row r="117" spans="2:44" s="63" customFormat="1" ht="15.95" hidden="1" customHeight="1" x14ac:dyDescent="0.25">
      <c r="B117" s="135"/>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s="135"/>
    </row>
    <row r="118" spans="2:44" s="63" customFormat="1" ht="15.95" hidden="1" customHeight="1" x14ac:dyDescent="0.25">
      <c r="B118" s="135"/>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s="135"/>
    </row>
    <row r="119" spans="2:44" s="63" customFormat="1" ht="15.95" hidden="1" customHeight="1" x14ac:dyDescent="0.25">
      <c r="B119" s="135"/>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s="135"/>
    </row>
    <row r="120" spans="2:44" s="63" customFormat="1" ht="15.95" hidden="1" customHeight="1" x14ac:dyDescent="0.25">
      <c r="B120" s="135"/>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s="135"/>
    </row>
    <row r="121" spans="2:44" s="63" customFormat="1" ht="15.95" hidden="1" customHeight="1" x14ac:dyDescent="0.25">
      <c r="B121" s="135"/>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s="135"/>
    </row>
    <row r="122" spans="2:44" s="63" customFormat="1" ht="15.95" hidden="1" customHeight="1" x14ac:dyDescent="0.25">
      <c r="B122" s="135"/>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s="135"/>
    </row>
    <row r="123" spans="2:44" s="63" customFormat="1" ht="15.95" hidden="1" customHeight="1" x14ac:dyDescent="0.25">
      <c r="B123" s="135"/>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s="135"/>
    </row>
    <row r="124" spans="2:44" s="63" customFormat="1" ht="15.95" hidden="1" customHeight="1" x14ac:dyDescent="0.25">
      <c r="B124" s="135"/>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s="135"/>
    </row>
    <row r="125" spans="2:44" s="63" customFormat="1" ht="15.95" hidden="1" customHeight="1" x14ac:dyDescent="0.25">
      <c r="B125" s="13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s="135"/>
    </row>
    <row r="126" spans="2:44" s="63" customFormat="1" ht="15.95" hidden="1" customHeight="1" x14ac:dyDescent="0.25">
      <c r="B126" s="135"/>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s="135"/>
    </row>
    <row r="127" spans="2:44" s="63" customFormat="1" ht="15.95" hidden="1" customHeight="1" x14ac:dyDescent="0.25">
      <c r="B127" s="135"/>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s="135"/>
    </row>
    <row r="128" spans="2:44" s="63" customFormat="1" ht="15.95" hidden="1" customHeight="1" x14ac:dyDescent="0.25">
      <c r="B128" s="135"/>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s="135"/>
    </row>
    <row r="129" spans="2:44" s="63" customFormat="1" ht="15.95" hidden="1" customHeight="1" x14ac:dyDescent="0.25">
      <c r="B129" s="135"/>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s="135"/>
    </row>
    <row r="130" spans="2:44" s="63" customFormat="1" ht="15.95" hidden="1" customHeight="1" x14ac:dyDescent="0.25">
      <c r="B130" s="135"/>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s="135"/>
    </row>
    <row r="131" spans="2:44" s="63" customFormat="1" ht="15.95" hidden="1" customHeight="1" x14ac:dyDescent="0.25">
      <c r="B131" s="135"/>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s="135"/>
    </row>
    <row r="132" spans="2:44" s="63" customFormat="1" ht="15.95" hidden="1" customHeight="1" x14ac:dyDescent="0.25">
      <c r="B132" s="135"/>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s="135"/>
    </row>
    <row r="133" spans="2:44" s="63" customFormat="1" ht="15.95" hidden="1" customHeight="1" x14ac:dyDescent="0.25">
      <c r="B133" s="135"/>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s="135"/>
    </row>
    <row r="134" spans="2:44" s="63" customFormat="1" ht="15.95" hidden="1" customHeight="1" x14ac:dyDescent="0.25">
      <c r="B134" s="135"/>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s="135"/>
    </row>
    <row r="135" spans="2:44" s="63" customFormat="1" ht="15.95" hidden="1" customHeight="1" x14ac:dyDescent="0.25">
      <c r="B135" s="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s="135"/>
    </row>
    <row r="136" spans="2:44" s="63" customFormat="1" ht="15.95" hidden="1" customHeight="1" x14ac:dyDescent="0.25">
      <c r="B136" s="135"/>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s="135"/>
    </row>
    <row r="137" spans="2:44" s="63" customFormat="1" ht="15.95" hidden="1" customHeight="1" x14ac:dyDescent="0.25">
      <c r="B137" s="135"/>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s="135"/>
    </row>
    <row r="138" spans="2:44" s="63" customFormat="1" ht="15.95" hidden="1" customHeight="1" x14ac:dyDescent="0.25">
      <c r="B138" s="135"/>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s="135"/>
    </row>
    <row r="139" spans="2:44" s="63" customFormat="1" ht="15.95" hidden="1" customHeight="1" x14ac:dyDescent="0.25">
      <c r="B139" s="135"/>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s="135"/>
    </row>
    <row r="140" spans="2:44" s="63" customFormat="1" ht="15.95" hidden="1" customHeight="1" x14ac:dyDescent="0.25">
      <c r="B140" s="135"/>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s="135"/>
    </row>
    <row r="141" spans="2:44" s="63" customFormat="1" ht="15.95" hidden="1" customHeight="1" x14ac:dyDescent="0.25">
      <c r="B141" s="135"/>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s="135"/>
    </row>
    <row r="142" spans="2:44" s="63" customFormat="1" ht="15.95" hidden="1" customHeight="1" x14ac:dyDescent="0.25">
      <c r="B142" s="135"/>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s="135"/>
    </row>
    <row r="143" spans="2:44" s="63" customFormat="1" ht="15.95" hidden="1" customHeight="1" x14ac:dyDescent="0.25">
      <c r="B143" s="135"/>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s="135"/>
    </row>
    <row r="144" spans="2:44" s="63" customFormat="1" ht="15.95" hidden="1" customHeight="1" x14ac:dyDescent="0.25">
      <c r="B144" s="135"/>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s="135"/>
    </row>
    <row r="145" spans="2:44" s="63" customFormat="1" ht="15.95" hidden="1" customHeight="1" x14ac:dyDescent="0.25">
      <c r="B145" s="13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s="135"/>
    </row>
    <row r="146" spans="2:44" s="63" customFormat="1" ht="15.95" hidden="1" customHeight="1" x14ac:dyDescent="0.25">
      <c r="B146" s="135"/>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s="135"/>
    </row>
    <row r="147" spans="2:44" s="63" customFormat="1" ht="15.95" hidden="1" customHeight="1" x14ac:dyDescent="0.25">
      <c r="B147" s="135"/>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s="135"/>
    </row>
    <row r="148" spans="2:44" s="63" customFormat="1" ht="15.95" hidden="1" customHeight="1" x14ac:dyDescent="0.25">
      <c r="B148" s="135"/>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s="135"/>
    </row>
    <row r="149" spans="2:44" s="63" customFormat="1" ht="15.95" hidden="1" customHeight="1" x14ac:dyDescent="0.25">
      <c r="B149" s="135"/>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s="135"/>
    </row>
    <row r="150" spans="2:44" s="63" customFormat="1" ht="15.95" hidden="1" customHeight="1" x14ac:dyDescent="0.25">
      <c r="B150" s="135"/>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s="135"/>
    </row>
    <row r="151" spans="2:44" s="63" customFormat="1" ht="15.95" hidden="1" customHeight="1" x14ac:dyDescent="0.25">
      <c r="B151" s="135"/>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s="135"/>
    </row>
    <row r="152" spans="2:44" s="63" customFormat="1" ht="15.95" hidden="1" customHeight="1" x14ac:dyDescent="0.25">
      <c r="B152" s="135"/>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s="135"/>
    </row>
    <row r="153" spans="2:44" s="63" customFormat="1" ht="15.95" hidden="1" customHeight="1" x14ac:dyDescent="0.25">
      <c r="B153" s="135"/>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s="135"/>
    </row>
    <row r="154" spans="2:44" s="63" customFormat="1" ht="15.95" hidden="1" customHeight="1" x14ac:dyDescent="0.25">
      <c r="B154" s="135"/>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s="135"/>
    </row>
    <row r="155" spans="2:44" s="63" customFormat="1" ht="15.95" hidden="1" customHeight="1" x14ac:dyDescent="0.25">
      <c r="B155" s="13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s="135"/>
    </row>
    <row r="156" spans="2:44" s="63" customFormat="1" ht="15.95" hidden="1" customHeight="1" x14ac:dyDescent="0.25">
      <c r="B156" s="135"/>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s="135"/>
    </row>
    <row r="157" spans="2:44" s="63" customFormat="1" ht="15.95" hidden="1" customHeight="1" x14ac:dyDescent="0.25">
      <c r="B157" s="135"/>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s="135"/>
    </row>
    <row r="158" spans="2:44" s="63" customFormat="1" ht="15.95" hidden="1" customHeight="1" x14ac:dyDescent="0.25">
      <c r="B158" s="135"/>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s="135"/>
    </row>
    <row r="159" spans="2:44" s="63" customFormat="1" ht="15.95" hidden="1" customHeight="1" x14ac:dyDescent="0.25">
      <c r="B159" s="135"/>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s="135"/>
    </row>
    <row r="160" spans="2:44" s="63" customFormat="1" ht="15.95" hidden="1" customHeight="1" x14ac:dyDescent="0.25">
      <c r="B160" s="135"/>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s="135"/>
    </row>
    <row r="161" spans="2:44" s="63" customFormat="1" ht="15.95" hidden="1" customHeight="1" x14ac:dyDescent="0.25">
      <c r="B161" s="135"/>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s="135"/>
    </row>
    <row r="162" spans="2:44" s="63" customFormat="1" ht="15.95" hidden="1" customHeight="1" x14ac:dyDescent="0.25">
      <c r="B162" s="135"/>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s="135"/>
    </row>
    <row r="163" spans="2:44" s="63" customFormat="1" ht="15.95" hidden="1" customHeight="1" x14ac:dyDescent="0.25">
      <c r="B163" s="135"/>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s="135"/>
    </row>
    <row r="164" spans="2:44" s="63" customFormat="1" ht="15.95" hidden="1" customHeight="1" x14ac:dyDescent="0.25">
      <c r="B164" s="135"/>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s="135"/>
    </row>
    <row r="165" spans="2:44" s="63" customFormat="1" ht="15.95" hidden="1" customHeight="1" x14ac:dyDescent="0.25">
      <c r="B165" s="13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s="135"/>
    </row>
    <row r="166" spans="2:44" s="63" customFormat="1" ht="15.95" hidden="1" customHeight="1" x14ac:dyDescent="0.25">
      <c r="B166" s="135"/>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s="135"/>
    </row>
    <row r="167" spans="2:44" s="63" customFormat="1" ht="15.95" hidden="1" customHeight="1" x14ac:dyDescent="0.25">
      <c r="B167" s="135"/>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s="135"/>
    </row>
    <row r="168" spans="2:44" s="63" customFormat="1" ht="15.95" hidden="1" customHeight="1" x14ac:dyDescent="0.25">
      <c r="B168" s="135"/>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s="135"/>
    </row>
    <row r="169" spans="2:44" s="63" customFormat="1" ht="15.95" hidden="1" customHeight="1" x14ac:dyDescent="0.25">
      <c r="B169" s="135"/>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s="135"/>
    </row>
    <row r="170" spans="2:44" s="63" customFormat="1" ht="15.95" hidden="1" customHeight="1" x14ac:dyDescent="0.25">
      <c r="B170" s="135"/>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s="135"/>
    </row>
    <row r="171" spans="2:44" s="63" customFormat="1" ht="15.95" hidden="1" customHeight="1" x14ac:dyDescent="0.25">
      <c r="B171" s="135"/>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s="135"/>
    </row>
    <row r="172" spans="2:44" s="63" customFormat="1" ht="15.95" hidden="1" customHeight="1" x14ac:dyDescent="0.25">
      <c r="B172" s="135"/>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s="135"/>
    </row>
    <row r="173" spans="2:44" s="63" customFormat="1" ht="15.95" hidden="1" customHeight="1" x14ac:dyDescent="0.25">
      <c r="B173" s="135"/>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s="135"/>
    </row>
    <row r="174" spans="2:44" s="63" customFormat="1" ht="15.95" hidden="1" customHeight="1" x14ac:dyDescent="0.25">
      <c r="B174" s="135"/>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s="135"/>
    </row>
    <row r="175" spans="2:44" s="63" customFormat="1" ht="15.95" hidden="1" customHeight="1" x14ac:dyDescent="0.25">
      <c r="B175" s="13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s="135"/>
    </row>
    <row r="176" spans="2:44" s="63" customFormat="1" ht="15.95" hidden="1" customHeight="1" x14ac:dyDescent="0.25">
      <c r="B176" s="135"/>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s="135"/>
    </row>
    <row r="177" spans="2:44" s="63" customFormat="1" ht="15.95" hidden="1" customHeight="1" x14ac:dyDescent="0.25">
      <c r="B177" s="135"/>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s="135"/>
    </row>
    <row r="178" spans="2:44" s="63" customFormat="1" ht="15.95" hidden="1" customHeight="1" x14ac:dyDescent="0.25">
      <c r="B178" s="135"/>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s="135"/>
    </row>
    <row r="179" spans="2:44" s="63" customFormat="1" ht="15.95" hidden="1" customHeight="1" x14ac:dyDescent="0.25">
      <c r="B179" s="135"/>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s="135"/>
    </row>
    <row r="180" spans="2:44" s="63" customFormat="1" ht="15.95" hidden="1" customHeight="1" x14ac:dyDescent="0.25">
      <c r="B180" s="135"/>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s="135"/>
    </row>
    <row r="181" spans="2:44" s="63" customFormat="1" ht="15.95" hidden="1" customHeight="1" x14ac:dyDescent="0.25">
      <c r="B181" s="135"/>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s="135"/>
    </row>
    <row r="182" spans="2:44" s="63" customFormat="1" ht="15.95" hidden="1" customHeight="1" x14ac:dyDescent="0.25">
      <c r="B182" s="135"/>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s="135"/>
    </row>
    <row r="183" spans="2:44" s="63" customFormat="1" ht="15.95" hidden="1" customHeight="1" x14ac:dyDescent="0.25">
      <c r="B183" s="135"/>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s="135"/>
    </row>
    <row r="184" spans="2:44" s="63" customFormat="1" ht="15.95" hidden="1" customHeight="1" x14ac:dyDescent="0.25">
      <c r="B184" s="135"/>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s="135"/>
    </row>
    <row r="185" spans="2:44" s="63" customFormat="1" ht="15.95" hidden="1" customHeight="1" x14ac:dyDescent="0.25">
      <c r="B185" s="13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s="135"/>
    </row>
    <row r="186" spans="2:44" s="63" customFormat="1" ht="15.95" hidden="1" customHeight="1" x14ac:dyDescent="0.25">
      <c r="B186" s="135"/>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s="135"/>
    </row>
    <row r="187" spans="2:44" s="63" customFormat="1" ht="15.95" hidden="1" customHeight="1" x14ac:dyDescent="0.25">
      <c r="B187" s="135"/>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s="135"/>
    </row>
    <row r="188" spans="2:44" s="63" customFormat="1" ht="15.95" hidden="1" customHeight="1" x14ac:dyDescent="0.25">
      <c r="B188" s="135"/>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s="135"/>
    </row>
    <row r="189" spans="2:44" s="63" customFormat="1" ht="15.95" hidden="1" customHeight="1" x14ac:dyDescent="0.25">
      <c r="B189" s="135"/>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s="135"/>
    </row>
    <row r="190" spans="2:44" s="63" customFormat="1" ht="15.95" hidden="1" customHeight="1" x14ac:dyDescent="0.25">
      <c r="B190" s="135"/>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s="135"/>
    </row>
    <row r="191" spans="2:44" s="63" customFormat="1" ht="15.95" hidden="1" customHeight="1" x14ac:dyDescent="0.25">
      <c r="B191" s="135"/>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s="135"/>
    </row>
    <row r="192" spans="2:44" s="63" customFormat="1" ht="15.95" hidden="1" customHeight="1" x14ac:dyDescent="0.25">
      <c r="B192" s="135"/>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s="135"/>
    </row>
    <row r="193" spans="2:44" s="63" customFormat="1" ht="15.95" hidden="1" customHeight="1" x14ac:dyDescent="0.25">
      <c r="B193" s="135"/>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s="135"/>
    </row>
    <row r="194" spans="2:44" s="63" customFormat="1" ht="15.95" hidden="1" customHeight="1" x14ac:dyDescent="0.25">
      <c r="B194" s="135"/>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s="135"/>
    </row>
    <row r="195" spans="2:44" s="63" customFormat="1" ht="15.95" hidden="1" customHeight="1" x14ac:dyDescent="0.25">
      <c r="B195" s="13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s="135"/>
    </row>
    <row r="196" spans="2:44" s="63" customFormat="1" ht="15.95" hidden="1" customHeight="1" x14ac:dyDescent="0.25">
      <c r="B196" s="135"/>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s="135"/>
    </row>
    <row r="197" spans="2:44" s="63" customFormat="1" ht="15.95" hidden="1" customHeight="1" x14ac:dyDescent="0.25">
      <c r="B197" s="135"/>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s="135"/>
    </row>
    <row r="198" spans="2:44" s="63" customFormat="1" ht="15.95" hidden="1" customHeight="1" x14ac:dyDescent="0.25">
      <c r="B198" s="135"/>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s="135"/>
    </row>
    <row r="199" spans="2:44" ht="15.95" hidden="1" customHeight="1" x14ac:dyDescent="0.25">
      <c r="B199" s="135"/>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row>
    <row r="200" spans="2:44" ht="15.95" customHeight="1" x14ac:dyDescent="0.25">
      <c r="B200" s="136" t="str">
        <f>FOOT1</f>
        <v>Ameren Missouri BizSavers program</v>
      </c>
      <c r="C200" s="136"/>
      <c r="D200" s="136"/>
      <c r="E200" s="136"/>
      <c r="F200" s="136"/>
      <c r="G200" s="136"/>
      <c r="H200" s="136"/>
      <c r="I200" s="136"/>
      <c r="J200" s="136"/>
      <c r="K200" s="136"/>
      <c r="L200" s="136"/>
      <c r="M200" s="729" t="str">
        <f>FOOTDISCLAIM</f>
        <v/>
      </c>
      <c r="N200" s="729"/>
      <c r="O200" s="729"/>
      <c r="P200" s="729"/>
      <c r="Q200" s="729"/>
      <c r="R200" s="729"/>
      <c r="S200" s="729"/>
      <c r="T200" s="729"/>
      <c r="U200" s="729"/>
      <c r="V200" s="729"/>
      <c r="W200" s="729"/>
      <c r="X200" s="729"/>
      <c r="Y200" s="729"/>
      <c r="Z200" s="729"/>
      <c r="AA200" s="729"/>
      <c r="AB200" s="729"/>
      <c r="AC200" s="729"/>
      <c r="AD200" s="729"/>
      <c r="AE200" s="729"/>
      <c r="AF200" s="729"/>
      <c r="AG200" s="729"/>
      <c r="AH200" s="136"/>
      <c r="AI200" s="136"/>
      <c r="AJ200" s="136"/>
      <c r="AK200" s="136"/>
      <c r="AL200" s="136"/>
      <c r="AM200" s="136"/>
      <c r="AN200" s="136"/>
      <c r="AO200" s="136"/>
      <c r="AP200" s="136"/>
      <c r="AQ200" s="136"/>
      <c r="AR200" s="300" t="str">
        <f>FOOT4</f>
        <v/>
      </c>
    </row>
    <row r="201" spans="2:44" ht="15.95" customHeight="1" x14ac:dyDescent="0.25">
      <c r="B201" s="136" t="str">
        <f>FOOT2</f>
        <v>Toll-Free 866-941-7299</v>
      </c>
      <c r="C201" s="136"/>
      <c r="D201" s="136"/>
      <c r="E201" s="136"/>
      <c r="F201" s="136"/>
      <c r="G201" s="136"/>
      <c r="H201" s="136"/>
      <c r="I201" s="136"/>
      <c r="J201" s="136"/>
      <c r="K201" s="136"/>
      <c r="L201" s="136"/>
      <c r="M201" s="729"/>
      <c r="N201" s="729"/>
      <c r="O201" s="729"/>
      <c r="P201" s="729"/>
      <c r="Q201" s="729"/>
      <c r="R201" s="729"/>
      <c r="S201" s="729"/>
      <c r="T201" s="729"/>
      <c r="U201" s="729"/>
      <c r="V201" s="729"/>
      <c r="W201" s="729"/>
      <c r="X201" s="729"/>
      <c r="Y201" s="729"/>
      <c r="Z201" s="729"/>
      <c r="AA201" s="729"/>
      <c r="AB201" s="729"/>
      <c r="AC201" s="729"/>
      <c r="AD201" s="729"/>
      <c r="AE201" s="729"/>
      <c r="AF201" s="729"/>
      <c r="AG201" s="729"/>
      <c r="AH201" s="136"/>
      <c r="AI201" s="136"/>
      <c r="AJ201" s="136"/>
      <c r="AK201" s="136"/>
      <c r="AL201" s="136"/>
      <c r="AM201" s="136"/>
      <c r="AN201" s="136"/>
      <c r="AO201" s="136"/>
      <c r="AP201" s="136"/>
      <c r="AQ201" s="136"/>
      <c r="AR201" s="300" t="str">
        <f>FOOT5</f>
        <v/>
      </c>
    </row>
    <row r="202" spans="2:44" ht="15.95" customHeight="1" x14ac:dyDescent="0.25">
      <c r="B202" s="138" t="str">
        <f>FOOT3</f>
        <v>BizSavers@ameren.com</v>
      </c>
      <c r="C202" s="136"/>
      <c r="D202" s="136"/>
      <c r="E202" s="136"/>
      <c r="F202" s="136"/>
      <c r="G202" s="136"/>
      <c r="H202" s="136"/>
      <c r="I202" s="136"/>
      <c r="J202" s="136"/>
      <c r="K202" s="136"/>
      <c r="L202" s="136"/>
      <c r="M202" s="139"/>
      <c r="N202" s="136"/>
      <c r="O202" s="136"/>
      <c r="P202" s="139"/>
      <c r="Q202" s="139"/>
      <c r="R202" s="139"/>
      <c r="S202" s="139"/>
      <c r="T202" s="139"/>
      <c r="U202" s="139"/>
      <c r="V202" s="139"/>
      <c r="W202" s="140" t="str">
        <f>VERSION</f>
        <v>New Construction v3.8.0</v>
      </c>
      <c r="X202" s="139"/>
      <c r="Y202" s="139"/>
      <c r="Z202" s="139"/>
      <c r="AA202" s="139"/>
      <c r="AB202" s="139"/>
      <c r="AC202" s="139"/>
      <c r="AD202" s="139"/>
      <c r="AE202" s="136"/>
      <c r="AF202" s="136"/>
      <c r="AG202" s="136"/>
      <c r="AH202" s="136"/>
      <c r="AI202" s="136"/>
      <c r="AJ202" s="136"/>
      <c r="AK202" s="136"/>
      <c r="AL202" s="136"/>
      <c r="AM202" s="136"/>
      <c r="AN202" s="136"/>
      <c r="AO202" s="136"/>
      <c r="AP202" s="136"/>
      <c r="AQ202" s="136"/>
      <c r="AR202" s="300" t="str">
        <f>FOOT6</f>
        <v>Product of TRC Companies</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sheetData>
  <sheetProtection algorithmName="SHA-512" hashValue="iYGSxK9CxBxZmAsIl52pC4/2rd7VN6pTGOV/HO/HnqMRGbNjbkhkskEV8TuQY2oii2pGqBKPw/5fBhlfKIRorQ==" saltValue="c2kw227DB1C/jZSN2FOjaQ==" spinCount="100000" sheet="1" objects="1" scenarios="1" selectLockedCells="1"/>
  <mergeCells count="24">
    <mergeCell ref="F22:AN22"/>
    <mergeCell ref="F23:AN23"/>
    <mergeCell ref="C25:H32"/>
    <mergeCell ref="J25:O32"/>
    <mergeCell ref="Q25:V32"/>
    <mergeCell ref="X25:AC32"/>
    <mergeCell ref="AE25:AJ32"/>
    <mergeCell ref="AL25:AQ32"/>
    <mergeCell ref="AQ1:AR1"/>
    <mergeCell ref="AQ2:AR3"/>
    <mergeCell ref="M200:AG201"/>
    <mergeCell ref="F10:AN10"/>
    <mergeCell ref="F11:AN11"/>
    <mergeCell ref="AH1:AK1"/>
    <mergeCell ref="AL1:AP1"/>
    <mergeCell ref="AH2:AK3"/>
    <mergeCell ref="AL2:AP3"/>
    <mergeCell ref="F34:AN34"/>
    <mergeCell ref="C13:H20"/>
    <mergeCell ref="J13:O20"/>
    <mergeCell ref="Q13:V20"/>
    <mergeCell ref="X13:AC20"/>
    <mergeCell ref="AE13:AJ20"/>
    <mergeCell ref="AL13:AQ20"/>
  </mergeCells>
  <conditionalFormatting sqref="AQ2:AR3">
    <cfRule type="cellIs" dxfId="336" priority="3" operator="equal">
      <formula>1</formula>
    </cfRule>
    <cfRule type="cellIs" dxfId="335" priority="4" operator="between">
      <formula>0.51</formula>
      <formula>0.99</formula>
    </cfRule>
    <cfRule type="cellIs" dxfId="334" priority="5" operator="lessThanOrEqual">
      <formula>0.5</formula>
    </cfRule>
  </conditionalFormatting>
  <conditionalFormatting sqref="AH2 AL2">
    <cfRule type="expression" dxfId="333" priority="1">
      <formula>OR(PROJSTATUS=PROJSTATELI,PROJSTATUS=PROJSTATEXP,PROJSTATUS=PROJSTATUNDER)</formula>
    </cfRule>
    <cfRule type="expression" dxfId="332" priority="2">
      <formula>PROJSTATUS=PROJSTATFILLINITIAL</formula>
    </cfRule>
    <cfRule type="expression" dxfId="331" priority="6">
      <formula>PROJSTATUS=PROJSTATPREAPPROVE</formula>
    </cfRule>
    <cfRule type="expression" dxfId="330" priority="7">
      <formula>OR(PROJSTATUS=PROJSTATSSUBMITINITIAL,PROJSTATUS=PROJSTATREVIEW)</formula>
    </cfRule>
  </conditionalFormatting>
  <hyperlinks>
    <hyperlink ref="B202" r:id="rId1" display="NIPSCO.Savings@LMCO.com" xr:uid="{00000000-0004-0000-0C00-000000000000}"/>
  </hyperlinks>
  <pageMargins left="0.25" right="0.25" top="0.25" bottom="0.25" header="0.25" footer="0.25"/>
  <pageSetup scale="62" fitToHeight="0" orientation="landscape" r:id="rId2"/>
  <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A1:AU230"/>
  <sheetViews>
    <sheetView showGridLines="0" showRowColHeaders="0" zoomScale="85" zoomScaleNormal="85" workbookViewId="0">
      <selection activeCell="M29" sqref="M29:O29"/>
    </sheetView>
  </sheetViews>
  <sheetFormatPr defaultColWidth="0" defaultRowHeight="15" customHeight="1" zeroHeight="1" x14ac:dyDescent="0.25"/>
  <cols>
    <col min="1" max="45" width="4.7109375" customWidth="1"/>
    <col min="46" max="16384" width="9.140625" hidden="1"/>
  </cols>
  <sheetData>
    <row r="1" spans="2:44" ht="15.95" customHeight="1" x14ac:dyDescent="0.3">
      <c r="AH1" s="711" t="s">
        <v>494</v>
      </c>
      <c r="AI1" s="712"/>
      <c r="AJ1" s="712"/>
      <c r="AK1" s="712"/>
      <c r="AL1" s="723" t="s">
        <v>911</v>
      </c>
      <c r="AM1" s="723"/>
      <c r="AN1" s="723"/>
      <c r="AO1" s="723"/>
      <c r="AP1" s="723"/>
      <c r="AQ1" s="717" t="s">
        <v>499</v>
      </c>
      <c r="AR1" s="718"/>
    </row>
    <row r="2" spans="2:44" ht="15.95" customHeight="1" x14ac:dyDescent="0.25">
      <c r="AH2" s="713" t="str">
        <f ca="1">INCENSTATUS</f>
        <v>---</v>
      </c>
      <c r="AI2" s="714"/>
      <c r="AJ2" s="714"/>
      <c r="AK2" s="714"/>
      <c r="AL2" s="724" t="str">
        <f ca="1">PROJSTATUS</f>
        <v>Please Complete Initial Application</v>
      </c>
      <c r="AM2" s="724"/>
      <c r="AN2" s="724"/>
      <c r="AO2" s="724"/>
      <c r="AP2" s="724"/>
      <c r="AQ2" s="719">
        <f ca="1">PROGRESSSTATUS</f>
        <v>0</v>
      </c>
      <c r="AR2" s="720"/>
    </row>
    <row r="3" spans="2:44" ht="15.95" customHeight="1" x14ac:dyDescent="0.25">
      <c r="AH3" s="715"/>
      <c r="AI3" s="716"/>
      <c r="AJ3" s="716"/>
      <c r="AK3" s="716"/>
      <c r="AL3" s="725"/>
      <c r="AM3" s="725"/>
      <c r="AN3" s="725"/>
      <c r="AO3" s="725"/>
      <c r="AP3" s="725"/>
      <c r="AQ3" s="721"/>
      <c r="AR3" s="722"/>
    </row>
    <row r="4" spans="2:44" ht="15.95" customHeight="1" x14ac:dyDescent="0.25"/>
    <row r="5" spans="2:44" ht="15.95" customHeight="1" x14ac:dyDescent="0.25"/>
    <row r="6" spans="2:44" ht="15.95" customHeight="1" x14ac:dyDescent="0.25"/>
    <row r="7" spans="2:44" ht="15.95" customHeight="1" x14ac:dyDescent="0.25"/>
    <row r="8" spans="2:44" ht="15.95" customHeight="1" x14ac:dyDescent="0.25"/>
    <row r="9" spans="2:44" ht="15.95" customHeight="1" x14ac:dyDescent="0.25">
      <c r="B9" s="135"/>
      <c r="C9" s="135"/>
      <c r="D9" s="135"/>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row>
    <row r="10" spans="2:44" ht="15.95" customHeight="1" x14ac:dyDescent="0.3">
      <c r="B10" s="135"/>
      <c r="C10" s="135"/>
      <c r="D10" s="135"/>
      <c r="E10" s="135"/>
      <c r="F10" s="778" t="s">
        <v>1325</v>
      </c>
      <c r="G10" s="778"/>
      <c r="H10" s="778"/>
      <c r="I10" s="778"/>
      <c r="J10" s="778"/>
      <c r="K10" s="778"/>
      <c r="L10" s="778"/>
      <c r="M10" s="778"/>
      <c r="N10" s="778"/>
      <c r="O10" s="778"/>
      <c r="P10" s="778"/>
      <c r="Q10" s="778"/>
      <c r="R10" s="778"/>
      <c r="S10" s="778"/>
      <c r="T10" s="778"/>
      <c r="U10" s="778"/>
      <c r="V10" s="778"/>
      <c r="W10" s="778"/>
      <c r="X10" s="778"/>
      <c r="Y10" s="778"/>
      <c r="Z10" s="778"/>
      <c r="AA10" s="778"/>
      <c r="AB10" s="778"/>
      <c r="AC10" s="778"/>
      <c r="AD10" s="778"/>
      <c r="AE10" s="778"/>
      <c r="AF10" s="778"/>
      <c r="AG10" s="778"/>
      <c r="AH10" s="778"/>
      <c r="AI10" s="778"/>
      <c r="AJ10" s="778"/>
      <c r="AK10" s="778"/>
      <c r="AL10" s="778"/>
      <c r="AM10" s="778"/>
      <c r="AN10" s="778"/>
      <c r="AO10" s="135"/>
      <c r="AP10" s="135"/>
      <c r="AQ10" s="135"/>
      <c r="AR10" s="135"/>
    </row>
    <row r="11" spans="2:44" ht="15.95" customHeight="1" x14ac:dyDescent="0.25">
      <c r="B11" s="135"/>
      <c r="C11" s="135"/>
      <c r="D11" s="135"/>
      <c r="E11" s="135"/>
      <c r="F11" s="779"/>
      <c r="G11" s="779"/>
      <c r="H11" s="779"/>
      <c r="I11" s="779"/>
      <c r="J11" s="779"/>
      <c r="K11" s="779"/>
      <c r="L11" s="779"/>
      <c r="M11" s="779"/>
      <c r="N11" s="779"/>
      <c r="O11" s="779"/>
      <c r="P11" s="779"/>
      <c r="Q11" s="779"/>
      <c r="R11" s="779"/>
      <c r="S11" s="779"/>
      <c r="T11" s="779"/>
      <c r="U11" s="779"/>
      <c r="V11" s="779"/>
      <c r="W11" s="779"/>
      <c r="X11" s="779"/>
      <c r="Y11" s="779"/>
      <c r="Z11" s="779"/>
      <c r="AA11" s="779"/>
      <c r="AB11" s="779"/>
      <c r="AC11" s="779"/>
      <c r="AD11" s="779"/>
      <c r="AE11" s="779"/>
      <c r="AF11" s="779"/>
      <c r="AG11" s="779"/>
      <c r="AH11" s="779"/>
      <c r="AI11" s="779"/>
      <c r="AJ11" s="779"/>
      <c r="AK11" s="779"/>
      <c r="AL11" s="779"/>
      <c r="AM11" s="779"/>
      <c r="AN11" s="779"/>
      <c r="AO11" s="135"/>
      <c r="AP11" s="135"/>
      <c r="AQ11" s="135"/>
      <c r="AR11" s="135"/>
    </row>
    <row r="12" spans="2:44" ht="15.95" customHeight="1" x14ac:dyDescent="0.25">
      <c r="B12" s="135"/>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row>
    <row r="13" spans="2:44" ht="15.95" customHeight="1" x14ac:dyDescent="0.25">
      <c r="B13" s="135"/>
      <c r="C13" s="150" t="s">
        <v>942</v>
      </c>
      <c r="D13" s="151"/>
      <c r="E13" s="151"/>
      <c r="F13" s="151"/>
      <c r="G13" s="151"/>
      <c r="H13" s="151"/>
      <c r="I13" s="151"/>
      <c r="J13" s="151"/>
      <c r="K13" s="151"/>
      <c r="L13" s="151"/>
      <c r="M13" s="151"/>
      <c r="N13" s="151"/>
      <c r="O13" s="151"/>
      <c r="P13" s="151"/>
      <c r="Q13" s="151"/>
      <c r="R13" s="152"/>
      <c r="S13" s="152"/>
      <c r="T13" s="152"/>
      <c r="U13" s="153"/>
      <c r="V13" s="153"/>
      <c r="W13" s="152"/>
      <c r="X13" s="152"/>
      <c r="Y13" s="152"/>
      <c r="Z13" s="152"/>
      <c r="AA13" s="152"/>
      <c r="AB13" s="152"/>
      <c r="AC13" s="152"/>
      <c r="AD13" s="152"/>
      <c r="AE13" s="152"/>
      <c r="AF13" s="152"/>
      <c r="AG13" s="152"/>
      <c r="AH13" s="152"/>
      <c r="AI13" s="152"/>
      <c r="AJ13" s="152"/>
      <c r="AK13" s="152"/>
      <c r="AL13" s="152"/>
      <c r="AM13" s="152"/>
      <c r="AN13" s="152"/>
      <c r="AO13" s="152"/>
      <c r="AP13" s="152"/>
      <c r="AQ13" s="135"/>
      <c r="AR13" s="135"/>
    </row>
    <row r="14" spans="2:44" ht="15.95" customHeight="1" x14ac:dyDescent="0.25">
      <c r="B14" s="135"/>
      <c r="C14" s="797" t="s">
        <v>1322</v>
      </c>
      <c r="D14" s="797"/>
      <c r="E14" s="797"/>
      <c r="F14" s="797"/>
      <c r="G14" s="797"/>
      <c r="H14" s="154"/>
      <c r="I14" s="154"/>
      <c r="J14" s="797" t="s">
        <v>1994</v>
      </c>
      <c r="K14" s="797"/>
      <c r="L14" s="797"/>
      <c r="M14" s="797"/>
      <c r="N14" s="797"/>
      <c r="O14" s="797"/>
      <c r="P14" s="797"/>
      <c r="Q14" s="797"/>
      <c r="R14" s="797"/>
      <c r="S14" s="797"/>
      <c r="T14" s="797"/>
      <c r="U14" s="797"/>
      <c r="V14" s="797"/>
      <c r="W14" s="797"/>
      <c r="X14" s="797"/>
      <c r="Y14" s="155"/>
      <c r="AA14" s="797" t="s">
        <v>1337</v>
      </c>
      <c r="AB14" s="797"/>
      <c r="AC14" s="797"/>
      <c r="AD14" s="797"/>
      <c r="AE14" s="797"/>
      <c r="AF14" s="155"/>
      <c r="AG14" s="155"/>
      <c r="AH14" s="155"/>
      <c r="AI14" s="155"/>
      <c r="AJ14" s="155"/>
      <c r="AK14" s="155"/>
      <c r="AL14" s="155"/>
      <c r="AM14" s="155"/>
      <c r="AN14" s="155"/>
      <c r="AO14" s="152"/>
      <c r="AP14" s="152"/>
      <c r="AQ14" s="135"/>
      <c r="AR14" s="135"/>
    </row>
    <row r="15" spans="2:44" ht="15.95" customHeight="1" x14ac:dyDescent="0.25">
      <c r="B15" s="135"/>
      <c r="C15" s="797"/>
      <c r="D15" s="797"/>
      <c r="E15" s="797"/>
      <c r="F15" s="797"/>
      <c r="G15" s="797"/>
      <c r="H15" s="156"/>
      <c r="I15" s="156"/>
      <c r="J15" s="797"/>
      <c r="K15" s="797"/>
      <c r="L15" s="797"/>
      <c r="M15" s="797"/>
      <c r="N15" s="797"/>
      <c r="O15" s="797"/>
      <c r="P15" s="797"/>
      <c r="Q15" s="797"/>
      <c r="R15" s="797"/>
      <c r="S15" s="797"/>
      <c r="T15" s="797"/>
      <c r="U15" s="797"/>
      <c r="V15" s="797"/>
      <c r="W15" s="797"/>
      <c r="X15" s="797"/>
      <c r="Y15" s="155"/>
      <c r="AA15" s="797"/>
      <c r="AB15" s="797"/>
      <c r="AC15" s="797"/>
      <c r="AD15" s="797"/>
      <c r="AE15" s="797"/>
      <c r="AF15" s="155"/>
      <c r="AG15" s="155"/>
      <c r="AH15" s="799" t="s">
        <v>943</v>
      </c>
      <c r="AI15" s="799"/>
      <c r="AJ15" s="799"/>
      <c r="AK15" s="799"/>
      <c r="AL15" s="799"/>
      <c r="AM15" s="799"/>
      <c r="AN15" s="799"/>
      <c r="AO15" s="799"/>
      <c r="AP15" s="799"/>
      <c r="AQ15" s="135"/>
      <c r="AR15" s="135"/>
    </row>
    <row r="16" spans="2:44" ht="15.95" customHeight="1" x14ac:dyDescent="0.25">
      <c r="B16" s="135"/>
      <c r="C16" s="797"/>
      <c r="D16" s="797"/>
      <c r="E16" s="797"/>
      <c r="F16" s="797"/>
      <c r="G16" s="797"/>
      <c r="H16" s="156"/>
      <c r="I16" s="156"/>
      <c r="J16" s="797"/>
      <c r="K16" s="797"/>
      <c r="L16" s="797"/>
      <c r="M16" s="797"/>
      <c r="N16" s="797"/>
      <c r="O16" s="797"/>
      <c r="P16" s="797"/>
      <c r="Q16" s="797"/>
      <c r="R16" s="797"/>
      <c r="S16" s="797"/>
      <c r="T16" s="797"/>
      <c r="U16" s="797"/>
      <c r="V16" s="797"/>
      <c r="W16" s="797"/>
      <c r="X16" s="797"/>
      <c r="Y16" s="157"/>
      <c r="AA16" s="797"/>
      <c r="AB16" s="797"/>
      <c r="AC16" s="797"/>
      <c r="AD16" s="797"/>
      <c r="AE16" s="797"/>
      <c r="AF16" s="157"/>
      <c r="AG16" s="157"/>
      <c r="AH16" s="800">
        <f>(F26*AD19)-X30</f>
        <v>0</v>
      </c>
      <c r="AI16" s="800"/>
      <c r="AJ16" s="800"/>
      <c r="AK16" s="800"/>
      <c r="AL16" s="800"/>
      <c r="AM16" s="800"/>
      <c r="AN16" s="800"/>
      <c r="AO16" s="800"/>
      <c r="AP16" s="800"/>
      <c r="AQ16" s="135"/>
      <c r="AR16" s="135"/>
    </row>
    <row r="17" spans="2:47" ht="15.95" customHeight="1" x14ac:dyDescent="0.25">
      <c r="B17" s="135"/>
      <c r="C17" s="797"/>
      <c r="D17" s="797"/>
      <c r="E17" s="797"/>
      <c r="F17" s="797"/>
      <c r="G17" s="797"/>
      <c r="H17" s="158"/>
      <c r="I17" s="158"/>
      <c r="J17" s="801" t="s">
        <v>944</v>
      </c>
      <c r="K17" s="801"/>
      <c r="L17" s="801"/>
      <c r="M17" s="802" t="s">
        <v>135</v>
      </c>
      <c r="N17" s="802"/>
      <c r="O17" s="802"/>
      <c r="P17" s="803" t="s">
        <v>945</v>
      </c>
      <c r="Q17" s="803"/>
      <c r="R17" s="803"/>
      <c r="S17" s="803"/>
      <c r="T17" s="803"/>
      <c r="U17" s="803"/>
      <c r="V17" s="803" t="s">
        <v>946</v>
      </c>
      <c r="W17" s="803"/>
      <c r="X17" s="344" t="s">
        <v>1377</v>
      </c>
      <c r="Y17" s="145"/>
      <c r="AA17" s="797"/>
      <c r="AB17" s="797"/>
      <c r="AC17" s="797"/>
      <c r="AD17" s="797"/>
      <c r="AE17" s="797"/>
      <c r="AF17" s="157"/>
      <c r="AG17" s="157"/>
      <c r="AH17" s="157"/>
      <c r="AI17" s="157"/>
      <c r="AJ17" s="157"/>
      <c r="AK17" s="157"/>
      <c r="AL17" s="157"/>
      <c r="AM17" s="157"/>
      <c r="AN17" s="157"/>
      <c r="AO17" s="157"/>
      <c r="AP17" s="152"/>
      <c r="AQ17" s="135"/>
      <c r="AR17" s="135"/>
    </row>
    <row r="18" spans="2:47" ht="15.95" customHeight="1" x14ac:dyDescent="0.25">
      <c r="B18" s="135"/>
      <c r="C18" s="798"/>
      <c r="D18" s="798"/>
      <c r="E18" s="798"/>
      <c r="F18" s="798"/>
      <c r="G18" s="798"/>
      <c r="H18" s="158"/>
      <c r="I18" s="158"/>
      <c r="J18" s="783" t="str">
        <f>TEXT(M18,"dddd")</f>
        <v>Friday</v>
      </c>
      <c r="K18" s="783"/>
      <c r="L18" s="783"/>
      <c r="M18" s="784">
        <v>44197</v>
      </c>
      <c r="N18" s="784"/>
      <c r="O18" s="784"/>
      <c r="P18" s="785" t="s">
        <v>947</v>
      </c>
      <c r="Q18" s="785"/>
      <c r="R18" s="785"/>
      <c r="S18" s="785"/>
      <c r="T18" s="785"/>
      <c r="U18" s="785"/>
      <c r="V18" s="786"/>
      <c r="W18" s="786"/>
      <c r="X18" s="159" t="str">
        <f t="shared" ref="X18:X28" si="0">IF(AU18=TRUE,VLOOKUP(J18,$C$19:$G$25,4,FALSE),"")</f>
        <v/>
      </c>
      <c r="Y18" s="258"/>
      <c r="Z18" s="65"/>
      <c r="AA18" s="798"/>
      <c r="AB18" s="798"/>
      <c r="AC18" s="798"/>
      <c r="AD18" s="798"/>
      <c r="AE18" s="798"/>
      <c r="AF18" s="157"/>
      <c r="AG18" s="157"/>
      <c r="AH18" s="157"/>
      <c r="AI18" s="157"/>
      <c r="AJ18" s="157"/>
      <c r="AK18" s="157"/>
      <c r="AL18" s="157"/>
      <c r="AM18" s="157"/>
      <c r="AN18" s="157"/>
      <c r="AO18" s="157"/>
      <c r="AP18" s="152"/>
      <c r="AQ18" s="135"/>
      <c r="AR18" s="135"/>
      <c r="AU18" s="162" t="b">
        <v>0</v>
      </c>
    </row>
    <row r="19" spans="2:47" ht="15.95" customHeight="1" x14ac:dyDescent="0.25">
      <c r="B19" s="135"/>
      <c r="C19" s="794" t="s">
        <v>948</v>
      </c>
      <c r="D19" s="794"/>
      <c r="E19" s="794"/>
      <c r="F19" s="791"/>
      <c r="G19" s="791"/>
      <c r="H19" s="158"/>
      <c r="I19" s="158"/>
      <c r="J19" s="783" t="str">
        <f t="shared" ref="J19:J28" si="1">TEXT(M19,"dddd")</f>
        <v>Monday</v>
      </c>
      <c r="K19" s="783"/>
      <c r="L19" s="783"/>
      <c r="M19" s="784">
        <v>44214</v>
      </c>
      <c r="N19" s="784"/>
      <c r="O19" s="784"/>
      <c r="P19" s="785" t="s">
        <v>949</v>
      </c>
      <c r="Q19" s="785"/>
      <c r="R19" s="785"/>
      <c r="S19" s="785"/>
      <c r="T19" s="785"/>
      <c r="U19" s="785"/>
      <c r="V19" s="786"/>
      <c r="W19" s="786"/>
      <c r="X19" s="159" t="str">
        <f t="shared" si="0"/>
        <v/>
      </c>
      <c r="Y19" s="258"/>
      <c r="Z19" s="65"/>
      <c r="AA19" s="785" t="s">
        <v>950</v>
      </c>
      <c r="AB19" s="785"/>
      <c r="AC19" s="785"/>
      <c r="AD19" s="795">
        <v>52.14</v>
      </c>
      <c r="AE19" s="796"/>
      <c r="AF19" s="157"/>
      <c r="AG19" s="157"/>
      <c r="AH19" s="157"/>
      <c r="AI19" s="157"/>
      <c r="AJ19" s="157"/>
      <c r="AK19" s="157"/>
      <c r="AL19" s="157"/>
      <c r="AM19" s="157"/>
      <c r="AN19" s="157"/>
      <c r="AO19" s="157"/>
      <c r="AP19" s="152"/>
      <c r="AQ19" s="135"/>
      <c r="AR19" s="135"/>
      <c r="AU19" s="162" t="b">
        <v>0</v>
      </c>
    </row>
    <row r="20" spans="2:47" ht="15.95" customHeight="1" x14ac:dyDescent="0.25">
      <c r="B20" s="135"/>
      <c r="C20" s="794" t="s">
        <v>951</v>
      </c>
      <c r="D20" s="794"/>
      <c r="E20" s="794"/>
      <c r="F20" s="791"/>
      <c r="G20" s="791"/>
      <c r="H20" s="158"/>
      <c r="I20" s="158"/>
      <c r="J20" s="783" t="str">
        <f t="shared" si="1"/>
        <v>Monday</v>
      </c>
      <c r="K20" s="783"/>
      <c r="L20" s="783"/>
      <c r="M20" s="784">
        <v>44242</v>
      </c>
      <c r="N20" s="784"/>
      <c r="O20" s="784"/>
      <c r="P20" s="785" t="s">
        <v>952</v>
      </c>
      <c r="Q20" s="785"/>
      <c r="R20" s="785"/>
      <c r="S20" s="785"/>
      <c r="T20" s="785"/>
      <c r="U20" s="785"/>
      <c r="V20" s="786"/>
      <c r="W20" s="786"/>
      <c r="X20" s="159" t="str">
        <f t="shared" si="0"/>
        <v/>
      </c>
      <c r="Y20" s="258"/>
      <c r="Z20" s="65"/>
      <c r="AA20" s="145"/>
      <c r="AB20" s="157"/>
      <c r="AC20" s="145"/>
      <c r="AD20" s="145"/>
      <c r="AE20" s="145"/>
      <c r="AF20" s="157"/>
      <c r="AG20" s="157"/>
      <c r="AH20" s="157"/>
      <c r="AI20" s="157"/>
      <c r="AJ20" s="157"/>
      <c r="AK20" s="157"/>
      <c r="AL20" s="157"/>
      <c r="AM20" s="157"/>
      <c r="AN20" s="157"/>
      <c r="AO20" s="157"/>
      <c r="AP20" s="152"/>
      <c r="AQ20" s="135"/>
      <c r="AR20" s="135"/>
      <c r="AU20" s="163" t="b">
        <v>0</v>
      </c>
    </row>
    <row r="21" spans="2:47" ht="15.95" customHeight="1" x14ac:dyDescent="0.25">
      <c r="B21" s="135"/>
      <c r="C21" s="794" t="s">
        <v>953</v>
      </c>
      <c r="D21" s="794"/>
      <c r="E21" s="794"/>
      <c r="F21" s="791"/>
      <c r="G21" s="791"/>
      <c r="H21" s="158"/>
      <c r="I21" s="158"/>
      <c r="J21" s="783" t="str">
        <f t="shared" si="1"/>
        <v>Monday</v>
      </c>
      <c r="K21" s="783"/>
      <c r="L21" s="783"/>
      <c r="M21" s="784">
        <v>44347</v>
      </c>
      <c r="N21" s="784"/>
      <c r="O21" s="784"/>
      <c r="P21" s="785" t="s">
        <v>954</v>
      </c>
      <c r="Q21" s="785"/>
      <c r="R21" s="785"/>
      <c r="S21" s="785"/>
      <c r="T21" s="785"/>
      <c r="U21" s="785"/>
      <c r="V21" s="786"/>
      <c r="W21" s="786"/>
      <c r="X21" s="159" t="str">
        <f t="shared" si="0"/>
        <v/>
      </c>
      <c r="Y21" s="258"/>
      <c r="Z21" s="65"/>
      <c r="AA21" s="145"/>
      <c r="AB21" s="161"/>
      <c r="AC21" s="161"/>
      <c r="AD21" s="161"/>
      <c r="AE21" s="161"/>
      <c r="AF21" s="161"/>
      <c r="AG21" s="161"/>
      <c r="AH21" s="161"/>
      <c r="AI21" s="161"/>
      <c r="AJ21" s="161"/>
      <c r="AK21" s="161"/>
      <c r="AL21" s="161"/>
      <c r="AM21" s="161"/>
      <c r="AN21" s="161"/>
      <c r="AO21" s="161"/>
      <c r="AP21" s="161"/>
      <c r="AQ21" s="135"/>
      <c r="AR21" s="135"/>
      <c r="AU21" s="163" t="b">
        <v>0</v>
      </c>
    </row>
    <row r="22" spans="2:47" ht="15.95" customHeight="1" x14ac:dyDescent="0.25">
      <c r="B22" s="135"/>
      <c r="C22" s="794" t="s">
        <v>955</v>
      </c>
      <c r="D22" s="794"/>
      <c r="E22" s="794"/>
      <c r="F22" s="791"/>
      <c r="G22" s="791"/>
      <c r="H22" s="158"/>
      <c r="I22" s="158"/>
      <c r="J22" s="783" t="str">
        <f t="shared" si="1"/>
        <v>Monday</v>
      </c>
      <c r="K22" s="783"/>
      <c r="L22" s="783"/>
      <c r="M22" s="784">
        <v>44382</v>
      </c>
      <c r="N22" s="784"/>
      <c r="O22" s="784"/>
      <c r="P22" s="785" t="s">
        <v>2281</v>
      </c>
      <c r="Q22" s="785"/>
      <c r="R22" s="785"/>
      <c r="S22" s="785"/>
      <c r="T22" s="785"/>
      <c r="U22" s="785"/>
      <c r="V22" s="786"/>
      <c r="W22" s="786"/>
      <c r="X22" s="159" t="str">
        <f t="shared" si="0"/>
        <v/>
      </c>
      <c r="Y22" s="258"/>
      <c r="Z22" s="65"/>
      <c r="AA22" s="790" t="s">
        <v>1338</v>
      </c>
      <c r="AB22" s="790"/>
      <c r="AC22" s="790"/>
      <c r="AD22" s="790"/>
      <c r="AE22" s="790"/>
      <c r="AF22" s="790"/>
      <c r="AG22" s="790"/>
      <c r="AH22" s="790"/>
      <c r="AI22" s="790"/>
      <c r="AJ22" s="790"/>
      <c r="AK22" s="790"/>
      <c r="AL22" s="790"/>
      <c r="AM22" s="790"/>
      <c r="AN22" s="790"/>
      <c r="AO22" s="790"/>
      <c r="AP22" s="790"/>
      <c r="AQ22" s="135"/>
      <c r="AR22" s="135"/>
      <c r="AU22" s="164" t="b">
        <v>0</v>
      </c>
    </row>
    <row r="23" spans="2:47" ht="15.95" customHeight="1" x14ac:dyDescent="0.25">
      <c r="B23" s="135"/>
      <c r="C23" s="794" t="s">
        <v>956</v>
      </c>
      <c r="D23" s="794"/>
      <c r="E23" s="794"/>
      <c r="F23" s="791"/>
      <c r="G23" s="791"/>
      <c r="H23" s="158"/>
      <c r="I23" s="158"/>
      <c r="J23" s="783" t="str">
        <f t="shared" si="1"/>
        <v>Monday</v>
      </c>
      <c r="K23" s="783"/>
      <c r="L23" s="783"/>
      <c r="M23" s="784">
        <v>44445</v>
      </c>
      <c r="N23" s="784"/>
      <c r="O23" s="784"/>
      <c r="P23" s="785" t="s">
        <v>957</v>
      </c>
      <c r="Q23" s="785"/>
      <c r="R23" s="785"/>
      <c r="S23" s="785"/>
      <c r="T23" s="785"/>
      <c r="U23" s="785"/>
      <c r="V23" s="786"/>
      <c r="W23" s="786"/>
      <c r="X23" s="159" t="str">
        <f t="shared" si="0"/>
        <v/>
      </c>
      <c r="Y23" s="258"/>
      <c r="Z23" s="65"/>
      <c r="AA23" s="331" t="s">
        <v>1303</v>
      </c>
      <c r="AB23" s="804" t="s">
        <v>1307</v>
      </c>
      <c r="AC23" s="790"/>
      <c r="AD23" s="790"/>
      <c r="AE23" s="790"/>
      <c r="AF23" s="790"/>
      <c r="AG23" s="790"/>
      <c r="AH23" s="790"/>
      <c r="AI23" s="790"/>
      <c r="AJ23" s="790"/>
      <c r="AK23" s="790"/>
      <c r="AL23" s="790"/>
      <c r="AM23" s="790"/>
      <c r="AN23" s="790"/>
      <c r="AO23" s="790"/>
      <c r="AP23" s="790"/>
      <c r="AQ23" s="135"/>
      <c r="AR23" s="135"/>
      <c r="AU23" s="164" t="b">
        <v>0</v>
      </c>
    </row>
    <row r="24" spans="2:47" ht="15.95" customHeight="1" x14ac:dyDescent="0.25">
      <c r="B24" s="135"/>
      <c r="C24" s="794" t="s">
        <v>958</v>
      </c>
      <c r="D24" s="794"/>
      <c r="E24" s="794"/>
      <c r="F24" s="791"/>
      <c r="G24" s="791"/>
      <c r="H24" s="158"/>
      <c r="I24" s="158"/>
      <c r="J24" s="783" t="str">
        <f t="shared" si="1"/>
        <v>Monday</v>
      </c>
      <c r="K24" s="783"/>
      <c r="L24" s="783"/>
      <c r="M24" s="784">
        <v>44480</v>
      </c>
      <c r="N24" s="784"/>
      <c r="O24" s="784"/>
      <c r="P24" s="785" t="s">
        <v>959</v>
      </c>
      <c r="Q24" s="785"/>
      <c r="R24" s="785"/>
      <c r="S24" s="785"/>
      <c r="T24" s="785"/>
      <c r="U24" s="785"/>
      <c r="V24" s="786"/>
      <c r="W24" s="786"/>
      <c r="X24" s="159" t="str">
        <f t="shared" si="0"/>
        <v/>
      </c>
      <c r="Y24" s="258"/>
      <c r="Z24" s="65"/>
      <c r="AA24" s="332"/>
      <c r="AB24" s="790"/>
      <c r="AC24" s="790"/>
      <c r="AD24" s="790"/>
      <c r="AE24" s="790"/>
      <c r="AF24" s="790"/>
      <c r="AG24" s="790"/>
      <c r="AH24" s="790"/>
      <c r="AI24" s="790"/>
      <c r="AJ24" s="790"/>
      <c r="AK24" s="790"/>
      <c r="AL24" s="790"/>
      <c r="AM24" s="790"/>
      <c r="AN24" s="790"/>
      <c r="AO24" s="790"/>
      <c r="AP24" s="790"/>
      <c r="AQ24" s="135"/>
      <c r="AR24" s="135"/>
      <c r="AU24" s="164" t="b">
        <v>0</v>
      </c>
    </row>
    <row r="25" spans="2:47" ht="15.95" customHeight="1" x14ac:dyDescent="0.25">
      <c r="B25" s="135"/>
      <c r="C25" s="794" t="s">
        <v>960</v>
      </c>
      <c r="D25" s="794"/>
      <c r="E25" s="794"/>
      <c r="F25" s="791"/>
      <c r="G25" s="791"/>
      <c r="H25" s="158"/>
      <c r="I25" s="158"/>
      <c r="J25" s="783" t="str">
        <f t="shared" si="1"/>
        <v>Thursday</v>
      </c>
      <c r="K25" s="783"/>
      <c r="L25" s="783"/>
      <c r="M25" s="784">
        <v>44511</v>
      </c>
      <c r="N25" s="784"/>
      <c r="O25" s="784"/>
      <c r="P25" s="785" t="s">
        <v>961</v>
      </c>
      <c r="Q25" s="785"/>
      <c r="R25" s="785"/>
      <c r="S25" s="785"/>
      <c r="T25" s="785"/>
      <c r="U25" s="785"/>
      <c r="V25" s="786"/>
      <c r="W25" s="786"/>
      <c r="X25" s="159" t="str">
        <f t="shared" si="0"/>
        <v/>
      </c>
      <c r="Y25" s="258"/>
      <c r="Z25" s="160"/>
      <c r="AA25" s="332"/>
      <c r="AB25" s="790"/>
      <c r="AC25" s="790"/>
      <c r="AD25" s="790"/>
      <c r="AE25" s="790"/>
      <c r="AF25" s="790"/>
      <c r="AG25" s="790"/>
      <c r="AH25" s="790"/>
      <c r="AI25" s="790"/>
      <c r="AJ25" s="790"/>
      <c r="AK25" s="790"/>
      <c r="AL25" s="790"/>
      <c r="AM25" s="790"/>
      <c r="AN25" s="790"/>
      <c r="AO25" s="790"/>
      <c r="AP25" s="790"/>
      <c r="AQ25" s="135"/>
      <c r="AR25" s="135"/>
      <c r="AU25" s="164" t="b">
        <v>0</v>
      </c>
    </row>
    <row r="26" spans="2:47" ht="15.95" customHeight="1" x14ac:dyDescent="0.25">
      <c r="B26" s="135"/>
      <c r="C26" s="792" t="s">
        <v>962</v>
      </c>
      <c r="D26" s="792"/>
      <c r="E26" s="792"/>
      <c r="F26" s="793">
        <f>SUM(F19:G25)</f>
        <v>0</v>
      </c>
      <c r="G26" s="793"/>
      <c r="H26" s="158"/>
      <c r="I26" s="158"/>
      <c r="J26" s="783" t="str">
        <f t="shared" si="1"/>
        <v>Thursday</v>
      </c>
      <c r="K26" s="783"/>
      <c r="L26" s="783"/>
      <c r="M26" s="784">
        <v>44525</v>
      </c>
      <c r="N26" s="784"/>
      <c r="O26" s="784"/>
      <c r="P26" s="785" t="s">
        <v>963</v>
      </c>
      <c r="Q26" s="785"/>
      <c r="R26" s="785"/>
      <c r="S26" s="785"/>
      <c r="T26" s="785"/>
      <c r="U26" s="785"/>
      <c r="V26" s="786"/>
      <c r="W26" s="786"/>
      <c r="X26" s="159" t="str">
        <f t="shared" si="0"/>
        <v/>
      </c>
      <c r="Y26" s="258"/>
      <c r="Z26" s="160"/>
      <c r="AA26" s="331" t="s">
        <v>1303</v>
      </c>
      <c r="AB26" s="790" t="s">
        <v>964</v>
      </c>
      <c r="AC26" s="790"/>
      <c r="AD26" s="790"/>
      <c r="AE26" s="790"/>
      <c r="AF26" s="790"/>
      <c r="AG26" s="790"/>
      <c r="AH26" s="790"/>
      <c r="AI26" s="790"/>
      <c r="AJ26" s="790"/>
      <c r="AK26" s="790"/>
      <c r="AL26" s="790"/>
      <c r="AM26" s="790"/>
      <c r="AN26" s="790"/>
      <c r="AO26" s="790"/>
      <c r="AP26" s="790"/>
      <c r="AQ26" s="135"/>
      <c r="AR26" s="135"/>
      <c r="AU26" s="164" t="b">
        <v>0</v>
      </c>
    </row>
    <row r="27" spans="2:47" ht="15.95" customHeight="1" x14ac:dyDescent="0.25">
      <c r="B27" s="135"/>
      <c r="C27" s="158"/>
      <c r="D27" s="158"/>
      <c r="E27" s="158"/>
      <c r="F27" s="158"/>
      <c r="G27" s="158"/>
      <c r="H27" s="158"/>
      <c r="I27" s="158"/>
      <c r="J27" s="783" t="str">
        <f t="shared" si="1"/>
        <v>Friday</v>
      </c>
      <c r="K27" s="783"/>
      <c r="L27" s="783"/>
      <c r="M27" s="784">
        <v>44554</v>
      </c>
      <c r="N27" s="784"/>
      <c r="O27" s="784"/>
      <c r="P27" s="785" t="s">
        <v>965</v>
      </c>
      <c r="Q27" s="785"/>
      <c r="R27" s="785"/>
      <c r="S27" s="785"/>
      <c r="T27" s="785"/>
      <c r="U27" s="785"/>
      <c r="V27" s="786"/>
      <c r="W27" s="786"/>
      <c r="X27" s="159" t="str">
        <f t="shared" si="0"/>
        <v/>
      </c>
      <c r="Y27" s="258"/>
      <c r="Z27" s="160"/>
      <c r="AA27" s="333"/>
      <c r="AB27" s="333"/>
      <c r="AC27" s="333"/>
      <c r="AD27" s="333"/>
      <c r="AE27" s="333"/>
      <c r="AF27" s="333"/>
      <c r="AG27" s="333"/>
      <c r="AH27" s="333"/>
      <c r="AI27" s="333"/>
      <c r="AJ27" s="333"/>
      <c r="AK27" s="333"/>
      <c r="AL27" s="333"/>
      <c r="AM27" s="333"/>
      <c r="AN27" s="333"/>
      <c r="AO27" s="333"/>
      <c r="AP27" s="333"/>
      <c r="AQ27" s="135"/>
      <c r="AR27" s="135"/>
      <c r="AU27" s="164" t="b">
        <v>0</v>
      </c>
    </row>
    <row r="28" spans="2:47" ht="15.95" customHeight="1" x14ac:dyDescent="0.25">
      <c r="B28" s="135"/>
      <c r="C28" s="158"/>
      <c r="D28" s="158"/>
      <c r="E28" s="158"/>
      <c r="F28" s="158"/>
      <c r="G28" s="158"/>
      <c r="H28" s="158"/>
      <c r="I28" s="158"/>
      <c r="J28" s="783" t="str">
        <f t="shared" si="1"/>
        <v>Saturday</v>
      </c>
      <c r="K28" s="783"/>
      <c r="L28" s="783"/>
      <c r="M28" s="784">
        <v>44555</v>
      </c>
      <c r="N28" s="784"/>
      <c r="O28" s="784"/>
      <c r="P28" s="785" t="s">
        <v>966</v>
      </c>
      <c r="Q28" s="785"/>
      <c r="R28" s="785"/>
      <c r="S28" s="785"/>
      <c r="T28" s="785"/>
      <c r="U28" s="785"/>
      <c r="V28" s="786"/>
      <c r="W28" s="786"/>
      <c r="X28" s="159" t="str">
        <f t="shared" si="0"/>
        <v/>
      </c>
      <c r="Y28" s="258"/>
      <c r="Z28" s="160"/>
      <c r="AA28" s="331" t="s">
        <v>1303</v>
      </c>
      <c r="AB28" s="790" t="s">
        <v>1381</v>
      </c>
      <c r="AC28" s="790"/>
      <c r="AD28" s="790"/>
      <c r="AE28" s="790"/>
      <c r="AF28" s="790"/>
      <c r="AG28" s="790"/>
      <c r="AH28" s="790"/>
      <c r="AI28" s="790"/>
      <c r="AJ28" s="790"/>
      <c r="AK28" s="790"/>
      <c r="AL28" s="790"/>
      <c r="AM28" s="790"/>
      <c r="AN28" s="790"/>
      <c r="AO28" s="790"/>
      <c r="AP28" s="790"/>
      <c r="AQ28" s="135"/>
      <c r="AR28" s="135"/>
      <c r="AU28" s="164" t="b">
        <v>0</v>
      </c>
    </row>
    <row r="29" spans="2:47" ht="15.95" customHeight="1" x14ac:dyDescent="0.25">
      <c r="B29" s="135"/>
      <c r="C29" s="155"/>
      <c r="D29" s="155"/>
      <c r="E29" s="155"/>
      <c r="F29" s="155"/>
      <c r="G29" s="155"/>
      <c r="H29" s="155"/>
      <c r="I29" s="155"/>
      <c r="J29" s="783" t="s">
        <v>1378</v>
      </c>
      <c r="K29" s="783"/>
      <c r="L29" s="783"/>
      <c r="M29" s="788" t="s">
        <v>1379</v>
      </c>
      <c r="N29" s="788"/>
      <c r="O29" s="788"/>
      <c r="P29" s="789" t="s">
        <v>1380</v>
      </c>
      <c r="Q29" s="789"/>
      <c r="R29" s="789"/>
      <c r="S29" s="789"/>
      <c r="T29" s="789"/>
      <c r="U29" s="789"/>
      <c r="V29" s="64"/>
      <c r="W29" s="64"/>
      <c r="X29" s="345"/>
      <c r="Y29" s="259"/>
      <c r="Z29" s="155"/>
      <c r="AA29" s="155"/>
      <c r="AB29" s="790"/>
      <c r="AC29" s="790"/>
      <c r="AD29" s="790"/>
      <c r="AE29" s="790"/>
      <c r="AF29" s="790"/>
      <c r="AG29" s="790"/>
      <c r="AH29" s="790"/>
      <c r="AI29" s="790"/>
      <c r="AJ29" s="790"/>
      <c r="AK29" s="790"/>
      <c r="AL29" s="790"/>
      <c r="AM29" s="790"/>
      <c r="AN29" s="790"/>
      <c r="AO29" s="790"/>
      <c r="AP29" s="790"/>
      <c r="AQ29" s="135"/>
      <c r="AR29" s="135"/>
    </row>
    <row r="30" spans="2:47" ht="15.95" customHeight="1" x14ac:dyDescent="0.25">
      <c r="B30" s="135"/>
      <c r="C30" s="135"/>
      <c r="D30" s="135"/>
      <c r="E30" s="135"/>
      <c r="F30" s="135"/>
      <c r="G30" s="135"/>
      <c r="H30" s="135"/>
      <c r="I30" s="135"/>
      <c r="J30" s="787" t="s">
        <v>967</v>
      </c>
      <c r="K30" s="787"/>
      <c r="L30" s="787"/>
      <c r="M30" s="787"/>
      <c r="N30" s="787"/>
      <c r="O30" s="787"/>
      <c r="P30" s="787"/>
      <c r="Q30" s="787"/>
      <c r="R30" s="787"/>
      <c r="S30" s="787"/>
      <c r="T30" s="787"/>
      <c r="U30" s="787"/>
      <c r="V30" s="787"/>
      <c r="W30" s="787"/>
      <c r="X30" s="346">
        <f>SUM(X18:X29)</f>
        <v>0</v>
      </c>
      <c r="Y30" s="135"/>
      <c r="Z30" s="135"/>
      <c r="AA30" s="135"/>
      <c r="AB30" s="790"/>
      <c r="AC30" s="790"/>
      <c r="AD30" s="790"/>
      <c r="AE30" s="790"/>
      <c r="AF30" s="790"/>
      <c r="AG30" s="790"/>
      <c r="AH30" s="790"/>
      <c r="AI30" s="790"/>
      <c r="AJ30" s="790"/>
      <c r="AK30" s="790"/>
      <c r="AL30" s="790"/>
      <c r="AM30" s="790"/>
      <c r="AN30" s="790"/>
      <c r="AO30" s="790"/>
      <c r="AP30" s="790"/>
      <c r="AQ30" s="135"/>
      <c r="AR30" s="135"/>
    </row>
    <row r="31" spans="2:47" ht="15.95" customHeight="1" x14ac:dyDescent="0.25">
      <c r="B31" s="135"/>
      <c r="C31" s="135"/>
      <c r="D31" s="135"/>
      <c r="E31" s="135"/>
      <c r="F31" s="135"/>
      <c r="G31" s="135"/>
      <c r="H31" s="135"/>
      <c r="I31" s="135"/>
      <c r="J31" s="135"/>
      <c r="K31" s="135"/>
      <c r="L31" s="135"/>
      <c r="M31" s="135"/>
      <c r="N31" s="135"/>
      <c r="O31" s="135"/>
      <c r="P31" s="135"/>
      <c r="Q31" s="135"/>
      <c r="R31" s="135"/>
      <c r="S31" s="135"/>
      <c r="T31" s="135"/>
      <c r="U31" s="135"/>
      <c r="V31" s="135"/>
      <c r="W31" s="135"/>
      <c r="X31" s="135"/>
      <c r="Y31" s="135"/>
      <c r="Z31" s="135"/>
      <c r="AA31" s="135"/>
      <c r="AB31" s="790"/>
      <c r="AC31" s="790"/>
      <c r="AD31" s="790"/>
      <c r="AE31" s="790"/>
      <c r="AF31" s="790"/>
      <c r="AG31" s="790"/>
      <c r="AH31" s="790"/>
      <c r="AI31" s="790"/>
      <c r="AJ31" s="790"/>
      <c r="AK31" s="790"/>
      <c r="AL31" s="790"/>
      <c r="AM31" s="790"/>
      <c r="AN31" s="790"/>
      <c r="AO31" s="790"/>
      <c r="AP31" s="790"/>
      <c r="AQ31" s="135"/>
      <c r="AR31" s="135"/>
    </row>
    <row r="32" spans="2:47" ht="15.95" customHeight="1" x14ac:dyDescent="0.25">
      <c r="B32" s="135"/>
      <c r="C32" s="135"/>
      <c r="D32" s="135"/>
      <c r="E32" s="135"/>
      <c r="F32" s="135"/>
      <c r="G32" s="135"/>
      <c r="H32" s="135"/>
      <c r="I32" s="135"/>
      <c r="J32" s="135"/>
      <c r="K32" s="135"/>
      <c r="L32" s="135"/>
      <c r="M32" s="135"/>
      <c r="N32" s="135"/>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c r="AO32" s="135"/>
      <c r="AP32" s="135"/>
      <c r="AQ32" s="135"/>
      <c r="AR32" s="135"/>
    </row>
    <row r="33" spans="2:44" ht="15.95" customHeight="1" x14ac:dyDescent="0.25">
      <c r="B33" s="135"/>
      <c r="C33" s="135"/>
      <c r="D33" s="135"/>
      <c r="AP33" s="135"/>
      <c r="AQ33" s="135"/>
      <c r="AR33" s="135"/>
    </row>
    <row r="34" spans="2:44" ht="15.95" customHeight="1" x14ac:dyDescent="0.25">
      <c r="B34" s="135"/>
      <c r="C34" s="135"/>
      <c r="D34" s="135"/>
      <c r="AP34" s="135"/>
      <c r="AQ34" s="135"/>
      <c r="AR34" s="135"/>
    </row>
    <row r="35" spans="2:44" ht="15.95" customHeight="1" x14ac:dyDescent="0.25">
      <c r="B35" s="135"/>
      <c r="AQ35" s="135"/>
      <c r="AR35" s="135"/>
    </row>
    <row r="36" spans="2:44" ht="15.95" hidden="1" customHeight="1" x14ac:dyDescent="0.25">
      <c r="B36" s="135"/>
      <c r="AQ36" s="135"/>
      <c r="AR36" s="135"/>
    </row>
    <row r="37" spans="2:44" s="63" customFormat="1" ht="15.95" hidden="1" customHeight="1" x14ac:dyDescent="0.25">
      <c r="B37" s="135"/>
      <c r="AQ37" s="135"/>
      <c r="AR37" s="135"/>
    </row>
    <row r="38" spans="2:44" ht="15.95" hidden="1" customHeight="1" x14ac:dyDescent="0.25">
      <c r="B38" s="135"/>
      <c r="AQ38" s="135"/>
      <c r="AR38" s="135"/>
    </row>
    <row r="39" spans="2:44" ht="15.95" hidden="1" customHeight="1" x14ac:dyDescent="0.25">
      <c r="B39" s="135"/>
      <c r="AQ39" s="135"/>
      <c r="AR39" s="135"/>
    </row>
    <row r="40" spans="2:44" ht="15.95" hidden="1" customHeight="1" x14ac:dyDescent="0.25">
      <c r="B40" s="135"/>
      <c r="AQ40" s="135"/>
      <c r="AR40" s="135"/>
    </row>
    <row r="41" spans="2:44" ht="15.95" hidden="1" customHeight="1" x14ac:dyDescent="0.25">
      <c r="B41" s="135"/>
      <c r="AQ41" s="135"/>
      <c r="AR41" s="135"/>
    </row>
    <row r="42" spans="2:44" ht="15.95" hidden="1" customHeight="1" x14ac:dyDescent="0.25">
      <c r="B42" s="135"/>
      <c r="AQ42" s="135"/>
      <c r="AR42" s="135"/>
    </row>
    <row r="43" spans="2:44" ht="15.95" hidden="1" customHeight="1" x14ac:dyDescent="0.25">
      <c r="B43" s="135"/>
      <c r="AQ43" s="135"/>
      <c r="AR43" s="135"/>
    </row>
    <row r="44" spans="2:44" ht="15.95" hidden="1" customHeight="1" x14ac:dyDescent="0.25">
      <c r="B44" s="135"/>
      <c r="AQ44" s="135"/>
      <c r="AR44" s="135"/>
    </row>
    <row r="45" spans="2:44" ht="15.95" hidden="1" customHeight="1" x14ac:dyDescent="0.25">
      <c r="B45" s="135"/>
      <c r="AQ45" s="135"/>
      <c r="AR45" s="135"/>
    </row>
    <row r="46" spans="2:44" ht="15.95" hidden="1" customHeight="1" x14ac:dyDescent="0.25">
      <c r="B46" s="135"/>
      <c r="AQ46" s="135"/>
      <c r="AR46" s="135"/>
    </row>
    <row r="47" spans="2:44" ht="15.95" hidden="1" customHeight="1" x14ac:dyDescent="0.25">
      <c r="B47" s="135"/>
      <c r="AQ47" s="135"/>
      <c r="AR47" s="135"/>
    </row>
    <row r="48" spans="2:44" ht="15.95" hidden="1" customHeight="1" x14ac:dyDescent="0.25">
      <c r="B48" s="135"/>
      <c r="AQ48" s="135"/>
      <c r="AR48" s="135"/>
    </row>
    <row r="49" spans="2:44" ht="15.95" hidden="1" customHeight="1" x14ac:dyDescent="0.25">
      <c r="B49" s="135"/>
      <c r="AQ49" s="135"/>
      <c r="AR49" s="135"/>
    </row>
    <row r="50" spans="2:44" ht="15.95" hidden="1" customHeight="1" x14ac:dyDescent="0.25">
      <c r="B50" s="135"/>
      <c r="AQ50" s="135"/>
      <c r="AR50" s="135"/>
    </row>
    <row r="51" spans="2:44" ht="15.95" hidden="1" customHeight="1" x14ac:dyDescent="0.25">
      <c r="B51" s="135"/>
      <c r="AQ51" s="135"/>
      <c r="AR51" s="135"/>
    </row>
    <row r="52" spans="2:44" ht="15.95" hidden="1" customHeight="1" x14ac:dyDescent="0.25">
      <c r="B52" s="135"/>
      <c r="AQ52" s="135"/>
      <c r="AR52" s="135"/>
    </row>
    <row r="53" spans="2:44" ht="15.95" hidden="1" customHeight="1" x14ac:dyDescent="0.25">
      <c r="B53" s="135"/>
      <c r="C53" s="135"/>
      <c r="D53" s="135"/>
      <c r="AP53" s="135"/>
      <c r="AQ53" s="135"/>
      <c r="AR53" s="135"/>
    </row>
    <row r="54" spans="2:44" ht="15.95" hidden="1" customHeight="1" x14ac:dyDescent="0.25">
      <c r="B54" s="135"/>
      <c r="C54" s="135"/>
      <c r="D54" s="135"/>
      <c r="AP54" s="135"/>
      <c r="AQ54" s="135"/>
      <c r="AR54" s="135"/>
    </row>
    <row r="55" spans="2:44" ht="15.95" hidden="1" customHeight="1" x14ac:dyDescent="0.25">
      <c r="B55" s="135"/>
      <c r="C55" s="135"/>
      <c r="D55" s="135"/>
      <c r="AP55" s="135"/>
      <c r="AQ55" s="135"/>
      <c r="AR55" s="135"/>
    </row>
    <row r="56" spans="2:44" ht="15.95" hidden="1" customHeight="1" x14ac:dyDescent="0.25">
      <c r="B56" s="135"/>
      <c r="C56" s="135"/>
      <c r="D56" s="135"/>
      <c r="AP56" s="135"/>
      <c r="AQ56" s="135"/>
      <c r="AR56" s="135"/>
    </row>
    <row r="57" spans="2:44" ht="15.95" hidden="1" customHeight="1" x14ac:dyDescent="0.25">
      <c r="B57" s="135"/>
      <c r="C57" s="135"/>
      <c r="D57" s="135"/>
      <c r="AP57" s="135"/>
      <c r="AQ57" s="135"/>
      <c r="AR57" s="135"/>
    </row>
    <row r="58" spans="2:44" ht="15.95" hidden="1" customHeight="1" x14ac:dyDescent="0.25">
      <c r="B58" s="135"/>
      <c r="C58" s="135"/>
      <c r="D58" s="135"/>
      <c r="AP58" s="135"/>
      <c r="AQ58" s="135"/>
      <c r="AR58" s="135"/>
    </row>
    <row r="59" spans="2:44" ht="15.95" hidden="1" customHeight="1" x14ac:dyDescent="0.25">
      <c r="B59" s="135"/>
      <c r="C59" s="135"/>
      <c r="D59" s="135"/>
      <c r="AP59" s="135"/>
      <c r="AQ59" s="135"/>
      <c r="AR59" s="135"/>
    </row>
    <row r="60" spans="2:44" ht="15.95" hidden="1" customHeight="1" x14ac:dyDescent="0.25">
      <c r="B60" s="135"/>
      <c r="C60" s="135"/>
      <c r="D60" s="135"/>
      <c r="AP60" s="135"/>
      <c r="AQ60" s="135"/>
      <c r="AR60" s="135"/>
    </row>
    <row r="61" spans="2:44" ht="15.95" hidden="1" customHeight="1" x14ac:dyDescent="0.25">
      <c r="B61" s="135"/>
      <c r="C61" s="135"/>
      <c r="D61" s="135"/>
      <c r="AP61" s="135"/>
      <c r="AQ61" s="135"/>
      <c r="AR61" s="135"/>
    </row>
    <row r="62" spans="2:44" ht="15.95" hidden="1" customHeight="1" x14ac:dyDescent="0.25">
      <c r="B62" s="135"/>
      <c r="C62" s="135"/>
      <c r="D62" s="135"/>
      <c r="AP62" s="135"/>
      <c r="AQ62" s="135"/>
      <c r="AR62" s="135"/>
    </row>
    <row r="63" spans="2:44" ht="15.95" hidden="1" customHeight="1" x14ac:dyDescent="0.25">
      <c r="B63" s="135"/>
      <c r="C63" s="135"/>
      <c r="D63" s="135"/>
      <c r="AP63" s="135"/>
      <c r="AQ63" s="135"/>
      <c r="AR63" s="135"/>
    </row>
    <row r="64" spans="2:44" ht="15.95" hidden="1" customHeight="1" x14ac:dyDescent="0.25">
      <c r="B64" s="135"/>
      <c r="C64" s="135"/>
      <c r="D64" s="135"/>
      <c r="AP64" s="135"/>
      <c r="AQ64" s="135"/>
      <c r="AR64" s="135"/>
    </row>
    <row r="65" spans="2:44" ht="15.95" hidden="1" customHeight="1" x14ac:dyDescent="0.25">
      <c r="B65" s="135"/>
      <c r="C65" s="135"/>
      <c r="D65" s="135"/>
      <c r="AP65" s="135"/>
      <c r="AQ65" s="135"/>
      <c r="AR65" s="135"/>
    </row>
    <row r="66" spans="2:44" ht="15.95" hidden="1" customHeight="1" x14ac:dyDescent="0.25">
      <c r="B66" s="135"/>
      <c r="C66" s="135"/>
      <c r="D66" s="135"/>
      <c r="AP66" s="135"/>
      <c r="AQ66" s="135"/>
      <c r="AR66" s="135"/>
    </row>
    <row r="67" spans="2:44" ht="15.95" hidden="1" customHeight="1" x14ac:dyDescent="0.25">
      <c r="B67" s="135"/>
      <c r="C67" s="135"/>
      <c r="D67" s="135"/>
      <c r="AP67" s="135"/>
      <c r="AQ67" s="135"/>
      <c r="AR67" s="135"/>
    </row>
    <row r="68" spans="2:44" ht="15.95" hidden="1" customHeight="1" x14ac:dyDescent="0.25">
      <c r="B68" s="135"/>
      <c r="C68" s="135"/>
      <c r="D68" s="135"/>
      <c r="AP68" s="135"/>
      <c r="AQ68" s="135"/>
      <c r="AR68" s="135"/>
    </row>
    <row r="69" spans="2:44" ht="15.95" hidden="1" customHeight="1" x14ac:dyDescent="0.25">
      <c r="B69" s="135"/>
      <c r="C69" s="135"/>
      <c r="D69" s="135"/>
      <c r="AP69" s="135"/>
      <c r="AQ69" s="135"/>
      <c r="AR69" s="135"/>
    </row>
    <row r="70" spans="2:44" ht="15.95" hidden="1" customHeight="1" x14ac:dyDescent="0.25">
      <c r="B70" s="135"/>
      <c r="C70" s="135"/>
      <c r="D70" s="135"/>
      <c r="AP70" s="135"/>
      <c r="AQ70" s="135"/>
      <c r="AR70" s="135"/>
    </row>
    <row r="71" spans="2:44" ht="15.95" hidden="1" customHeight="1" x14ac:dyDescent="0.25">
      <c r="B71" s="135"/>
      <c r="C71" s="135"/>
      <c r="D71" s="135"/>
      <c r="AP71" s="135"/>
      <c r="AQ71" s="135"/>
      <c r="AR71" s="135"/>
    </row>
    <row r="72" spans="2:44" ht="15.95" hidden="1" customHeight="1" x14ac:dyDescent="0.25">
      <c r="B72" s="135"/>
      <c r="C72" s="135"/>
      <c r="D72" s="135"/>
      <c r="AP72" s="135"/>
      <c r="AQ72" s="135"/>
      <c r="AR72" s="135"/>
    </row>
    <row r="73" spans="2:44" ht="15.95" hidden="1" customHeight="1" x14ac:dyDescent="0.25">
      <c r="B73" s="135"/>
      <c r="C73" s="135"/>
      <c r="D73" s="135"/>
      <c r="AP73" s="135"/>
      <c r="AQ73" s="135"/>
      <c r="AR73" s="135"/>
    </row>
    <row r="74" spans="2:44" ht="15.95" hidden="1" customHeight="1" x14ac:dyDescent="0.25">
      <c r="B74" s="135"/>
      <c r="C74" s="135"/>
      <c r="D74" s="135"/>
      <c r="AP74" s="135"/>
      <c r="AQ74" s="135"/>
      <c r="AR74" s="135"/>
    </row>
    <row r="75" spans="2:44" ht="15.95" hidden="1" customHeight="1" x14ac:dyDescent="0.25">
      <c r="B75" s="135"/>
      <c r="C75" s="135"/>
      <c r="D75" s="135"/>
      <c r="AP75" s="135"/>
      <c r="AQ75" s="135"/>
      <c r="AR75" s="135"/>
    </row>
    <row r="76" spans="2:44" ht="15.95" hidden="1" customHeight="1" x14ac:dyDescent="0.25">
      <c r="B76" s="135"/>
      <c r="C76" s="135"/>
      <c r="D76" s="135"/>
      <c r="AP76" s="135"/>
      <c r="AQ76" s="135"/>
      <c r="AR76" s="135"/>
    </row>
    <row r="77" spans="2:44" ht="15.95" hidden="1" customHeight="1" x14ac:dyDescent="0.25">
      <c r="B77" s="135"/>
      <c r="C77" s="135"/>
      <c r="D77" s="135"/>
      <c r="AP77" s="135"/>
      <c r="AQ77" s="135"/>
      <c r="AR77" s="135"/>
    </row>
    <row r="78" spans="2:44" ht="15.95" hidden="1" customHeight="1" x14ac:dyDescent="0.25">
      <c r="B78" s="135"/>
      <c r="C78" s="135"/>
      <c r="D78" s="135"/>
      <c r="AP78" s="135"/>
      <c r="AQ78" s="135"/>
      <c r="AR78" s="135"/>
    </row>
    <row r="79" spans="2:44" ht="15.95" hidden="1" customHeight="1" x14ac:dyDescent="0.25">
      <c r="B79" s="135"/>
      <c r="C79" s="135"/>
      <c r="D79" s="135"/>
      <c r="AP79" s="135"/>
      <c r="AQ79" s="135"/>
      <c r="AR79" s="135"/>
    </row>
    <row r="80" spans="2:44" ht="15.95" hidden="1" customHeight="1" x14ac:dyDescent="0.25">
      <c r="B80" s="135"/>
      <c r="C80" s="135"/>
      <c r="D80" s="135"/>
      <c r="AP80" s="135"/>
      <c r="AQ80" s="135"/>
      <c r="AR80" s="135"/>
    </row>
    <row r="81" spans="2:44" ht="15.95" hidden="1" customHeight="1" x14ac:dyDescent="0.25">
      <c r="B81" s="135"/>
      <c r="C81" s="135"/>
      <c r="D81" s="135"/>
      <c r="AP81" s="135"/>
      <c r="AQ81" s="135"/>
      <c r="AR81" s="135"/>
    </row>
    <row r="82" spans="2:44" ht="15.95" hidden="1" customHeight="1" x14ac:dyDescent="0.25">
      <c r="B82" s="135"/>
      <c r="C82" s="135"/>
      <c r="D82" s="135"/>
      <c r="AP82" s="135"/>
      <c r="AQ82" s="135"/>
      <c r="AR82" s="135"/>
    </row>
    <row r="83" spans="2:44" ht="15.95" hidden="1" customHeight="1" x14ac:dyDescent="0.25">
      <c r="B83" s="135"/>
      <c r="C83" s="135"/>
      <c r="D83" s="135"/>
      <c r="AP83" s="135"/>
      <c r="AQ83" s="135"/>
      <c r="AR83" s="135"/>
    </row>
    <row r="84" spans="2:44" ht="15.95" hidden="1" customHeight="1" x14ac:dyDescent="0.25">
      <c r="B84" s="135"/>
      <c r="C84" s="135"/>
      <c r="D84" s="135"/>
      <c r="AP84" s="135"/>
      <c r="AQ84" s="135"/>
      <c r="AR84" s="135"/>
    </row>
    <row r="85" spans="2:44" ht="15.95" hidden="1" customHeight="1" x14ac:dyDescent="0.25">
      <c r="B85" s="135"/>
      <c r="C85" s="135"/>
      <c r="D85" s="135"/>
      <c r="AP85" s="135"/>
      <c r="AQ85" s="135"/>
      <c r="AR85" s="135"/>
    </row>
    <row r="86" spans="2:44" ht="15.95" hidden="1" customHeight="1" x14ac:dyDescent="0.25">
      <c r="B86" s="135"/>
      <c r="C86" s="135"/>
      <c r="D86" s="135"/>
      <c r="AP86" s="135"/>
      <c r="AQ86" s="135"/>
      <c r="AR86" s="135"/>
    </row>
    <row r="87" spans="2:44" ht="15.95" hidden="1" customHeight="1" x14ac:dyDescent="0.25">
      <c r="B87" s="135"/>
      <c r="C87" s="135"/>
      <c r="D87" s="135"/>
      <c r="AP87" s="135"/>
      <c r="AQ87" s="135"/>
      <c r="AR87" s="135"/>
    </row>
    <row r="88" spans="2:44" ht="15.95" hidden="1" customHeight="1" x14ac:dyDescent="0.25">
      <c r="B88" s="135"/>
      <c r="C88" s="135"/>
      <c r="D88" s="135"/>
      <c r="AP88" s="135"/>
      <c r="AQ88" s="135"/>
      <c r="AR88" s="135"/>
    </row>
    <row r="89" spans="2:44" ht="15.95" hidden="1" customHeight="1" x14ac:dyDescent="0.25">
      <c r="B89" s="135"/>
      <c r="C89" s="135"/>
      <c r="D89" s="135"/>
      <c r="AP89" s="135"/>
      <c r="AQ89" s="135"/>
      <c r="AR89" s="135"/>
    </row>
    <row r="90" spans="2:44" ht="15.95" hidden="1" customHeight="1" x14ac:dyDescent="0.25">
      <c r="B90" s="135"/>
      <c r="C90" s="135"/>
      <c r="D90" s="135"/>
      <c r="AP90" s="135"/>
      <c r="AQ90" s="135"/>
      <c r="AR90" s="135"/>
    </row>
    <row r="91" spans="2:44" ht="15.95" hidden="1" customHeight="1" x14ac:dyDescent="0.25">
      <c r="B91" s="135"/>
      <c r="C91" s="135"/>
      <c r="D91" s="135"/>
      <c r="AP91" s="135"/>
      <c r="AQ91" s="135"/>
      <c r="AR91" s="135"/>
    </row>
    <row r="92" spans="2:44" ht="15.95" hidden="1" customHeight="1" x14ac:dyDescent="0.25">
      <c r="B92" s="135"/>
      <c r="C92" s="135"/>
      <c r="D92" s="135"/>
      <c r="AP92" s="135"/>
      <c r="AQ92" s="135"/>
      <c r="AR92" s="135"/>
    </row>
    <row r="93" spans="2:44" ht="15.95" hidden="1" customHeight="1" x14ac:dyDescent="0.25">
      <c r="B93" s="135"/>
      <c r="C93" s="135"/>
      <c r="D93" s="135"/>
      <c r="E93" s="135"/>
      <c r="F93" s="135"/>
      <c r="G93" s="135"/>
      <c r="H93" s="135"/>
      <c r="I93" s="135"/>
      <c r="J93" s="135"/>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c r="AO93" s="135"/>
      <c r="AP93" s="135"/>
      <c r="AQ93" s="135"/>
      <c r="AR93" s="135"/>
    </row>
    <row r="94" spans="2:44" ht="15.95" hidden="1" customHeight="1" x14ac:dyDescent="0.25">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row>
    <row r="95" spans="2:44" ht="15.95" hidden="1" customHeight="1" x14ac:dyDescent="0.25">
      <c r="B95" s="135"/>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row>
    <row r="96" spans="2:44" ht="15.95" hidden="1" customHeight="1" x14ac:dyDescent="0.25">
      <c r="B96" s="135"/>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row>
    <row r="97" spans="2:44" ht="15.95" hidden="1" customHeight="1" x14ac:dyDescent="0.25">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row>
    <row r="98" spans="2:44" ht="15.95" hidden="1" customHeight="1" x14ac:dyDescent="0.25">
      <c r="B98" s="135"/>
      <c r="C98" s="135"/>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c r="AO98" s="135"/>
      <c r="AP98" s="135"/>
      <c r="AQ98" s="135"/>
      <c r="AR98" s="135"/>
    </row>
    <row r="99" spans="2:44" ht="15.95" hidden="1" customHeight="1" x14ac:dyDescent="0.25">
      <c r="B99" s="135"/>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row>
    <row r="100" spans="2:44" ht="15.95" hidden="1" customHeight="1" x14ac:dyDescent="0.25">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c r="AO100" s="135"/>
      <c r="AP100" s="135"/>
      <c r="AQ100" s="135"/>
      <c r="AR100" s="135"/>
    </row>
    <row r="101" spans="2:44" ht="15.95" hidden="1" customHeight="1" x14ac:dyDescent="0.25">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c r="AO101" s="135"/>
      <c r="AP101" s="135"/>
      <c r="AQ101" s="135"/>
      <c r="AR101" s="135"/>
    </row>
    <row r="102" spans="2:44" ht="15.95" hidden="1" customHeight="1" x14ac:dyDescent="0.25">
      <c r="B102" s="135"/>
      <c r="C102" s="135"/>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c r="AO102" s="135"/>
      <c r="AP102" s="135"/>
      <c r="AQ102" s="135"/>
      <c r="AR102" s="135"/>
    </row>
    <row r="103" spans="2:44" ht="15.95" hidden="1" customHeight="1" x14ac:dyDescent="0.25">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row>
    <row r="104" spans="2:44" ht="15.95" hidden="1" customHeight="1" x14ac:dyDescent="0.25">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row>
    <row r="105" spans="2:44" ht="15.95" hidden="1" customHeight="1" x14ac:dyDescent="0.25">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5"/>
      <c r="AH105" s="135"/>
      <c r="AI105" s="135"/>
      <c r="AJ105" s="135"/>
      <c r="AK105" s="135"/>
      <c r="AL105" s="135"/>
      <c r="AM105" s="135"/>
      <c r="AN105" s="135"/>
      <c r="AO105" s="135"/>
      <c r="AP105" s="135"/>
      <c r="AQ105" s="135"/>
      <c r="AR105" s="135"/>
    </row>
    <row r="106" spans="2:44" ht="15.95" hidden="1" customHeight="1" x14ac:dyDescent="0.25">
      <c r="B106" s="135"/>
      <c r="C106" s="135"/>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5"/>
      <c r="AN106" s="135"/>
      <c r="AO106" s="135"/>
      <c r="AP106" s="135"/>
      <c r="AQ106" s="135"/>
      <c r="AR106" s="135"/>
    </row>
    <row r="107" spans="2:44" ht="15.95" hidden="1" customHeight="1" x14ac:dyDescent="0.25">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5"/>
      <c r="AH107" s="135"/>
      <c r="AI107" s="135"/>
      <c r="AJ107" s="135"/>
      <c r="AK107" s="135"/>
      <c r="AL107" s="135"/>
      <c r="AM107" s="135"/>
      <c r="AN107" s="135"/>
      <c r="AO107" s="135"/>
      <c r="AP107" s="135"/>
      <c r="AQ107" s="135"/>
      <c r="AR107" s="135"/>
    </row>
    <row r="108" spans="2:44" ht="15.95" hidden="1" customHeight="1" x14ac:dyDescent="0.25">
      <c r="B108" s="135"/>
      <c r="C108" s="135"/>
      <c r="D108" s="135"/>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5"/>
      <c r="AN108" s="135"/>
      <c r="AO108" s="135"/>
      <c r="AP108" s="135"/>
      <c r="AQ108" s="135"/>
      <c r="AR108" s="135"/>
    </row>
    <row r="109" spans="2:44" ht="15.95" hidden="1" customHeight="1" x14ac:dyDescent="0.25">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5"/>
      <c r="AN109" s="135"/>
      <c r="AO109" s="135"/>
      <c r="AP109" s="135"/>
      <c r="AQ109" s="135"/>
      <c r="AR109" s="135"/>
    </row>
    <row r="110" spans="2:44" ht="15.95" hidden="1" customHeight="1" x14ac:dyDescent="0.25">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c r="AA110" s="135"/>
      <c r="AB110" s="135"/>
      <c r="AC110" s="135"/>
      <c r="AD110" s="135"/>
      <c r="AE110" s="135"/>
      <c r="AF110" s="135"/>
      <c r="AG110" s="135"/>
      <c r="AH110" s="135"/>
      <c r="AI110" s="135"/>
      <c r="AJ110" s="135"/>
      <c r="AK110" s="135"/>
      <c r="AL110" s="135"/>
      <c r="AM110" s="135"/>
      <c r="AN110" s="135"/>
      <c r="AO110" s="135"/>
      <c r="AP110" s="135"/>
      <c r="AQ110" s="135"/>
      <c r="AR110" s="135"/>
    </row>
    <row r="111" spans="2:44" ht="15.95" hidden="1" customHeight="1" x14ac:dyDescent="0.25">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c r="AR111" s="135"/>
    </row>
    <row r="112" spans="2:44" ht="15.95" hidden="1" customHeight="1" x14ac:dyDescent="0.25">
      <c r="B112" s="135"/>
      <c r="C112" s="135"/>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row>
    <row r="113" spans="2:44" ht="15.95" hidden="1" customHeight="1" x14ac:dyDescent="0.25">
      <c r="B113" s="135"/>
      <c r="C113" s="135"/>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c r="AO113" s="135"/>
      <c r="AP113" s="135"/>
      <c r="AQ113" s="135"/>
      <c r="AR113" s="135"/>
    </row>
    <row r="114" spans="2:44" ht="15.95" hidden="1" customHeight="1" x14ac:dyDescent="0.25">
      <c r="B114" s="135"/>
      <c r="C114" s="135"/>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c r="AO114" s="135"/>
      <c r="AP114" s="135"/>
      <c r="AQ114" s="135"/>
      <c r="AR114" s="135"/>
    </row>
    <row r="115" spans="2:44" ht="15.95" hidden="1" customHeight="1" x14ac:dyDescent="0.25">
      <c r="B115" s="135"/>
      <c r="C115" s="135"/>
      <c r="D115" s="135"/>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135"/>
      <c r="AO115" s="135"/>
      <c r="AP115" s="135"/>
      <c r="AQ115" s="135"/>
      <c r="AR115" s="135"/>
    </row>
    <row r="116" spans="2:44" ht="15.95" hidden="1" customHeight="1" x14ac:dyDescent="0.25">
      <c r="B116" s="135"/>
      <c r="C116" s="135"/>
      <c r="D116" s="135"/>
      <c r="E116" s="135"/>
      <c r="F116" s="135"/>
      <c r="G116" s="135"/>
      <c r="H116" s="135"/>
      <c r="I116" s="135"/>
      <c r="J116" s="135"/>
      <c r="K116" s="135"/>
      <c r="L116" s="135"/>
      <c r="M116" s="135"/>
      <c r="N116" s="135"/>
      <c r="O116" s="135"/>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135"/>
      <c r="AO116" s="135"/>
      <c r="AP116" s="135"/>
      <c r="AQ116" s="135"/>
      <c r="AR116" s="135"/>
    </row>
    <row r="117" spans="2:44" ht="15.95" hidden="1" customHeight="1" x14ac:dyDescent="0.25">
      <c r="B117" s="135"/>
      <c r="C117" s="135"/>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c r="AA117" s="135"/>
      <c r="AB117" s="135"/>
      <c r="AC117" s="135"/>
      <c r="AD117" s="135"/>
      <c r="AE117" s="135"/>
      <c r="AF117" s="135"/>
      <c r="AG117" s="135"/>
      <c r="AH117" s="135"/>
      <c r="AI117" s="135"/>
      <c r="AJ117" s="135"/>
      <c r="AK117" s="135"/>
      <c r="AL117" s="135"/>
      <c r="AM117" s="135"/>
      <c r="AN117" s="135"/>
      <c r="AO117" s="135"/>
      <c r="AP117" s="135"/>
      <c r="AQ117" s="135"/>
      <c r="AR117" s="135"/>
    </row>
    <row r="118" spans="2:44" ht="15.95" hidden="1" customHeight="1" x14ac:dyDescent="0.25">
      <c r="B118" s="135"/>
      <c r="C118" s="135"/>
      <c r="D118" s="135"/>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c r="AA118" s="135"/>
      <c r="AB118" s="135"/>
      <c r="AC118" s="135"/>
      <c r="AD118" s="135"/>
      <c r="AE118" s="135"/>
      <c r="AF118" s="135"/>
      <c r="AG118" s="135"/>
      <c r="AH118" s="135"/>
      <c r="AI118" s="135"/>
      <c r="AJ118" s="135"/>
      <c r="AK118" s="135"/>
      <c r="AL118" s="135"/>
      <c r="AM118" s="135"/>
      <c r="AN118" s="135"/>
      <c r="AO118" s="135"/>
      <c r="AP118" s="135"/>
      <c r="AQ118" s="135"/>
      <c r="AR118" s="135"/>
    </row>
    <row r="119" spans="2:44" ht="15.95" hidden="1" customHeight="1" x14ac:dyDescent="0.25">
      <c r="B119" s="135"/>
      <c r="C119" s="135"/>
      <c r="D119" s="135"/>
      <c r="E119" s="135"/>
      <c r="F119" s="135"/>
      <c r="G119" s="135"/>
      <c r="H119" s="135"/>
      <c r="I119" s="135"/>
      <c r="J119" s="135"/>
      <c r="K119" s="135"/>
      <c r="L119" s="135"/>
      <c r="M119" s="135"/>
      <c r="N119" s="135"/>
      <c r="O119" s="135"/>
      <c r="P119" s="135"/>
      <c r="Q119" s="135"/>
      <c r="R119" s="135"/>
      <c r="S119" s="135"/>
      <c r="T119" s="135"/>
      <c r="U119" s="135"/>
      <c r="V119" s="135"/>
      <c r="W119" s="135"/>
      <c r="X119" s="135"/>
      <c r="Y119" s="135"/>
      <c r="Z119" s="135"/>
      <c r="AA119" s="135"/>
      <c r="AB119" s="135"/>
      <c r="AC119" s="135"/>
      <c r="AD119" s="135"/>
      <c r="AE119" s="135"/>
      <c r="AF119" s="135"/>
      <c r="AG119" s="135"/>
      <c r="AH119" s="135"/>
      <c r="AI119" s="135"/>
      <c r="AJ119" s="135"/>
      <c r="AK119" s="135"/>
      <c r="AL119" s="135"/>
      <c r="AM119" s="135"/>
      <c r="AN119" s="135"/>
      <c r="AO119" s="135"/>
      <c r="AP119" s="135"/>
      <c r="AQ119" s="135"/>
      <c r="AR119" s="135"/>
    </row>
    <row r="120" spans="2:44" ht="15.95" hidden="1" customHeight="1" x14ac:dyDescent="0.25">
      <c r="B120" s="135"/>
      <c r="C120" s="135"/>
      <c r="D120" s="135"/>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c r="AA120" s="135"/>
      <c r="AB120" s="135"/>
      <c r="AC120" s="135"/>
      <c r="AD120" s="135"/>
      <c r="AE120" s="135"/>
      <c r="AF120" s="135"/>
      <c r="AG120" s="135"/>
      <c r="AH120" s="135"/>
      <c r="AI120" s="135"/>
      <c r="AJ120" s="135"/>
      <c r="AK120" s="135"/>
      <c r="AL120" s="135"/>
      <c r="AM120" s="135"/>
      <c r="AN120" s="135"/>
      <c r="AO120" s="135"/>
      <c r="AP120" s="135"/>
      <c r="AQ120" s="135"/>
      <c r="AR120" s="135"/>
    </row>
    <row r="121" spans="2:44" ht="15.95" hidden="1" customHeight="1" x14ac:dyDescent="0.25">
      <c r="B121" s="135"/>
      <c r="C121" s="135"/>
      <c r="D121" s="135"/>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c r="AG121" s="135"/>
      <c r="AH121" s="135"/>
      <c r="AI121" s="135"/>
      <c r="AJ121" s="135"/>
      <c r="AK121" s="135"/>
      <c r="AL121" s="135"/>
      <c r="AM121" s="135"/>
      <c r="AN121" s="135"/>
      <c r="AO121" s="135"/>
      <c r="AP121" s="135"/>
      <c r="AQ121" s="135"/>
      <c r="AR121" s="135"/>
    </row>
    <row r="122" spans="2:44" ht="15.95" hidden="1" customHeight="1" x14ac:dyDescent="0.25">
      <c r="B122" s="135"/>
      <c r="C122" s="135"/>
      <c r="D122" s="135"/>
      <c r="E122" s="135"/>
      <c r="F122" s="135"/>
      <c r="G122" s="135"/>
      <c r="H122" s="135"/>
      <c r="I122" s="135"/>
      <c r="J122" s="135"/>
      <c r="K122" s="135"/>
      <c r="L122" s="135"/>
      <c r="M122" s="135"/>
      <c r="N122" s="135"/>
      <c r="O122" s="135"/>
      <c r="P122" s="135"/>
      <c r="Q122" s="135"/>
      <c r="R122" s="135"/>
      <c r="S122" s="135"/>
      <c r="T122" s="135"/>
      <c r="U122" s="135"/>
      <c r="V122" s="135"/>
      <c r="W122" s="135"/>
      <c r="X122" s="135"/>
      <c r="Y122" s="135"/>
      <c r="Z122" s="135"/>
      <c r="AA122" s="135"/>
      <c r="AB122" s="135"/>
      <c r="AC122" s="135"/>
      <c r="AD122" s="135"/>
      <c r="AE122" s="135"/>
      <c r="AF122" s="135"/>
      <c r="AG122" s="135"/>
      <c r="AH122" s="135"/>
      <c r="AI122" s="135"/>
      <c r="AJ122" s="135"/>
      <c r="AK122" s="135"/>
      <c r="AL122" s="135"/>
      <c r="AM122" s="135"/>
      <c r="AN122" s="135"/>
      <c r="AO122" s="135"/>
      <c r="AP122" s="135"/>
      <c r="AQ122" s="135"/>
      <c r="AR122" s="135"/>
    </row>
    <row r="123" spans="2:44" ht="15.95" hidden="1" customHeight="1" x14ac:dyDescent="0.25">
      <c r="B123" s="135"/>
      <c r="C123" s="135"/>
      <c r="D123" s="135"/>
      <c r="E123" s="135"/>
      <c r="F123" s="135"/>
      <c r="G123" s="135"/>
      <c r="H123" s="135"/>
      <c r="I123" s="135"/>
      <c r="J123" s="135"/>
      <c r="K123" s="135"/>
      <c r="L123" s="135"/>
      <c r="M123" s="135"/>
      <c r="N123" s="135"/>
      <c r="O123" s="135"/>
      <c r="P123" s="135"/>
      <c r="Q123" s="135"/>
      <c r="R123" s="135"/>
      <c r="S123" s="135"/>
      <c r="T123" s="135"/>
      <c r="U123" s="135"/>
      <c r="V123" s="135"/>
      <c r="W123" s="135"/>
      <c r="X123" s="135"/>
      <c r="Y123" s="135"/>
      <c r="Z123" s="135"/>
      <c r="AA123" s="135"/>
      <c r="AB123" s="135"/>
      <c r="AC123" s="135"/>
      <c r="AD123" s="135"/>
      <c r="AE123" s="135"/>
      <c r="AF123" s="135"/>
      <c r="AG123" s="135"/>
      <c r="AH123" s="135"/>
      <c r="AI123" s="135"/>
      <c r="AJ123" s="135"/>
      <c r="AK123" s="135"/>
      <c r="AL123" s="135"/>
      <c r="AM123" s="135"/>
      <c r="AN123" s="135"/>
      <c r="AO123" s="135"/>
      <c r="AP123" s="135"/>
      <c r="AQ123" s="135"/>
      <c r="AR123" s="135"/>
    </row>
    <row r="124" spans="2:44" ht="15.95" hidden="1" customHeight="1" x14ac:dyDescent="0.25">
      <c r="B124" s="135"/>
      <c r="C124" s="135"/>
      <c r="D124" s="135"/>
      <c r="E124" s="135"/>
      <c r="F124" s="135"/>
      <c r="G124" s="135"/>
      <c r="H124" s="135"/>
      <c r="I124" s="135"/>
      <c r="J124" s="135"/>
      <c r="K124" s="135"/>
      <c r="L124" s="135"/>
      <c r="M124" s="135"/>
      <c r="N124" s="135"/>
      <c r="O124" s="135"/>
      <c r="P124" s="135"/>
      <c r="Q124" s="135"/>
      <c r="R124" s="135"/>
      <c r="S124" s="135"/>
      <c r="T124" s="135"/>
      <c r="U124" s="135"/>
      <c r="V124" s="135"/>
      <c r="W124" s="135"/>
      <c r="X124" s="135"/>
      <c r="Y124" s="135"/>
      <c r="Z124" s="135"/>
      <c r="AA124" s="135"/>
      <c r="AB124" s="135"/>
      <c r="AC124" s="135"/>
      <c r="AD124" s="135"/>
      <c r="AE124" s="135"/>
      <c r="AF124" s="135"/>
      <c r="AG124" s="135"/>
      <c r="AH124" s="135"/>
      <c r="AI124" s="135"/>
      <c r="AJ124" s="135"/>
      <c r="AK124" s="135"/>
      <c r="AL124" s="135"/>
      <c r="AM124" s="135"/>
      <c r="AN124" s="135"/>
      <c r="AO124" s="135"/>
      <c r="AP124" s="135"/>
      <c r="AQ124" s="135"/>
      <c r="AR124" s="135"/>
    </row>
    <row r="125" spans="2:44" ht="15.95" hidden="1" customHeight="1" x14ac:dyDescent="0.25">
      <c r="B125" s="135"/>
      <c r="C125" s="135"/>
      <c r="D125" s="135"/>
      <c r="E125" s="135"/>
      <c r="F125" s="135"/>
      <c r="G125" s="135"/>
      <c r="H125" s="135"/>
      <c r="I125" s="135"/>
      <c r="J125" s="135"/>
      <c r="K125" s="135"/>
      <c r="L125" s="135"/>
      <c r="M125" s="135"/>
      <c r="N125" s="135"/>
      <c r="O125" s="135"/>
      <c r="P125" s="135"/>
      <c r="Q125" s="135"/>
      <c r="R125" s="135"/>
      <c r="S125" s="135"/>
      <c r="T125" s="135"/>
      <c r="U125" s="135"/>
      <c r="V125" s="135"/>
      <c r="W125" s="135"/>
      <c r="X125" s="135"/>
      <c r="Y125" s="135"/>
      <c r="Z125" s="135"/>
      <c r="AA125" s="135"/>
      <c r="AB125" s="135"/>
      <c r="AC125" s="135"/>
      <c r="AD125" s="135"/>
      <c r="AE125" s="135"/>
      <c r="AF125" s="135"/>
      <c r="AG125" s="135"/>
      <c r="AH125" s="135"/>
      <c r="AI125" s="135"/>
      <c r="AJ125" s="135"/>
      <c r="AK125" s="135"/>
      <c r="AL125" s="135"/>
      <c r="AM125" s="135"/>
      <c r="AN125" s="135"/>
      <c r="AO125" s="135"/>
      <c r="AP125" s="135"/>
      <c r="AQ125" s="135"/>
      <c r="AR125" s="135"/>
    </row>
    <row r="126" spans="2:44" ht="15.95" hidden="1" customHeight="1" x14ac:dyDescent="0.25">
      <c r="B126" s="135"/>
      <c r="C126" s="135"/>
      <c r="D126" s="135"/>
      <c r="E126" s="135"/>
      <c r="F126" s="135"/>
      <c r="G126" s="135"/>
      <c r="H126" s="135"/>
      <c r="I126" s="135"/>
      <c r="J126" s="135"/>
      <c r="K126" s="135"/>
      <c r="L126" s="135"/>
      <c r="M126" s="135"/>
      <c r="N126" s="135"/>
      <c r="O126" s="135"/>
      <c r="P126" s="135"/>
      <c r="Q126" s="135"/>
      <c r="R126" s="135"/>
      <c r="S126" s="135"/>
      <c r="T126" s="135"/>
      <c r="U126" s="135"/>
      <c r="V126" s="135"/>
      <c r="W126" s="135"/>
      <c r="X126" s="135"/>
      <c r="Y126" s="135"/>
      <c r="Z126" s="135"/>
      <c r="AA126" s="135"/>
      <c r="AB126" s="135"/>
      <c r="AC126" s="135"/>
      <c r="AD126" s="135"/>
      <c r="AE126" s="135"/>
      <c r="AF126" s="135"/>
      <c r="AG126" s="135"/>
      <c r="AH126" s="135"/>
      <c r="AI126" s="135"/>
      <c r="AJ126" s="135"/>
      <c r="AK126" s="135"/>
      <c r="AL126" s="135"/>
      <c r="AM126" s="135"/>
      <c r="AN126" s="135"/>
      <c r="AO126" s="135"/>
      <c r="AP126" s="135"/>
      <c r="AQ126" s="135"/>
      <c r="AR126" s="135"/>
    </row>
    <row r="127" spans="2:44" ht="15.95" hidden="1" customHeight="1" x14ac:dyDescent="0.25">
      <c r="B127" s="135"/>
      <c r="C127" s="135"/>
      <c r="D127" s="135"/>
      <c r="E127" s="135"/>
      <c r="F127" s="135"/>
      <c r="G127" s="135"/>
      <c r="H127" s="135"/>
      <c r="I127" s="135"/>
      <c r="J127" s="135"/>
      <c r="K127" s="135"/>
      <c r="L127" s="135"/>
      <c r="M127" s="135"/>
      <c r="N127" s="135"/>
      <c r="O127" s="135"/>
      <c r="P127" s="135"/>
      <c r="Q127" s="135"/>
      <c r="R127" s="135"/>
      <c r="S127" s="135"/>
      <c r="T127" s="135"/>
      <c r="U127" s="135"/>
      <c r="V127" s="135"/>
      <c r="W127" s="135"/>
      <c r="X127" s="135"/>
      <c r="Y127" s="135"/>
      <c r="Z127" s="135"/>
      <c r="AA127" s="135"/>
      <c r="AB127" s="135"/>
      <c r="AC127" s="135"/>
      <c r="AD127" s="135"/>
      <c r="AE127" s="135"/>
      <c r="AF127" s="135"/>
      <c r="AG127" s="135"/>
      <c r="AH127" s="135"/>
      <c r="AI127" s="135"/>
      <c r="AJ127" s="135"/>
      <c r="AK127" s="135"/>
      <c r="AL127" s="135"/>
      <c r="AM127" s="135"/>
      <c r="AN127" s="135"/>
      <c r="AO127" s="135"/>
      <c r="AP127" s="135"/>
      <c r="AQ127" s="135"/>
      <c r="AR127" s="135"/>
    </row>
    <row r="128" spans="2:44" ht="15.95" hidden="1" customHeight="1" x14ac:dyDescent="0.25">
      <c r="B128" s="135"/>
      <c r="C128" s="135"/>
      <c r="D128" s="135"/>
      <c r="E128" s="135"/>
      <c r="F128" s="135"/>
      <c r="G128" s="135"/>
      <c r="H128" s="135"/>
      <c r="I128" s="135"/>
      <c r="J128" s="135"/>
      <c r="K128" s="135"/>
      <c r="L128" s="135"/>
      <c r="M128" s="135"/>
      <c r="N128" s="135"/>
      <c r="O128" s="135"/>
      <c r="P128" s="135"/>
      <c r="Q128" s="135"/>
      <c r="R128" s="135"/>
      <c r="S128" s="135"/>
      <c r="T128" s="135"/>
      <c r="U128" s="135"/>
      <c r="V128" s="135"/>
      <c r="W128" s="135"/>
      <c r="X128" s="135"/>
      <c r="Y128" s="135"/>
      <c r="Z128" s="135"/>
      <c r="AA128" s="135"/>
      <c r="AB128" s="135"/>
      <c r="AC128" s="135"/>
      <c r="AD128" s="135"/>
      <c r="AE128" s="135"/>
      <c r="AF128" s="135"/>
      <c r="AG128" s="135"/>
      <c r="AH128" s="135"/>
      <c r="AI128" s="135"/>
      <c r="AJ128" s="135"/>
      <c r="AK128" s="135"/>
      <c r="AL128" s="135"/>
      <c r="AM128" s="135"/>
      <c r="AN128" s="135"/>
      <c r="AO128" s="135"/>
      <c r="AP128" s="135"/>
      <c r="AQ128" s="135"/>
      <c r="AR128" s="135"/>
    </row>
    <row r="129" spans="2:44" ht="15.95" hidden="1" customHeight="1" x14ac:dyDescent="0.25">
      <c r="B129" s="135"/>
      <c r="C129" s="135"/>
      <c r="D129" s="135"/>
      <c r="E129" s="135"/>
      <c r="F129" s="135"/>
      <c r="G129" s="135"/>
      <c r="H129" s="135"/>
      <c r="I129" s="135"/>
      <c r="J129" s="135"/>
      <c r="K129" s="135"/>
      <c r="L129" s="135"/>
      <c r="M129" s="135"/>
      <c r="N129" s="135"/>
      <c r="O129" s="135"/>
      <c r="P129" s="135"/>
      <c r="Q129" s="135"/>
      <c r="R129" s="135"/>
      <c r="S129" s="135"/>
      <c r="T129" s="135"/>
      <c r="U129" s="135"/>
      <c r="V129" s="135"/>
      <c r="W129" s="135"/>
      <c r="X129" s="135"/>
      <c r="Y129" s="135"/>
      <c r="Z129" s="135"/>
      <c r="AA129" s="135"/>
      <c r="AB129" s="135"/>
      <c r="AC129" s="135"/>
      <c r="AD129" s="135"/>
      <c r="AE129" s="135"/>
      <c r="AF129" s="135"/>
      <c r="AG129" s="135"/>
      <c r="AH129" s="135"/>
      <c r="AI129" s="135"/>
      <c r="AJ129" s="135"/>
      <c r="AK129" s="135"/>
      <c r="AL129" s="135"/>
      <c r="AM129" s="135"/>
      <c r="AN129" s="135"/>
      <c r="AO129" s="135"/>
      <c r="AP129" s="135"/>
      <c r="AQ129" s="135"/>
      <c r="AR129" s="135"/>
    </row>
    <row r="130" spans="2:44" ht="15.95" hidden="1" customHeight="1" x14ac:dyDescent="0.25">
      <c r="B130" s="135"/>
      <c r="C130" s="135"/>
      <c r="D130" s="135"/>
      <c r="E130" s="135"/>
      <c r="F130" s="135"/>
      <c r="G130" s="135"/>
      <c r="H130" s="135"/>
      <c r="I130" s="135"/>
      <c r="J130" s="135"/>
      <c r="K130" s="135"/>
      <c r="L130" s="135"/>
      <c r="M130" s="135"/>
      <c r="N130" s="135"/>
      <c r="O130" s="135"/>
      <c r="P130" s="135"/>
      <c r="Q130" s="135"/>
      <c r="R130" s="135"/>
      <c r="S130" s="135"/>
      <c r="T130" s="135"/>
      <c r="U130" s="135"/>
      <c r="V130" s="135"/>
      <c r="W130" s="135"/>
      <c r="X130" s="135"/>
      <c r="Y130" s="135"/>
      <c r="Z130" s="135"/>
      <c r="AA130" s="135"/>
      <c r="AB130" s="135"/>
      <c r="AC130" s="135"/>
      <c r="AD130" s="135"/>
      <c r="AE130" s="135"/>
      <c r="AF130" s="135"/>
      <c r="AG130" s="135"/>
      <c r="AH130" s="135"/>
      <c r="AI130" s="135"/>
      <c r="AJ130" s="135"/>
      <c r="AK130" s="135"/>
      <c r="AL130" s="135"/>
      <c r="AM130" s="135"/>
      <c r="AN130" s="135"/>
      <c r="AO130" s="135"/>
      <c r="AP130" s="135"/>
      <c r="AQ130" s="135"/>
      <c r="AR130" s="135"/>
    </row>
    <row r="131" spans="2:44" ht="15.95" hidden="1" customHeight="1" x14ac:dyDescent="0.25">
      <c r="B131" s="135"/>
      <c r="C131" s="135"/>
      <c r="D131" s="135"/>
      <c r="E131" s="135"/>
      <c r="F131" s="135"/>
      <c r="G131" s="135"/>
      <c r="H131" s="135"/>
      <c r="I131" s="135"/>
      <c r="J131" s="135"/>
      <c r="K131" s="135"/>
      <c r="L131" s="135"/>
      <c r="M131" s="135"/>
      <c r="N131" s="135"/>
      <c r="O131" s="135"/>
      <c r="P131" s="135"/>
      <c r="Q131" s="135"/>
      <c r="R131" s="135"/>
      <c r="S131" s="135"/>
      <c r="T131" s="135"/>
      <c r="U131" s="135"/>
      <c r="V131" s="135"/>
      <c r="W131" s="135"/>
      <c r="X131" s="135"/>
      <c r="Y131" s="135"/>
      <c r="Z131" s="135"/>
      <c r="AA131" s="135"/>
      <c r="AB131" s="135"/>
      <c r="AC131" s="135"/>
      <c r="AD131" s="135"/>
      <c r="AE131" s="135"/>
      <c r="AF131" s="135"/>
      <c r="AG131" s="135"/>
      <c r="AH131" s="135"/>
      <c r="AI131" s="135"/>
      <c r="AJ131" s="135"/>
      <c r="AK131" s="135"/>
      <c r="AL131" s="135"/>
      <c r="AM131" s="135"/>
      <c r="AN131" s="135"/>
      <c r="AO131" s="135"/>
      <c r="AP131" s="135"/>
      <c r="AQ131" s="135"/>
      <c r="AR131" s="135"/>
    </row>
    <row r="132" spans="2:44" ht="15.95" hidden="1" customHeight="1" x14ac:dyDescent="0.25">
      <c r="B132" s="135"/>
      <c r="C132" s="135"/>
      <c r="D132" s="135"/>
      <c r="E132" s="135"/>
      <c r="F132" s="135"/>
      <c r="G132" s="135"/>
      <c r="H132" s="135"/>
      <c r="I132" s="135"/>
      <c r="J132" s="135"/>
      <c r="K132" s="135"/>
      <c r="L132" s="135"/>
      <c r="M132" s="135"/>
      <c r="N132" s="135"/>
      <c r="O132" s="135"/>
      <c r="P132" s="135"/>
      <c r="Q132" s="135"/>
      <c r="R132" s="135"/>
      <c r="S132" s="135"/>
      <c r="T132" s="135"/>
      <c r="U132" s="135"/>
      <c r="V132" s="135"/>
      <c r="W132" s="135"/>
      <c r="X132" s="135"/>
      <c r="Y132" s="135"/>
      <c r="Z132" s="135"/>
      <c r="AA132" s="135"/>
      <c r="AB132" s="135"/>
      <c r="AC132" s="135"/>
      <c r="AD132" s="135"/>
      <c r="AE132" s="135"/>
      <c r="AF132" s="135"/>
      <c r="AG132" s="135"/>
      <c r="AH132" s="135"/>
      <c r="AI132" s="135"/>
      <c r="AJ132" s="135"/>
      <c r="AK132" s="135"/>
      <c r="AL132" s="135"/>
      <c r="AM132" s="135"/>
      <c r="AN132" s="135"/>
      <c r="AO132" s="135"/>
      <c r="AP132" s="135"/>
      <c r="AQ132" s="135"/>
      <c r="AR132" s="135"/>
    </row>
    <row r="133" spans="2:44" ht="15.95" hidden="1" customHeight="1" x14ac:dyDescent="0.25">
      <c r="B133" s="135"/>
      <c r="C133" s="135"/>
      <c r="D133" s="135"/>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5"/>
      <c r="AA133" s="135"/>
      <c r="AB133" s="135"/>
      <c r="AC133" s="135"/>
      <c r="AD133" s="135"/>
      <c r="AE133" s="135"/>
      <c r="AF133" s="135"/>
      <c r="AG133" s="135"/>
      <c r="AH133" s="135"/>
      <c r="AI133" s="135"/>
      <c r="AJ133" s="135"/>
      <c r="AK133" s="135"/>
      <c r="AL133" s="135"/>
      <c r="AM133" s="135"/>
      <c r="AN133" s="135"/>
      <c r="AO133" s="135"/>
      <c r="AP133" s="135"/>
      <c r="AQ133" s="135"/>
      <c r="AR133" s="135"/>
    </row>
    <row r="134" spans="2:44" ht="15.95" hidden="1" customHeight="1" x14ac:dyDescent="0.25">
      <c r="B134" s="135"/>
      <c r="C134" s="135"/>
      <c r="D134" s="135"/>
      <c r="E134" s="135"/>
      <c r="F134" s="135"/>
      <c r="G134" s="135"/>
      <c r="H134" s="135"/>
      <c r="I134" s="135"/>
      <c r="J134" s="135"/>
      <c r="K134" s="135"/>
      <c r="L134" s="135"/>
      <c r="M134" s="135"/>
      <c r="N134" s="135"/>
      <c r="O134" s="135"/>
      <c r="P134" s="135"/>
      <c r="Q134" s="135"/>
      <c r="R134" s="135"/>
      <c r="S134" s="135"/>
      <c r="T134" s="135"/>
      <c r="U134" s="135"/>
      <c r="V134" s="135"/>
      <c r="W134" s="135"/>
      <c r="X134" s="135"/>
      <c r="Y134" s="135"/>
      <c r="Z134" s="135"/>
      <c r="AA134" s="135"/>
      <c r="AB134" s="135"/>
      <c r="AC134" s="135"/>
      <c r="AD134" s="135"/>
      <c r="AE134" s="135"/>
      <c r="AF134" s="135"/>
      <c r="AG134" s="135"/>
      <c r="AH134" s="135"/>
      <c r="AI134" s="135"/>
      <c r="AJ134" s="135"/>
      <c r="AK134" s="135"/>
      <c r="AL134" s="135"/>
      <c r="AM134" s="135"/>
      <c r="AN134" s="135"/>
      <c r="AO134" s="135"/>
      <c r="AP134" s="135"/>
      <c r="AQ134" s="135"/>
      <c r="AR134" s="135"/>
    </row>
    <row r="135" spans="2:44" ht="15.95" hidden="1" customHeight="1" x14ac:dyDescent="0.25">
      <c r="B135" s="135"/>
      <c r="C135" s="135"/>
      <c r="D135" s="135"/>
      <c r="E135" s="135"/>
      <c r="F135" s="135"/>
      <c r="G135" s="135"/>
      <c r="H135" s="135"/>
      <c r="I135" s="135"/>
      <c r="J135" s="135"/>
      <c r="K135" s="135"/>
      <c r="L135" s="135"/>
      <c r="M135" s="135"/>
      <c r="N135" s="135"/>
      <c r="O135" s="135"/>
      <c r="P135" s="135"/>
      <c r="Q135" s="135"/>
      <c r="R135" s="135"/>
      <c r="S135" s="135"/>
      <c r="T135" s="135"/>
      <c r="U135" s="135"/>
      <c r="V135" s="135"/>
      <c r="W135" s="135"/>
      <c r="X135" s="135"/>
      <c r="Y135" s="135"/>
      <c r="Z135" s="135"/>
      <c r="AA135" s="135"/>
      <c r="AB135" s="135"/>
      <c r="AC135" s="135"/>
      <c r="AD135" s="135"/>
      <c r="AE135" s="135"/>
      <c r="AF135" s="135"/>
      <c r="AG135" s="135"/>
      <c r="AH135" s="135"/>
      <c r="AI135" s="135"/>
      <c r="AJ135" s="135"/>
      <c r="AK135" s="135"/>
      <c r="AL135" s="135"/>
      <c r="AM135" s="135"/>
      <c r="AN135" s="135"/>
      <c r="AO135" s="135"/>
      <c r="AP135" s="135"/>
      <c r="AQ135" s="135"/>
      <c r="AR135" s="135"/>
    </row>
    <row r="136" spans="2:44" ht="15.95" hidden="1" customHeight="1" x14ac:dyDescent="0.25">
      <c r="B136" s="135"/>
      <c r="C136" s="135"/>
      <c r="D136" s="135"/>
      <c r="E136" s="135"/>
      <c r="F136" s="135"/>
      <c r="G136" s="135"/>
      <c r="H136" s="135"/>
      <c r="I136" s="135"/>
      <c r="J136" s="135"/>
      <c r="K136" s="135"/>
      <c r="L136" s="135"/>
      <c r="M136" s="135"/>
      <c r="N136" s="135"/>
      <c r="O136" s="135"/>
      <c r="P136" s="135"/>
      <c r="Q136" s="135"/>
      <c r="R136" s="135"/>
      <c r="S136" s="135"/>
      <c r="T136" s="135"/>
      <c r="U136" s="135"/>
      <c r="V136" s="135"/>
      <c r="W136" s="135"/>
      <c r="X136" s="135"/>
      <c r="Y136" s="135"/>
      <c r="Z136" s="135"/>
      <c r="AA136" s="135"/>
      <c r="AB136" s="135"/>
      <c r="AC136" s="135"/>
      <c r="AD136" s="135"/>
      <c r="AE136" s="135"/>
      <c r="AF136" s="135"/>
      <c r="AG136" s="135"/>
      <c r="AH136" s="135"/>
      <c r="AI136" s="135"/>
      <c r="AJ136" s="135"/>
      <c r="AK136" s="135"/>
      <c r="AL136" s="135"/>
      <c r="AM136" s="135"/>
      <c r="AN136" s="135"/>
      <c r="AO136" s="135"/>
      <c r="AP136" s="135"/>
      <c r="AQ136" s="135"/>
      <c r="AR136" s="135"/>
    </row>
    <row r="137" spans="2:44" ht="15.95" hidden="1" customHeight="1" x14ac:dyDescent="0.25">
      <c r="B137" s="135"/>
      <c r="C137" s="135"/>
      <c r="D137" s="135"/>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c r="AA137" s="135"/>
      <c r="AB137" s="135"/>
      <c r="AC137" s="135"/>
      <c r="AD137" s="135"/>
      <c r="AE137" s="135"/>
      <c r="AF137" s="135"/>
      <c r="AG137" s="135"/>
      <c r="AH137" s="135"/>
      <c r="AI137" s="135"/>
      <c r="AJ137" s="135"/>
      <c r="AK137" s="135"/>
      <c r="AL137" s="135"/>
      <c r="AM137" s="135"/>
      <c r="AN137" s="135"/>
      <c r="AO137" s="135"/>
      <c r="AP137" s="135"/>
      <c r="AQ137" s="135"/>
      <c r="AR137" s="135"/>
    </row>
    <row r="138" spans="2:44" ht="15.95" hidden="1" customHeight="1" x14ac:dyDescent="0.25">
      <c r="B138" s="135"/>
      <c r="C138" s="135"/>
      <c r="D138" s="135"/>
      <c r="E138" s="135"/>
      <c r="F138" s="135"/>
      <c r="G138" s="135"/>
      <c r="H138" s="135"/>
      <c r="I138" s="135"/>
      <c r="J138" s="135"/>
      <c r="K138" s="135"/>
      <c r="L138" s="135"/>
      <c r="M138" s="135"/>
      <c r="N138" s="135"/>
      <c r="O138" s="135"/>
      <c r="P138" s="135"/>
      <c r="Q138" s="135"/>
      <c r="R138" s="135"/>
      <c r="S138" s="135"/>
      <c r="T138" s="135"/>
      <c r="U138" s="135"/>
      <c r="V138" s="135"/>
      <c r="W138" s="135"/>
      <c r="X138" s="135"/>
      <c r="Y138" s="135"/>
      <c r="Z138" s="135"/>
      <c r="AA138" s="135"/>
      <c r="AB138" s="135"/>
      <c r="AC138" s="135"/>
      <c r="AD138" s="135"/>
      <c r="AE138" s="135"/>
      <c r="AF138" s="135"/>
      <c r="AG138" s="135"/>
      <c r="AH138" s="135"/>
      <c r="AI138" s="135"/>
      <c r="AJ138" s="135"/>
      <c r="AK138" s="135"/>
      <c r="AL138" s="135"/>
      <c r="AM138" s="135"/>
      <c r="AN138" s="135"/>
      <c r="AO138" s="135"/>
      <c r="AP138" s="135"/>
      <c r="AQ138" s="135"/>
      <c r="AR138" s="135"/>
    </row>
    <row r="139" spans="2:44" ht="15.95" hidden="1" customHeight="1" x14ac:dyDescent="0.25">
      <c r="B139" s="135"/>
      <c r="C139" s="135"/>
      <c r="D139" s="135"/>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5"/>
      <c r="AA139" s="135"/>
      <c r="AB139" s="135"/>
      <c r="AC139" s="135"/>
      <c r="AD139" s="135"/>
      <c r="AE139" s="135"/>
      <c r="AF139" s="135"/>
      <c r="AG139" s="135"/>
      <c r="AH139" s="135"/>
      <c r="AI139" s="135"/>
      <c r="AJ139" s="135"/>
      <c r="AK139" s="135"/>
      <c r="AL139" s="135"/>
      <c r="AM139" s="135"/>
      <c r="AN139" s="135"/>
      <c r="AO139" s="135"/>
      <c r="AP139" s="135"/>
      <c r="AQ139" s="135"/>
      <c r="AR139" s="135"/>
    </row>
    <row r="140" spans="2:44" ht="15.95" hidden="1" customHeight="1" x14ac:dyDescent="0.25">
      <c r="B140" s="135"/>
      <c r="C140" s="135"/>
      <c r="D140" s="135"/>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c r="AA140" s="135"/>
      <c r="AB140" s="135"/>
      <c r="AC140" s="135"/>
      <c r="AD140" s="135"/>
      <c r="AE140" s="135"/>
      <c r="AF140" s="135"/>
      <c r="AG140" s="135"/>
      <c r="AH140" s="135"/>
      <c r="AI140" s="135"/>
      <c r="AJ140" s="135"/>
      <c r="AK140" s="135"/>
      <c r="AL140" s="135"/>
      <c r="AM140" s="135"/>
      <c r="AN140" s="135"/>
      <c r="AO140" s="135"/>
      <c r="AP140" s="135"/>
      <c r="AQ140" s="135"/>
      <c r="AR140" s="135"/>
    </row>
    <row r="141" spans="2:44" ht="15.95" hidden="1" customHeight="1" x14ac:dyDescent="0.25">
      <c r="B141" s="135"/>
      <c r="C141" s="135"/>
      <c r="D141" s="135"/>
      <c r="E141" s="135"/>
      <c r="F141" s="135"/>
      <c r="G141" s="135"/>
      <c r="H141" s="135"/>
      <c r="I141" s="135"/>
      <c r="J141" s="135"/>
      <c r="K141" s="135"/>
      <c r="L141" s="135"/>
      <c r="M141" s="135"/>
      <c r="N141" s="135"/>
      <c r="O141" s="135"/>
      <c r="P141" s="135"/>
      <c r="Q141" s="135"/>
      <c r="R141" s="135"/>
      <c r="S141" s="135"/>
      <c r="T141" s="135"/>
      <c r="U141" s="135"/>
      <c r="V141" s="135"/>
      <c r="W141" s="135"/>
      <c r="X141" s="135"/>
      <c r="Y141" s="135"/>
      <c r="Z141" s="135"/>
      <c r="AA141" s="135"/>
      <c r="AB141" s="135"/>
      <c r="AC141" s="135"/>
      <c r="AD141" s="135"/>
      <c r="AE141" s="135"/>
      <c r="AF141" s="135"/>
      <c r="AG141" s="135"/>
      <c r="AH141" s="135"/>
      <c r="AI141" s="135"/>
      <c r="AJ141" s="135"/>
      <c r="AK141" s="135"/>
      <c r="AL141" s="135"/>
      <c r="AM141" s="135"/>
      <c r="AN141" s="135"/>
      <c r="AO141" s="135"/>
      <c r="AP141" s="135"/>
      <c r="AQ141" s="135"/>
      <c r="AR141" s="135"/>
    </row>
    <row r="142" spans="2:44" ht="15.95" hidden="1" customHeight="1" x14ac:dyDescent="0.25">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c r="AN142" s="135"/>
      <c r="AO142" s="135"/>
      <c r="AP142" s="135"/>
      <c r="AQ142" s="135"/>
      <c r="AR142" s="135"/>
    </row>
    <row r="143" spans="2:44" ht="15.95" hidden="1" customHeight="1" x14ac:dyDescent="0.25">
      <c r="B143" s="135"/>
      <c r="C143" s="135"/>
      <c r="D143" s="135"/>
      <c r="E143" s="135"/>
      <c r="F143" s="135"/>
      <c r="G143" s="135"/>
      <c r="H143" s="135"/>
      <c r="I143" s="135"/>
      <c r="J143" s="135"/>
      <c r="K143" s="135"/>
      <c r="L143" s="135"/>
      <c r="M143" s="135"/>
      <c r="N143" s="135"/>
      <c r="O143" s="135"/>
      <c r="P143" s="135"/>
      <c r="Q143" s="135"/>
      <c r="R143" s="135"/>
      <c r="S143" s="135"/>
      <c r="T143" s="135"/>
      <c r="U143" s="135"/>
      <c r="V143" s="135"/>
      <c r="W143" s="135"/>
      <c r="X143" s="135"/>
      <c r="Y143" s="135"/>
      <c r="Z143" s="135"/>
      <c r="AA143" s="135"/>
      <c r="AB143" s="135"/>
      <c r="AC143" s="135"/>
      <c r="AD143" s="135"/>
      <c r="AE143" s="135"/>
      <c r="AF143" s="135"/>
      <c r="AG143" s="135"/>
      <c r="AH143" s="135"/>
      <c r="AI143" s="135"/>
      <c r="AJ143" s="135"/>
      <c r="AK143" s="135"/>
      <c r="AL143" s="135"/>
      <c r="AM143" s="135"/>
      <c r="AN143" s="135"/>
      <c r="AO143" s="135"/>
      <c r="AP143" s="135"/>
      <c r="AQ143" s="135"/>
      <c r="AR143" s="135"/>
    </row>
    <row r="144" spans="2:44" ht="15.95" hidden="1" customHeight="1" x14ac:dyDescent="0.25">
      <c r="B144" s="135"/>
      <c r="C144" s="135"/>
      <c r="D144" s="135"/>
      <c r="E144" s="135"/>
      <c r="F144" s="135"/>
      <c r="G144" s="135"/>
      <c r="H144" s="135"/>
      <c r="I144" s="135"/>
      <c r="J144" s="135"/>
      <c r="K144" s="135"/>
      <c r="L144" s="135"/>
      <c r="M144" s="135"/>
      <c r="N144" s="135"/>
      <c r="O144" s="135"/>
      <c r="P144" s="135"/>
      <c r="Q144" s="135"/>
      <c r="R144" s="135"/>
      <c r="S144" s="135"/>
      <c r="T144" s="135"/>
      <c r="U144" s="135"/>
      <c r="V144" s="135"/>
      <c r="W144" s="135"/>
      <c r="X144" s="135"/>
      <c r="Y144" s="135"/>
      <c r="Z144" s="135"/>
      <c r="AA144" s="135"/>
      <c r="AB144" s="135"/>
      <c r="AC144" s="135"/>
      <c r="AD144" s="135"/>
      <c r="AE144" s="135"/>
      <c r="AF144" s="135"/>
      <c r="AG144" s="135"/>
      <c r="AH144" s="135"/>
      <c r="AI144" s="135"/>
      <c r="AJ144" s="135"/>
      <c r="AK144" s="135"/>
      <c r="AL144" s="135"/>
      <c r="AM144" s="135"/>
      <c r="AN144" s="135"/>
      <c r="AO144" s="135"/>
      <c r="AP144" s="135"/>
      <c r="AQ144" s="135"/>
      <c r="AR144" s="135"/>
    </row>
    <row r="145" spans="2:44" ht="15.95" hidden="1" customHeight="1" x14ac:dyDescent="0.25">
      <c r="B145" s="135"/>
      <c r="C145" s="135"/>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35"/>
      <c r="AN145" s="135"/>
      <c r="AO145" s="135"/>
      <c r="AP145" s="135"/>
      <c r="AQ145" s="135"/>
      <c r="AR145" s="135"/>
    </row>
    <row r="146" spans="2:44" ht="15.95" hidden="1" customHeight="1" x14ac:dyDescent="0.25">
      <c r="B146" s="135"/>
      <c r="C146" s="135"/>
      <c r="D146" s="135"/>
      <c r="E146" s="135"/>
      <c r="F146" s="135"/>
      <c r="G146" s="135"/>
      <c r="H146" s="135"/>
      <c r="I146" s="135"/>
      <c r="J146" s="135"/>
      <c r="K146" s="135"/>
      <c r="L146" s="135"/>
      <c r="M146" s="135"/>
      <c r="N146" s="135"/>
      <c r="O146" s="135"/>
      <c r="P146" s="135"/>
      <c r="Q146" s="135"/>
      <c r="R146" s="135"/>
      <c r="S146" s="135"/>
      <c r="T146" s="135"/>
      <c r="U146" s="135"/>
      <c r="V146" s="135"/>
      <c r="W146" s="135"/>
      <c r="X146" s="135"/>
      <c r="Y146" s="135"/>
      <c r="Z146" s="135"/>
      <c r="AA146" s="135"/>
      <c r="AB146" s="135"/>
      <c r="AC146" s="135"/>
      <c r="AD146" s="135"/>
      <c r="AE146" s="135"/>
      <c r="AF146" s="135"/>
      <c r="AG146" s="135"/>
      <c r="AH146" s="135"/>
      <c r="AI146" s="135"/>
      <c r="AJ146" s="135"/>
      <c r="AK146" s="135"/>
      <c r="AL146" s="135"/>
      <c r="AM146" s="135"/>
      <c r="AN146" s="135"/>
      <c r="AO146" s="135"/>
      <c r="AP146" s="135"/>
      <c r="AQ146" s="135"/>
      <c r="AR146" s="135"/>
    </row>
    <row r="147" spans="2:44" ht="15.95" hidden="1" customHeight="1" x14ac:dyDescent="0.25">
      <c r="B147" s="135"/>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135"/>
      <c r="AO147" s="135"/>
      <c r="AP147" s="135"/>
      <c r="AQ147" s="135"/>
      <c r="AR147" s="135"/>
    </row>
    <row r="148" spans="2:44" ht="15.95" hidden="1" customHeight="1" x14ac:dyDescent="0.25">
      <c r="B148" s="135"/>
      <c r="C148" s="135"/>
      <c r="D148" s="135"/>
      <c r="E148" s="135"/>
      <c r="F148" s="135"/>
      <c r="G148" s="135"/>
      <c r="H148" s="135"/>
      <c r="I148" s="135"/>
      <c r="J148" s="135"/>
      <c r="K148" s="135"/>
      <c r="L148" s="135"/>
      <c r="M148" s="135"/>
      <c r="N148" s="135"/>
      <c r="O148" s="135"/>
      <c r="P148" s="135"/>
      <c r="Q148" s="135"/>
      <c r="R148" s="135"/>
      <c r="S148" s="135"/>
      <c r="T148" s="135"/>
      <c r="U148" s="135"/>
      <c r="V148" s="135"/>
      <c r="W148" s="135"/>
      <c r="X148" s="135"/>
      <c r="Y148" s="135"/>
      <c r="Z148" s="135"/>
      <c r="AA148" s="135"/>
      <c r="AB148" s="135"/>
      <c r="AC148" s="135"/>
      <c r="AD148" s="135"/>
      <c r="AE148" s="135"/>
      <c r="AF148" s="135"/>
      <c r="AG148" s="135"/>
      <c r="AH148" s="135"/>
      <c r="AI148" s="135"/>
      <c r="AJ148" s="135"/>
      <c r="AK148" s="135"/>
      <c r="AL148" s="135"/>
      <c r="AM148" s="135"/>
      <c r="AN148" s="135"/>
      <c r="AO148" s="135"/>
      <c r="AP148" s="135"/>
      <c r="AQ148" s="135"/>
      <c r="AR148" s="135"/>
    </row>
    <row r="149" spans="2:44" ht="15.95" hidden="1" customHeight="1" x14ac:dyDescent="0.25">
      <c r="B149" s="135"/>
      <c r="C149" s="135"/>
      <c r="D149" s="135"/>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35"/>
      <c r="AJ149" s="135"/>
      <c r="AK149" s="135"/>
      <c r="AL149" s="135"/>
      <c r="AM149" s="135"/>
      <c r="AN149" s="135"/>
      <c r="AO149" s="135"/>
      <c r="AP149" s="135"/>
      <c r="AQ149" s="135"/>
      <c r="AR149" s="135"/>
    </row>
    <row r="150" spans="2:44" ht="15.95" hidden="1" customHeight="1" x14ac:dyDescent="0.25">
      <c r="B150" s="135"/>
      <c r="C150" s="135"/>
      <c r="D150" s="135"/>
      <c r="E150" s="135"/>
      <c r="F150" s="135"/>
      <c r="G150" s="135"/>
      <c r="H150" s="135"/>
      <c r="I150" s="135"/>
      <c r="J150" s="135"/>
      <c r="K150" s="135"/>
      <c r="L150" s="135"/>
      <c r="M150" s="135"/>
      <c r="N150" s="135"/>
      <c r="O150" s="135"/>
      <c r="P150" s="135"/>
      <c r="Q150" s="135"/>
      <c r="R150" s="135"/>
      <c r="S150" s="135"/>
      <c r="T150" s="135"/>
      <c r="U150" s="135"/>
      <c r="V150" s="135"/>
      <c r="W150" s="135"/>
      <c r="X150" s="135"/>
      <c r="Y150" s="135"/>
      <c r="Z150" s="135"/>
      <c r="AA150" s="135"/>
      <c r="AB150" s="135"/>
      <c r="AC150" s="135"/>
      <c r="AD150" s="135"/>
      <c r="AE150" s="135"/>
      <c r="AF150" s="135"/>
      <c r="AG150" s="135"/>
      <c r="AH150" s="135"/>
      <c r="AI150" s="135"/>
      <c r="AJ150" s="135"/>
      <c r="AK150" s="135"/>
      <c r="AL150" s="135"/>
      <c r="AM150" s="135"/>
      <c r="AN150" s="135"/>
      <c r="AO150" s="135"/>
      <c r="AP150" s="135"/>
      <c r="AQ150" s="135"/>
      <c r="AR150" s="135"/>
    </row>
    <row r="151" spans="2:44" ht="15.95" hidden="1" customHeight="1" x14ac:dyDescent="0.25">
      <c r="B151" s="135"/>
      <c r="C151" s="135"/>
      <c r="D151" s="135"/>
      <c r="E151" s="135"/>
      <c r="F151" s="135"/>
      <c r="G151" s="135"/>
      <c r="H151" s="135"/>
      <c r="I151" s="135"/>
      <c r="J151" s="135"/>
      <c r="K151" s="135"/>
      <c r="L151" s="135"/>
      <c r="M151" s="135"/>
      <c r="N151" s="135"/>
      <c r="O151" s="135"/>
      <c r="P151" s="135"/>
      <c r="Q151" s="135"/>
      <c r="R151" s="135"/>
      <c r="S151" s="135"/>
      <c r="T151" s="135"/>
      <c r="U151" s="135"/>
      <c r="V151" s="135"/>
      <c r="W151" s="135"/>
      <c r="X151" s="135"/>
      <c r="Y151" s="135"/>
      <c r="Z151" s="135"/>
      <c r="AA151" s="135"/>
      <c r="AB151" s="135"/>
      <c r="AC151" s="135"/>
      <c r="AD151" s="135"/>
      <c r="AE151" s="135"/>
      <c r="AF151" s="135"/>
      <c r="AG151" s="135"/>
      <c r="AH151" s="135"/>
      <c r="AI151" s="135"/>
      <c r="AJ151" s="135"/>
      <c r="AK151" s="135"/>
      <c r="AL151" s="135"/>
      <c r="AM151" s="135"/>
      <c r="AN151" s="135"/>
      <c r="AO151" s="135"/>
      <c r="AP151" s="135"/>
      <c r="AQ151" s="135"/>
      <c r="AR151" s="135"/>
    </row>
    <row r="152" spans="2:44" ht="15.95" hidden="1" customHeight="1" x14ac:dyDescent="0.25">
      <c r="B152" s="135"/>
      <c r="C152" s="135"/>
      <c r="D152" s="135"/>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5"/>
      <c r="AN152" s="135"/>
      <c r="AO152" s="135"/>
      <c r="AP152" s="135"/>
      <c r="AQ152" s="135"/>
      <c r="AR152" s="135"/>
    </row>
    <row r="153" spans="2:44" ht="15.95" hidden="1" customHeight="1" x14ac:dyDescent="0.25">
      <c r="B153" s="135"/>
      <c r="C153" s="135"/>
      <c r="D153" s="135"/>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c r="AA153" s="135"/>
      <c r="AB153" s="135"/>
      <c r="AC153" s="135"/>
      <c r="AD153" s="135"/>
      <c r="AE153" s="135"/>
      <c r="AF153" s="135"/>
      <c r="AG153" s="135"/>
      <c r="AH153" s="135"/>
      <c r="AI153" s="135"/>
      <c r="AJ153" s="135"/>
      <c r="AK153" s="135"/>
      <c r="AL153" s="135"/>
      <c r="AM153" s="135"/>
      <c r="AN153" s="135"/>
      <c r="AO153" s="135"/>
      <c r="AP153" s="135"/>
      <c r="AQ153" s="135"/>
      <c r="AR153" s="135"/>
    </row>
    <row r="154" spans="2:44" ht="15.95" hidden="1" customHeight="1" x14ac:dyDescent="0.25">
      <c r="B154" s="135"/>
      <c r="C154" s="135"/>
      <c r="D154" s="135"/>
      <c r="E154" s="135"/>
      <c r="F154" s="135"/>
      <c r="G154" s="135"/>
      <c r="H154" s="135"/>
      <c r="I154" s="135"/>
      <c r="J154" s="135"/>
      <c r="K154" s="135"/>
      <c r="L154" s="135"/>
      <c r="M154" s="135"/>
      <c r="N154" s="135"/>
      <c r="O154" s="135"/>
      <c r="P154" s="135"/>
      <c r="Q154" s="135"/>
      <c r="R154" s="135"/>
      <c r="S154" s="135"/>
      <c r="T154" s="135"/>
      <c r="U154" s="135"/>
      <c r="V154" s="135"/>
      <c r="W154" s="135"/>
      <c r="X154" s="135"/>
      <c r="Y154" s="135"/>
      <c r="Z154" s="135"/>
      <c r="AA154" s="135"/>
      <c r="AB154" s="135"/>
      <c r="AC154" s="135"/>
      <c r="AD154" s="135"/>
      <c r="AE154" s="135"/>
      <c r="AF154" s="135"/>
      <c r="AG154" s="135"/>
      <c r="AH154" s="135"/>
      <c r="AI154" s="135"/>
      <c r="AJ154" s="135"/>
      <c r="AK154" s="135"/>
      <c r="AL154" s="135"/>
      <c r="AM154" s="135"/>
      <c r="AN154" s="135"/>
      <c r="AO154" s="135"/>
      <c r="AP154" s="135"/>
      <c r="AQ154" s="135"/>
      <c r="AR154" s="135"/>
    </row>
    <row r="155" spans="2:44" ht="15.95" hidden="1" customHeight="1" x14ac:dyDescent="0.25">
      <c r="B155" s="135"/>
      <c r="C155" s="135"/>
      <c r="D155" s="135"/>
      <c r="E155" s="135"/>
      <c r="F155" s="135"/>
      <c r="G155" s="135"/>
      <c r="H155" s="135"/>
      <c r="I155" s="135"/>
      <c r="J155" s="135"/>
      <c r="K155" s="135"/>
      <c r="L155" s="135"/>
      <c r="M155" s="135"/>
      <c r="N155" s="135"/>
      <c r="O155" s="135"/>
      <c r="P155" s="135"/>
      <c r="Q155" s="135"/>
      <c r="R155" s="135"/>
      <c r="S155" s="135"/>
      <c r="T155" s="135"/>
      <c r="U155" s="135"/>
      <c r="V155" s="135"/>
      <c r="W155" s="135"/>
      <c r="X155" s="135"/>
      <c r="Y155" s="135"/>
      <c r="Z155" s="135"/>
      <c r="AA155" s="135"/>
      <c r="AB155" s="135"/>
      <c r="AC155" s="135"/>
      <c r="AD155" s="135"/>
      <c r="AE155" s="135"/>
      <c r="AF155" s="135"/>
      <c r="AG155" s="135"/>
      <c r="AH155" s="135"/>
      <c r="AI155" s="135"/>
      <c r="AJ155" s="135"/>
      <c r="AK155" s="135"/>
      <c r="AL155" s="135"/>
      <c r="AM155" s="135"/>
      <c r="AN155" s="135"/>
      <c r="AO155" s="135"/>
      <c r="AP155" s="135"/>
      <c r="AQ155" s="135"/>
      <c r="AR155" s="135"/>
    </row>
    <row r="156" spans="2:44" ht="15.95" hidden="1" customHeight="1" x14ac:dyDescent="0.25">
      <c r="B156" s="135"/>
      <c r="C156" s="135"/>
      <c r="D156" s="135"/>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5"/>
      <c r="AF156" s="135"/>
      <c r="AG156" s="135"/>
      <c r="AH156" s="135"/>
      <c r="AI156" s="135"/>
      <c r="AJ156" s="135"/>
      <c r="AK156" s="135"/>
      <c r="AL156" s="135"/>
      <c r="AM156" s="135"/>
      <c r="AN156" s="135"/>
      <c r="AO156" s="135"/>
      <c r="AP156" s="135"/>
      <c r="AQ156" s="135"/>
      <c r="AR156" s="135"/>
    </row>
    <row r="157" spans="2:44" ht="15.95" hidden="1" customHeight="1" x14ac:dyDescent="0.25">
      <c r="B157" s="135"/>
      <c r="C157" s="135"/>
      <c r="D157" s="135"/>
      <c r="E157" s="135"/>
      <c r="F157" s="135"/>
      <c r="G157" s="135"/>
      <c r="H157" s="135"/>
      <c r="I157" s="135"/>
      <c r="J157" s="135"/>
      <c r="K157" s="135"/>
      <c r="L157" s="135"/>
      <c r="M157" s="135"/>
      <c r="N157" s="135"/>
      <c r="O157" s="135"/>
      <c r="P157" s="135"/>
      <c r="Q157" s="135"/>
      <c r="R157" s="135"/>
      <c r="S157" s="135"/>
      <c r="T157" s="135"/>
      <c r="U157" s="135"/>
      <c r="V157" s="135"/>
      <c r="W157" s="135"/>
      <c r="X157" s="135"/>
      <c r="Y157" s="135"/>
      <c r="Z157" s="135"/>
      <c r="AA157" s="135"/>
      <c r="AB157" s="135"/>
      <c r="AC157" s="135"/>
      <c r="AD157" s="135"/>
      <c r="AE157" s="135"/>
      <c r="AF157" s="135"/>
      <c r="AG157" s="135"/>
      <c r="AH157" s="135"/>
      <c r="AI157" s="135"/>
      <c r="AJ157" s="135"/>
      <c r="AK157" s="135"/>
      <c r="AL157" s="135"/>
      <c r="AM157" s="135"/>
      <c r="AN157" s="135"/>
      <c r="AO157" s="135"/>
      <c r="AP157" s="135"/>
      <c r="AQ157" s="135"/>
      <c r="AR157" s="135"/>
    </row>
    <row r="158" spans="2:44" ht="15.95" hidden="1" customHeight="1" x14ac:dyDescent="0.25">
      <c r="B158" s="135"/>
      <c r="C158" s="135"/>
      <c r="D158" s="135"/>
      <c r="E158" s="135"/>
      <c r="F158" s="135"/>
      <c r="G158" s="135"/>
      <c r="H158" s="135"/>
      <c r="I158" s="135"/>
      <c r="J158" s="135"/>
      <c r="K158" s="135"/>
      <c r="L158" s="135"/>
      <c r="M158" s="135"/>
      <c r="N158" s="135"/>
      <c r="O158" s="135"/>
      <c r="P158" s="135"/>
      <c r="Q158" s="135"/>
      <c r="R158" s="135"/>
      <c r="S158" s="135"/>
      <c r="T158" s="135"/>
      <c r="U158" s="135"/>
      <c r="V158" s="135"/>
      <c r="W158" s="135"/>
      <c r="X158" s="135"/>
      <c r="Y158" s="135"/>
      <c r="Z158" s="135"/>
      <c r="AA158" s="135"/>
      <c r="AB158" s="135"/>
      <c r="AC158" s="135"/>
      <c r="AD158" s="135"/>
      <c r="AE158" s="135"/>
      <c r="AF158" s="135"/>
      <c r="AG158" s="135"/>
      <c r="AH158" s="135"/>
      <c r="AI158" s="135"/>
      <c r="AJ158" s="135"/>
      <c r="AK158" s="135"/>
      <c r="AL158" s="135"/>
      <c r="AM158" s="135"/>
      <c r="AN158" s="135"/>
      <c r="AO158" s="135"/>
      <c r="AP158" s="135"/>
      <c r="AQ158" s="135"/>
      <c r="AR158" s="135"/>
    </row>
    <row r="159" spans="2:44" ht="15.95" hidden="1" customHeight="1" x14ac:dyDescent="0.25">
      <c r="B159" s="135"/>
      <c r="C159" s="135"/>
      <c r="D159" s="135"/>
      <c r="E159" s="135"/>
      <c r="F159" s="135"/>
      <c r="G159" s="135"/>
      <c r="H159" s="135"/>
      <c r="I159" s="135"/>
      <c r="J159" s="135"/>
      <c r="K159" s="135"/>
      <c r="L159" s="135"/>
      <c r="M159" s="135"/>
      <c r="N159" s="135"/>
      <c r="O159" s="135"/>
      <c r="P159" s="135"/>
      <c r="Q159" s="135"/>
      <c r="R159" s="135"/>
      <c r="S159" s="135"/>
      <c r="T159" s="135"/>
      <c r="U159" s="135"/>
      <c r="V159" s="135"/>
      <c r="W159" s="135"/>
      <c r="X159" s="135"/>
      <c r="Y159" s="135"/>
      <c r="Z159" s="135"/>
      <c r="AA159" s="135"/>
      <c r="AB159" s="135"/>
      <c r="AC159" s="135"/>
      <c r="AD159" s="135"/>
      <c r="AE159" s="135"/>
      <c r="AF159" s="135"/>
      <c r="AG159" s="135"/>
      <c r="AH159" s="135"/>
      <c r="AI159" s="135"/>
      <c r="AJ159" s="135"/>
      <c r="AK159" s="135"/>
      <c r="AL159" s="135"/>
      <c r="AM159" s="135"/>
      <c r="AN159" s="135"/>
      <c r="AO159" s="135"/>
      <c r="AP159" s="135"/>
      <c r="AQ159" s="135"/>
      <c r="AR159" s="135"/>
    </row>
    <row r="160" spans="2:44" ht="15.95" hidden="1" customHeight="1" x14ac:dyDescent="0.25">
      <c r="B160" s="135"/>
      <c r="C160" s="135"/>
      <c r="D160" s="135"/>
      <c r="E160" s="135"/>
      <c r="F160" s="135"/>
      <c r="G160" s="135"/>
      <c r="H160" s="135"/>
      <c r="I160" s="135"/>
      <c r="J160" s="135"/>
      <c r="K160" s="135"/>
      <c r="L160" s="135"/>
      <c r="M160" s="135"/>
      <c r="N160" s="135"/>
      <c r="O160" s="135"/>
      <c r="P160" s="135"/>
      <c r="Q160" s="135"/>
      <c r="R160" s="135"/>
      <c r="S160" s="135"/>
      <c r="T160" s="135"/>
      <c r="U160" s="135"/>
      <c r="V160" s="135"/>
      <c r="W160" s="135"/>
      <c r="X160" s="135"/>
      <c r="Y160" s="135"/>
      <c r="Z160" s="135"/>
      <c r="AA160" s="135"/>
      <c r="AB160" s="135"/>
      <c r="AC160" s="135"/>
      <c r="AD160" s="135"/>
      <c r="AE160" s="135"/>
      <c r="AF160" s="135"/>
      <c r="AG160" s="135"/>
      <c r="AH160" s="135"/>
      <c r="AI160" s="135"/>
      <c r="AJ160" s="135"/>
      <c r="AK160" s="135"/>
      <c r="AL160" s="135"/>
      <c r="AM160" s="135"/>
      <c r="AN160" s="135"/>
      <c r="AO160" s="135"/>
      <c r="AP160" s="135"/>
      <c r="AQ160" s="135"/>
      <c r="AR160" s="135"/>
    </row>
    <row r="161" spans="2:44" ht="15.95" hidden="1" customHeight="1" x14ac:dyDescent="0.25">
      <c r="B161" s="135"/>
      <c r="C161" s="135"/>
      <c r="D161" s="135"/>
      <c r="E161" s="135"/>
      <c r="F161" s="135"/>
      <c r="G161" s="135"/>
      <c r="H161" s="135"/>
      <c r="I161" s="135"/>
      <c r="J161" s="135"/>
      <c r="K161" s="135"/>
      <c r="L161" s="135"/>
      <c r="M161" s="135"/>
      <c r="N161" s="135"/>
      <c r="O161" s="135"/>
      <c r="P161" s="135"/>
      <c r="Q161" s="135"/>
      <c r="R161" s="135"/>
      <c r="S161" s="135"/>
      <c r="T161" s="135"/>
      <c r="U161" s="135"/>
      <c r="V161" s="135"/>
      <c r="W161" s="135"/>
      <c r="X161" s="135"/>
      <c r="Y161" s="135"/>
      <c r="Z161" s="135"/>
      <c r="AA161" s="135"/>
      <c r="AB161" s="135"/>
      <c r="AC161" s="135"/>
      <c r="AD161" s="135"/>
      <c r="AE161" s="135"/>
      <c r="AF161" s="135"/>
      <c r="AG161" s="135"/>
      <c r="AH161" s="135"/>
      <c r="AI161" s="135"/>
      <c r="AJ161" s="135"/>
      <c r="AK161" s="135"/>
      <c r="AL161" s="135"/>
      <c r="AM161" s="135"/>
      <c r="AN161" s="135"/>
      <c r="AO161" s="135"/>
      <c r="AP161" s="135"/>
      <c r="AQ161" s="135"/>
      <c r="AR161" s="135"/>
    </row>
    <row r="162" spans="2:44" ht="15.95" hidden="1" customHeight="1" x14ac:dyDescent="0.25">
      <c r="B162" s="135"/>
      <c r="C162" s="135"/>
      <c r="D162" s="135"/>
      <c r="E162" s="135"/>
      <c r="F162" s="135"/>
      <c r="G162" s="135"/>
      <c r="H162" s="135"/>
      <c r="I162" s="135"/>
      <c r="J162" s="135"/>
      <c r="K162" s="135"/>
      <c r="L162" s="135"/>
      <c r="M162" s="135"/>
      <c r="N162" s="135"/>
      <c r="O162" s="135"/>
      <c r="P162" s="135"/>
      <c r="Q162" s="135"/>
      <c r="R162" s="135"/>
      <c r="S162" s="135"/>
      <c r="T162" s="135"/>
      <c r="U162" s="135"/>
      <c r="V162" s="135"/>
      <c r="W162" s="135"/>
      <c r="X162" s="135"/>
      <c r="Y162" s="135"/>
      <c r="Z162" s="135"/>
      <c r="AA162" s="135"/>
      <c r="AB162" s="135"/>
      <c r="AC162" s="135"/>
      <c r="AD162" s="135"/>
      <c r="AE162" s="135"/>
      <c r="AF162" s="135"/>
      <c r="AG162" s="135"/>
      <c r="AH162" s="135"/>
      <c r="AI162" s="135"/>
      <c r="AJ162" s="135"/>
      <c r="AK162" s="135"/>
      <c r="AL162" s="135"/>
      <c r="AM162" s="135"/>
      <c r="AN162" s="135"/>
      <c r="AO162" s="135"/>
      <c r="AP162" s="135"/>
      <c r="AQ162" s="135"/>
      <c r="AR162" s="135"/>
    </row>
    <row r="163" spans="2:44" ht="15.95" hidden="1" customHeight="1" x14ac:dyDescent="0.25">
      <c r="B163" s="135"/>
      <c r="C163" s="135"/>
      <c r="D163" s="135"/>
      <c r="E163" s="135"/>
      <c r="F163" s="135"/>
      <c r="G163" s="135"/>
      <c r="H163" s="135"/>
      <c r="I163" s="135"/>
      <c r="J163" s="135"/>
      <c r="K163" s="135"/>
      <c r="L163" s="135"/>
      <c r="M163" s="135"/>
      <c r="N163" s="135"/>
      <c r="O163" s="135"/>
      <c r="P163" s="135"/>
      <c r="Q163" s="135"/>
      <c r="R163" s="135"/>
      <c r="S163" s="135"/>
      <c r="T163" s="135"/>
      <c r="U163" s="135"/>
      <c r="V163" s="135"/>
      <c r="W163" s="135"/>
      <c r="X163" s="135"/>
      <c r="Y163" s="135"/>
      <c r="Z163" s="135"/>
      <c r="AA163" s="135"/>
      <c r="AB163" s="135"/>
      <c r="AC163" s="135"/>
      <c r="AD163" s="135"/>
      <c r="AE163" s="135"/>
      <c r="AF163" s="135"/>
      <c r="AG163" s="135"/>
      <c r="AH163" s="135"/>
      <c r="AI163" s="135"/>
      <c r="AJ163" s="135"/>
      <c r="AK163" s="135"/>
      <c r="AL163" s="135"/>
      <c r="AM163" s="135"/>
      <c r="AN163" s="135"/>
      <c r="AO163" s="135"/>
      <c r="AP163" s="135"/>
      <c r="AQ163" s="135"/>
      <c r="AR163" s="135"/>
    </row>
    <row r="164" spans="2:44" ht="15.95" hidden="1" customHeight="1" x14ac:dyDescent="0.25">
      <c r="B164" s="135"/>
      <c r="C164" s="135"/>
      <c r="D164" s="135"/>
      <c r="E164" s="135"/>
      <c r="F164" s="135"/>
      <c r="G164" s="135"/>
      <c r="H164" s="135"/>
      <c r="I164" s="135"/>
      <c r="J164" s="135"/>
      <c r="K164" s="135"/>
      <c r="L164" s="135"/>
      <c r="M164" s="135"/>
      <c r="N164" s="135"/>
      <c r="O164" s="135"/>
      <c r="P164" s="135"/>
      <c r="Q164" s="135"/>
      <c r="R164" s="135"/>
      <c r="S164" s="135"/>
      <c r="T164" s="135"/>
      <c r="U164" s="135"/>
      <c r="V164" s="135"/>
      <c r="W164" s="135"/>
      <c r="X164" s="135"/>
      <c r="Y164" s="135"/>
      <c r="Z164" s="135"/>
      <c r="AA164" s="135"/>
      <c r="AB164" s="135"/>
      <c r="AC164" s="135"/>
      <c r="AD164" s="135"/>
      <c r="AE164" s="135"/>
      <c r="AF164" s="135"/>
      <c r="AG164" s="135"/>
      <c r="AH164" s="135"/>
      <c r="AI164" s="135"/>
      <c r="AJ164" s="135"/>
      <c r="AK164" s="135"/>
      <c r="AL164" s="135"/>
      <c r="AM164" s="135"/>
      <c r="AN164" s="135"/>
      <c r="AO164" s="135"/>
      <c r="AP164" s="135"/>
      <c r="AQ164" s="135"/>
      <c r="AR164" s="135"/>
    </row>
    <row r="165" spans="2:44" ht="15.95" hidden="1" customHeight="1" x14ac:dyDescent="0.25">
      <c r="B165" s="135"/>
      <c r="C165" s="135"/>
      <c r="D165" s="135"/>
      <c r="E165" s="135"/>
      <c r="F165" s="135"/>
      <c r="G165" s="135"/>
      <c r="H165" s="135"/>
      <c r="I165" s="135"/>
      <c r="J165" s="135"/>
      <c r="K165" s="135"/>
      <c r="L165" s="135"/>
      <c r="M165" s="135"/>
      <c r="N165" s="135"/>
      <c r="O165" s="135"/>
      <c r="P165" s="135"/>
      <c r="Q165" s="135"/>
      <c r="R165" s="135"/>
      <c r="S165" s="135"/>
      <c r="T165" s="135"/>
      <c r="U165" s="135"/>
      <c r="V165" s="135"/>
      <c r="W165" s="135"/>
      <c r="X165" s="135"/>
      <c r="Y165" s="135"/>
      <c r="Z165" s="135"/>
      <c r="AA165" s="135"/>
      <c r="AB165" s="135"/>
      <c r="AC165" s="135"/>
      <c r="AD165" s="135"/>
      <c r="AE165" s="135"/>
      <c r="AF165" s="135"/>
      <c r="AG165" s="135"/>
      <c r="AH165" s="135"/>
      <c r="AI165" s="135"/>
      <c r="AJ165" s="135"/>
      <c r="AK165" s="135"/>
      <c r="AL165" s="135"/>
      <c r="AM165" s="135"/>
      <c r="AN165" s="135"/>
      <c r="AO165" s="135"/>
      <c r="AP165" s="135"/>
      <c r="AQ165" s="135"/>
      <c r="AR165" s="135"/>
    </row>
    <row r="166" spans="2:44" ht="15.95" hidden="1" customHeight="1" x14ac:dyDescent="0.25">
      <c r="B166" s="135"/>
      <c r="C166" s="135"/>
      <c r="D166" s="135"/>
      <c r="E166" s="135"/>
      <c r="F166" s="135"/>
      <c r="G166" s="135"/>
      <c r="H166" s="135"/>
      <c r="I166" s="135"/>
      <c r="J166" s="135"/>
      <c r="K166" s="135"/>
      <c r="L166" s="135"/>
      <c r="M166" s="135"/>
      <c r="N166" s="135"/>
      <c r="O166" s="135"/>
      <c r="P166" s="135"/>
      <c r="Q166" s="135"/>
      <c r="R166" s="135"/>
      <c r="S166" s="135"/>
      <c r="T166" s="135"/>
      <c r="U166" s="135"/>
      <c r="V166" s="135"/>
      <c r="W166" s="135"/>
      <c r="X166" s="135"/>
      <c r="Y166" s="135"/>
      <c r="Z166" s="135"/>
      <c r="AA166" s="135"/>
      <c r="AB166" s="135"/>
      <c r="AC166" s="135"/>
      <c r="AD166" s="135"/>
      <c r="AE166" s="135"/>
      <c r="AF166" s="135"/>
      <c r="AG166" s="135"/>
      <c r="AH166" s="135"/>
      <c r="AI166" s="135"/>
      <c r="AJ166" s="135"/>
      <c r="AK166" s="135"/>
      <c r="AL166" s="135"/>
      <c r="AM166" s="135"/>
      <c r="AN166" s="135"/>
      <c r="AO166" s="135"/>
      <c r="AP166" s="135"/>
      <c r="AQ166" s="135"/>
      <c r="AR166" s="135"/>
    </row>
    <row r="167" spans="2:44" ht="15.95" hidden="1" customHeight="1" x14ac:dyDescent="0.25">
      <c r="B167" s="135"/>
      <c r="C167" s="135"/>
      <c r="D167" s="135"/>
      <c r="E167" s="135"/>
      <c r="F167" s="135"/>
      <c r="G167" s="135"/>
      <c r="H167" s="135"/>
      <c r="I167" s="135"/>
      <c r="J167" s="135"/>
      <c r="K167" s="135"/>
      <c r="L167" s="135"/>
      <c r="M167" s="135"/>
      <c r="N167" s="135"/>
      <c r="O167" s="135"/>
      <c r="P167" s="135"/>
      <c r="Q167" s="135"/>
      <c r="R167" s="135"/>
      <c r="S167" s="135"/>
      <c r="T167" s="135"/>
      <c r="U167" s="135"/>
      <c r="V167" s="135"/>
      <c r="W167" s="135"/>
      <c r="X167" s="135"/>
      <c r="Y167" s="135"/>
      <c r="Z167" s="135"/>
      <c r="AA167" s="135"/>
      <c r="AB167" s="135"/>
      <c r="AC167" s="135"/>
      <c r="AD167" s="135"/>
      <c r="AE167" s="135"/>
      <c r="AF167" s="135"/>
      <c r="AG167" s="135"/>
      <c r="AH167" s="135"/>
      <c r="AI167" s="135"/>
      <c r="AJ167" s="135"/>
      <c r="AK167" s="135"/>
      <c r="AL167" s="135"/>
      <c r="AM167" s="135"/>
      <c r="AN167" s="135"/>
      <c r="AO167" s="135"/>
      <c r="AP167" s="135"/>
      <c r="AQ167" s="135"/>
      <c r="AR167" s="135"/>
    </row>
    <row r="168" spans="2:44" ht="15.95" hidden="1" customHeight="1" x14ac:dyDescent="0.25">
      <c r="B168" s="135"/>
      <c r="C168" s="135"/>
      <c r="D168" s="135"/>
      <c r="E168" s="135"/>
      <c r="F168" s="135"/>
      <c r="G168" s="135"/>
      <c r="H168" s="135"/>
      <c r="I168" s="135"/>
      <c r="J168" s="135"/>
      <c r="K168" s="135"/>
      <c r="L168" s="135"/>
      <c r="M168" s="135"/>
      <c r="N168" s="135"/>
      <c r="O168" s="135"/>
      <c r="P168" s="135"/>
      <c r="Q168" s="135"/>
      <c r="R168" s="135"/>
      <c r="S168" s="135"/>
      <c r="T168" s="135"/>
      <c r="U168" s="135"/>
      <c r="V168" s="135"/>
      <c r="W168" s="135"/>
      <c r="X168" s="135"/>
      <c r="Y168" s="135"/>
      <c r="Z168" s="135"/>
      <c r="AA168" s="135"/>
      <c r="AB168" s="135"/>
      <c r="AC168" s="135"/>
      <c r="AD168" s="135"/>
      <c r="AE168" s="135"/>
      <c r="AF168" s="135"/>
      <c r="AG168" s="135"/>
      <c r="AH168" s="135"/>
      <c r="AI168" s="135"/>
      <c r="AJ168" s="135"/>
      <c r="AK168" s="135"/>
      <c r="AL168" s="135"/>
      <c r="AM168" s="135"/>
      <c r="AN168" s="135"/>
      <c r="AO168" s="135"/>
      <c r="AP168" s="135"/>
      <c r="AQ168" s="135"/>
      <c r="AR168" s="135"/>
    </row>
    <row r="169" spans="2:44" s="63" customFormat="1" ht="15.95" hidden="1" customHeight="1" x14ac:dyDescent="0.25">
      <c r="B169" s="135"/>
      <c r="C169" s="135"/>
      <c r="D169" s="135"/>
      <c r="E169" s="135"/>
      <c r="F169" s="135"/>
      <c r="G169" s="135"/>
      <c r="H169" s="135"/>
      <c r="I169" s="135"/>
      <c r="J169" s="135"/>
      <c r="K169" s="135"/>
      <c r="L169" s="135"/>
      <c r="M169" s="135"/>
      <c r="N169" s="135"/>
      <c r="O169" s="135"/>
      <c r="P169" s="135"/>
      <c r="Q169" s="135"/>
      <c r="R169" s="135"/>
      <c r="S169" s="135"/>
      <c r="T169" s="135"/>
      <c r="U169" s="135"/>
      <c r="V169" s="135"/>
      <c r="W169" s="135"/>
      <c r="X169" s="135"/>
      <c r="Y169" s="135"/>
      <c r="Z169" s="135"/>
      <c r="AA169" s="135"/>
      <c r="AB169" s="135"/>
      <c r="AC169" s="135"/>
      <c r="AD169" s="135"/>
      <c r="AE169" s="135"/>
      <c r="AF169" s="135"/>
      <c r="AG169" s="135"/>
      <c r="AH169" s="135"/>
      <c r="AI169" s="135"/>
      <c r="AJ169" s="135"/>
      <c r="AK169" s="135"/>
      <c r="AL169" s="135"/>
      <c r="AM169" s="135"/>
      <c r="AN169" s="135"/>
      <c r="AO169" s="135"/>
      <c r="AP169" s="135"/>
      <c r="AQ169" s="135"/>
      <c r="AR169" s="135"/>
    </row>
    <row r="170" spans="2:44" s="63" customFormat="1" ht="15.95" hidden="1" customHeight="1" x14ac:dyDescent="0.25">
      <c r="B170" s="135"/>
      <c r="C170" s="135"/>
      <c r="D170" s="135"/>
      <c r="E170" s="135"/>
      <c r="F170" s="135"/>
      <c r="G170" s="135"/>
      <c r="H170" s="135"/>
      <c r="I170" s="135"/>
      <c r="J170" s="135"/>
      <c r="K170" s="135"/>
      <c r="L170" s="135"/>
      <c r="M170" s="135"/>
      <c r="N170" s="135"/>
      <c r="O170" s="135"/>
      <c r="P170" s="135"/>
      <c r="Q170" s="135"/>
      <c r="R170" s="135"/>
      <c r="S170" s="135"/>
      <c r="T170" s="135"/>
      <c r="U170" s="135"/>
      <c r="V170" s="135"/>
      <c r="W170" s="135"/>
      <c r="X170" s="135"/>
      <c r="Y170" s="135"/>
      <c r="Z170" s="135"/>
      <c r="AA170" s="135"/>
      <c r="AB170" s="135"/>
      <c r="AC170" s="135"/>
      <c r="AD170" s="135"/>
      <c r="AE170" s="135"/>
      <c r="AF170" s="135"/>
      <c r="AG170" s="135"/>
      <c r="AH170" s="135"/>
      <c r="AI170" s="135"/>
      <c r="AJ170" s="135"/>
      <c r="AK170" s="135"/>
      <c r="AL170" s="135"/>
      <c r="AM170" s="135"/>
      <c r="AN170" s="135"/>
      <c r="AO170" s="135"/>
      <c r="AP170" s="135"/>
      <c r="AQ170" s="135"/>
      <c r="AR170" s="135"/>
    </row>
    <row r="171" spans="2:44" s="63" customFormat="1" ht="15.95" hidden="1" customHeight="1" x14ac:dyDescent="0.25">
      <c r="B171" s="135"/>
      <c r="C171" s="135"/>
      <c r="D171" s="135"/>
      <c r="E171" s="135"/>
      <c r="F171" s="135"/>
      <c r="G171" s="135"/>
      <c r="H171" s="135"/>
      <c r="I171" s="135"/>
      <c r="J171" s="135"/>
      <c r="K171" s="135"/>
      <c r="L171" s="135"/>
      <c r="M171" s="135"/>
      <c r="N171" s="135"/>
      <c r="O171" s="135"/>
      <c r="P171" s="135"/>
      <c r="Q171" s="135"/>
      <c r="R171" s="135"/>
      <c r="S171" s="135"/>
      <c r="T171" s="135"/>
      <c r="U171" s="135"/>
      <c r="V171" s="135"/>
      <c r="W171" s="135"/>
      <c r="X171" s="135"/>
      <c r="Y171" s="135"/>
      <c r="Z171" s="135"/>
      <c r="AA171" s="135"/>
      <c r="AB171" s="135"/>
      <c r="AC171" s="135"/>
      <c r="AD171" s="135"/>
      <c r="AE171" s="135"/>
      <c r="AF171" s="135"/>
      <c r="AG171" s="135"/>
      <c r="AH171" s="135"/>
      <c r="AI171" s="135"/>
      <c r="AJ171" s="135"/>
      <c r="AK171" s="135"/>
      <c r="AL171" s="135"/>
      <c r="AM171" s="135"/>
      <c r="AN171" s="135"/>
      <c r="AO171" s="135"/>
      <c r="AP171" s="135"/>
      <c r="AQ171" s="135"/>
      <c r="AR171" s="135"/>
    </row>
    <row r="172" spans="2:44" s="63" customFormat="1" ht="15.95" hidden="1" customHeight="1" x14ac:dyDescent="0.25">
      <c r="B172" s="135"/>
      <c r="C172" s="135"/>
      <c r="D172" s="135"/>
      <c r="E172" s="135"/>
      <c r="F172" s="135"/>
      <c r="G172" s="135"/>
      <c r="H172" s="135"/>
      <c r="I172" s="135"/>
      <c r="J172" s="135"/>
      <c r="K172" s="135"/>
      <c r="L172" s="135"/>
      <c r="M172" s="135"/>
      <c r="N172" s="135"/>
      <c r="O172" s="135"/>
      <c r="P172" s="135"/>
      <c r="Q172" s="135"/>
      <c r="R172" s="135"/>
      <c r="S172" s="135"/>
      <c r="T172" s="135"/>
      <c r="U172" s="135"/>
      <c r="V172" s="135"/>
      <c r="W172" s="135"/>
      <c r="X172" s="135"/>
      <c r="Y172" s="135"/>
      <c r="Z172" s="135"/>
      <c r="AA172" s="135"/>
      <c r="AB172" s="135"/>
      <c r="AC172" s="135"/>
      <c r="AD172" s="135"/>
      <c r="AE172" s="135"/>
      <c r="AF172" s="135"/>
      <c r="AG172" s="135"/>
      <c r="AH172" s="135"/>
      <c r="AI172" s="135"/>
      <c r="AJ172" s="135"/>
      <c r="AK172" s="135"/>
      <c r="AL172" s="135"/>
      <c r="AM172" s="135"/>
      <c r="AN172" s="135"/>
      <c r="AO172" s="135"/>
      <c r="AP172" s="135"/>
      <c r="AQ172" s="135"/>
      <c r="AR172" s="135"/>
    </row>
    <row r="173" spans="2:44" s="63" customFormat="1" ht="15.95" hidden="1" customHeight="1" x14ac:dyDescent="0.25">
      <c r="B173" s="135"/>
      <c r="C173" s="135"/>
      <c r="D173" s="135"/>
      <c r="E173" s="135"/>
      <c r="F173" s="135"/>
      <c r="G173" s="135"/>
      <c r="H173" s="135"/>
      <c r="I173" s="135"/>
      <c r="J173" s="135"/>
      <c r="K173" s="135"/>
      <c r="L173" s="135"/>
      <c r="M173" s="135"/>
      <c r="N173" s="135"/>
      <c r="O173" s="135"/>
      <c r="P173" s="135"/>
      <c r="Q173" s="135"/>
      <c r="R173" s="135"/>
      <c r="S173" s="135"/>
      <c r="T173" s="135"/>
      <c r="U173" s="135"/>
      <c r="V173" s="135"/>
      <c r="W173" s="135"/>
      <c r="X173" s="135"/>
      <c r="Y173" s="135"/>
      <c r="Z173" s="135"/>
      <c r="AA173" s="135"/>
      <c r="AB173" s="135"/>
      <c r="AC173" s="135"/>
      <c r="AD173" s="135"/>
      <c r="AE173" s="135"/>
      <c r="AF173" s="135"/>
      <c r="AG173" s="135"/>
      <c r="AH173" s="135"/>
      <c r="AI173" s="135"/>
      <c r="AJ173" s="135"/>
      <c r="AK173" s="135"/>
      <c r="AL173" s="135"/>
      <c r="AM173" s="135"/>
      <c r="AN173" s="135"/>
      <c r="AO173" s="135"/>
      <c r="AP173" s="135"/>
      <c r="AQ173" s="135"/>
      <c r="AR173" s="135"/>
    </row>
    <row r="174" spans="2:44" s="63" customFormat="1" ht="15.95" hidden="1" customHeight="1" x14ac:dyDescent="0.25">
      <c r="B174" s="135"/>
      <c r="C174" s="135"/>
      <c r="D174" s="135"/>
      <c r="E174" s="135"/>
      <c r="F174" s="135"/>
      <c r="G174" s="135"/>
      <c r="H174" s="135"/>
      <c r="I174" s="135"/>
      <c r="J174" s="135"/>
      <c r="K174" s="135"/>
      <c r="L174" s="135"/>
      <c r="M174" s="135"/>
      <c r="N174" s="135"/>
      <c r="O174" s="135"/>
      <c r="P174" s="135"/>
      <c r="Q174" s="135"/>
      <c r="R174" s="135"/>
      <c r="S174" s="135"/>
      <c r="T174" s="135"/>
      <c r="U174" s="135"/>
      <c r="V174" s="135"/>
      <c r="W174" s="135"/>
      <c r="X174" s="135"/>
      <c r="Y174" s="135"/>
      <c r="Z174" s="135"/>
      <c r="AA174" s="135"/>
      <c r="AB174" s="135"/>
      <c r="AC174" s="135"/>
      <c r="AD174" s="135"/>
      <c r="AE174" s="135"/>
      <c r="AF174" s="135"/>
      <c r="AG174" s="135"/>
      <c r="AH174" s="135"/>
      <c r="AI174" s="135"/>
      <c r="AJ174" s="135"/>
      <c r="AK174" s="135"/>
      <c r="AL174" s="135"/>
      <c r="AM174" s="135"/>
      <c r="AN174" s="135"/>
      <c r="AO174" s="135"/>
      <c r="AP174" s="135"/>
      <c r="AQ174" s="135"/>
      <c r="AR174" s="135"/>
    </row>
    <row r="175" spans="2:44" s="63" customFormat="1" ht="15.95" hidden="1" customHeight="1" x14ac:dyDescent="0.25">
      <c r="B175" s="135"/>
      <c r="C175" s="135"/>
      <c r="D175" s="135"/>
      <c r="E175" s="135"/>
      <c r="F175" s="135"/>
      <c r="G175" s="135"/>
      <c r="H175" s="135"/>
      <c r="I175" s="135"/>
      <c r="J175" s="135"/>
      <c r="K175" s="135"/>
      <c r="L175" s="135"/>
      <c r="M175" s="135"/>
      <c r="N175" s="135"/>
      <c r="O175" s="135"/>
      <c r="P175" s="135"/>
      <c r="Q175" s="135"/>
      <c r="R175" s="135"/>
      <c r="S175" s="135"/>
      <c r="T175" s="135"/>
      <c r="U175" s="135"/>
      <c r="V175" s="135"/>
      <c r="W175" s="135"/>
      <c r="X175" s="135"/>
      <c r="Y175" s="135"/>
      <c r="Z175" s="135"/>
      <c r="AA175" s="135"/>
      <c r="AB175" s="135"/>
      <c r="AC175" s="135"/>
      <c r="AD175" s="135"/>
      <c r="AE175" s="135"/>
      <c r="AF175" s="135"/>
      <c r="AG175" s="135"/>
      <c r="AH175" s="135"/>
      <c r="AI175" s="135"/>
      <c r="AJ175" s="135"/>
      <c r="AK175" s="135"/>
      <c r="AL175" s="135"/>
      <c r="AM175" s="135"/>
      <c r="AN175" s="135"/>
      <c r="AO175" s="135"/>
      <c r="AP175" s="135"/>
      <c r="AQ175" s="135"/>
      <c r="AR175" s="135"/>
    </row>
    <row r="176" spans="2:44" s="63" customFormat="1" ht="15.95" hidden="1" customHeight="1" x14ac:dyDescent="0.25">
      <c r="B176" s="135"/>
      <c r="C176" s="135"/>
      <c r="D176" s="135"/>
      <c r="E176" s="135"/>
      <c r="F176" s="135"/>
      <c r="G176" s="135"/>
      <c r="H176" s="135"/>
      <c r="I176" s="135"/>
      <c r="J176" s="135"/>
      <c r="K176" s="135"/>
      <c r="L176" s="135"/>
      <c r="M176" s="135"/>
      <c r="N176" s="135"/>
      <c r="O176" s="135"/>
      <c r="P176" s="135"/>
      <c r="Q176" s="135"/>
      <c r="R176" s="135"/>
      <c r="S176" s="135"/>
      <c r="T176" s="135"/>
      <c r="U176" s="135"/>
      <c r="V176" s="135"/>
      <c r="W176" s="135"/>
      <c r="X176" s="135"/>
      <c r="Y176" s="135"/>
      <c r="Z176" s="135"/>
      <c r="AA176" s="135"/>
      <c r="AB176" s="135"/>
      <c r="AC176" s="135"/>
      <c r="AD176" s="135"/>
      <c r="AE176" s="135"/>
      <c r="AF176" s="135"/>
      <c r="AG176" s="135"/>
      <c r="AH176" s="135"/>
      <c r="AI176" s="135"/>
      <c r="AJ176" s="135"/>
      <c r="AK176" s="135"/>
      <c r="AL176" s="135"/>
      <c r="AM176" s="135"/>
      <c r="AN176" s="135"/>
      <c r="AO176" s="135"/>
      <c r="AP176" s="135"/>
      <c r="AQ176" s="135"/>
      <c r="AR176" s="135"/>
    </row>
    <row r="177" spans="2:44" s="63" customFormat="1" ht="15.95" hidden="1" customHeight="1" x14ac:dyDescent="0.25">
      <c r="B177" s="135"/>
      <c r="C177" s="135"/>
      <c r="D177" s="135"/>
      <c r="E177" s="135"/>
      <c r="F177" s="135"/>
      <c r="G177" s="135"/>
      <c r="H177" s="135"/>
      <c r="I177" s="135"/>
      <c r="J177" s="135"/>
      <c r="K177" s="135"/>
      <c r="L177" s="135"/>
      <c r="M177" s="135"/>
      <c r="N177" s="135"/>
      <c r="O177" s="135"/>
      <c r="P177" s="135"/>
      <c r="Q177" s="135"/>
      <c r="R177" s="135"/>
      <c r="S177" s="135"/>
      <c r="T177" s="135"/>
      <c r="U177" s="135"/>
      <c r="V177" s="135"/>
      <c r="W177" s="135"/>
      <c r="X177" s="135"/>
      <c r="Y177" s="135"/>
      <c r="Z177" s="135"/>
      <c r="AA177" s="135"/>
      <c r="AB177" s="135"/>
      <c r="AC177" s="135"/>
      <c r="AD177" s="135"/>
      <c r="AE177" s="135"/>
      <c r="AF177" s="135"/>
      <c r="AG177" s="135"/>
      <c r="AH177" s="135"/>
      <c r="AI177" s="135"/>
      <c r="AJ177" s="135"/>
      <c r="AK177" s="135"/>
      <c r="AL177" s="135"/>
      <c r="AM177" s="135"/>
      <c r="AN177" s="135"/>
      <c r="AO177" s="135"/>
      <c r="AP177" s="135"/>
      <c r="AQ177" s="135"/>
      <c r="AR177" s="135"/>
    </row>
    <row r="178" spans="2:44" s="63" customFormat="1" ht="15.95" hidden="1" customHeight="1" x14ac:dyDescent="0.25">
      <c r="B178" s="135"/>
      <c r="C178" s="135"/>
      <c r="D178" s="135"/>
      <c r="E178" s="135"/>
      <c r="F178" s="135"/>
      <c r="G178" s="135"/>
      <c r="H178" s="135"/>
      <c r="I178" s="135"/>
      <c r="J178" s="135"/>
      <c r="K178" s="135"/>
      <c r="L178" s="135"/>
      <c r="M178" s="135"/>
      <c r="N178" s="135"/>
      <c r="O178" s="135"/>
      <c r="P178" s="135"/>
      <c r="Q178" s="135"/>
      <c r="R178" s="135"/>
      <c r="S178" s="135"/>
      <c r="T178" s="135"/>
      <c r="U178" s="135"/>
      <c r="V178" s="135"/>
      <c r="W178" s="135"/>
      <c r="X178" s="135"/>
      <c r="Y178" s="135"/>
      <c r="Z178" s="135"/>
      <c r="AA178" s="135"/>
      <c r="AB178" s="135"/>
      <c r="AC178" s="135"/>
      <c r="AD178" s="135"/>
      <c r="AE178" s="135"/>
      <c r="AF178" s="135"/>
      <c r="AG178" s="135"/>
      <c r="AH178" s="135"/>
      <c r="AI178" s="135"/>
      <c r="AJ178" s="135"/>
      <c r="AK178" s="135"/>
      <c r="AL178" s="135"/>
      <c r="AM178" s="135"/>
      <c r="AN178" s="135"/>
      <c r="AO178" s="135"/>
      <c r="AP178" s="135"/>
      <c r="AQ178" s="135"/>
      <c r="AR178" s="135"/>
    </row>
    <row r="179" spans="2:44" s="63" customFormat="1" ht="15.95" hidden="1" customHeight="1" x14ac:dyDescent="0.25">
      <c r="B179" s="135"/>
      <c r="C179" s="135"/>
      <c r="D179" s="135"/>
      <c r="E179" s="135"/>
      <c r="F179" s="135"/>
      <c r="G179" s="135"/>
      <c r="H179" s="135"/>
      <c r="I179" s="135"/>
      <c r="J179" s="135"/>
      <c r="K179" s="135"/>
      <c r="L179" s="135"/>
      <c r="M179" s="135"/>
      <c r="N179" s="135"/>
      <c r="O179" s="135"/>
      <c r="P179" s="135"/>
      <c r="Q179" s="135"/>
      <c r="R179" s="135"/>
      <c r="S179" s="135"/>
      <c r="T179" s="135"/>
      <c r="U179" s="135"/>
      <c r="V179" s="135"/>
      <c r="W179" s="135"/>
      <c r="X179" s="135"/>
      <c r="Y179" s="135"/>
      <c r="Z179" s="135"/>
      <c r="AA179" s="135"/>
      <c r="AB179" s="135"/>
      <c r="AC179" s="135"/>
      <c r="AD179" s="135"/>
      <c r="AE179" s="135"/>
      <c r="AF179" s="135"/>
      <c r="AG179" s="135"/>
      <c r="AH179" s="135"/>
      <c r="AI179" s="135"/>
      <c r="AJ179" s="135"/>
      <c r="AK179" s="135"/>
      <c r="AL179" s="135"/>
      <c r="AM179" s="135"/>
      <c r="AN179" s="135"/>
      <c r="AO179" s="135"/>
      <c r="AP179" s="135"/>
      <c r="AQ179" s="135"/>
      <c r="AR179" s="135"/>
    </row>
    <row r="180" spans="2:44" s="63" customFormat="1" ht="15.95" hidden="1" customHeight="1" x14ac:dyDescent="0.25">
      <c r="B180" s="135"/>
      <c r="C180" s="135"/>
      <c r="D180" s="135"/>
      <c r="E180" s="135"/>
      <c r="F180" s="135"/>
      <c r="G180" s="135"/>
      <c r="H180" s="135"/>
      <c r="I180" s="135"/>
      <c r="J180" s="135"/>
      <c r="K180" s="135"/>
      <c r="L180" s="135"/>
      <c r="M180" s="135"/>
      <c r="N180" s="135"/>
      <c r="O180" s="135"/>
      <c r="P180" s="135"/>
      <c r="Q180" s="135"/>
      <c r="R180" s="135"/>
      <c r="S180" s="135"/>
      <c r="T180" s="135"/>
      <c r="U180" s="135"/>
      <c r="V180" s="135"/>
      <c r="W180" s="135"/>
      <c r="X180" s="135"/>
      <c r="Y180" s="135"/>
      <c r="Z180" s="135"/>
      <c r="AA180" s="135"/>
      <c r="AB180" s="135"/>
      <c r="AC180" s="135"/>
      <c r="AD180" s="135"/>
      <c r="AE180" s="135"/>
      <c r="AF180" s="135"/>
      <c r="AG180" s="135"/>
      <c r="AH180" s="135"/>
      <c r="AI180" s="135"/>
      <c r="AJ180" s="135"/>
      <c r="AK180" s="135"/>
      <c r="AL180" s="135"/>
      <c r="AM180" s="135"/>
      <c r="AN180" s="135"/>
      <c r="AO180" s="135"/>
      <c r="AP180" s="135"/>
      <c r="AQ180" s="135"/>
      <c r="AR180" s="135"/>
    </row>
    <row r="181" spans="2:44" s="63" customFormat="1" ht="15.95" hidden="1" customHeight="1" x14ac:dyDescent="0.25">
      <c r="B181" s="135"/>
      <c r="C181" s="135"/>
      <c r="D181" s="135"/>
      <c r="E181" s="135"/>
      <c r="F181" s="135"/>
      <c r="G181" s="135"/>
      <c r="H181" s="135"/>
      <c r="I181" s="135"/>
      <c r="J181" s="135"/>
      <c r="K181" s="135"/>
      <c r="L181" s="135"/>
      <c r="M181" s="135"/>
      <c r="N181" s="135"/>
      <c r="O181" s="135"/>
      <c r="P181" s="135"/>
      <c r="Q181" s="135"/>
      <c r="R181" s="135"/>
      <c r="S181" s="135"/>
      <c r="T181" s="135"/>
      <c r="U181" s="135"/>
      <c r="V181" s="135"/>
      <c r="W181" s="135"/>
      <c r="X181" s="135"/>
      <c r="Y181" s="135"/>
      <c r="Z181" s="135"/>
      <c r="AA181" s="135"/>
      <c r="AB181" s="135"/>
      <c r="AC181" s="135"/>
      <c r="AD181" s="135"/>
      <c r="AE181" s="135"/>
      <c r="AF181" s="135"/>
      <c r="AG181" s="135"/>
      <c r="AH181" s="135"/>
      <c r="AI181" s="135"/>
      <c r="AJ181" s="135"/>
      <c r="AK181" s="135"/>
      <c r="AL181" s="135"/>
      <c r="AM181" s="135"/>
      <c r="AN181" s="135"/>
      <c r="AO181" s="135"/>
      <c r="AP181" s="135"/>
      <c r="AQ181" s="135"/>
      <c r="AR181" s="135"/>
    </row>
    <row r="182" spans="2:44" s="63" customFormat="1" ht="15.95" hidden="1" customHeight="1" x14ac:dyDescent="0.25">
      <c r="B182" s="135"/>
      <c r="C182" s="135"/>
      <c r="D182" s="135"/>
      <c r="E182" s="135"/>
      <c r="F182" s="135"/>
      <c r="G182" s="135"/>
      <c r="H182" s="135"/>
      <c r="I182" s="135"/>
      <c r="J182" s="135"/>
      <c r="K182" s="135"/>
      <c r="L182" s="135"/>
      <c r="M182" s="135"/>
      <c r="N182" s="135"/>
      <c r="O182" s="135"/>
      <c r="P182" s="135"/>
      <c r="Q182" s="135"/>
      <c r="R182" s="135"/>
      <c r="S182" s="135"/>
      <c r="T182" s="135"/>
      <c r="U182" s="135"/>
      <c r="V182" s="135"/>
      <c r="W182" s="135"/>
      <c r="X182" s="135"/>
      <c r="Y182" s="135"/>
      <c r="Z182" s="135"/>
      <c r="AA182" s="135"/>
      <c r="AB182" s="135"/>
      <c r="AC182" s="135"/>
      <c r="AD182" s="135"/>
      <c r="AE182" s="135"/>
      <c r="AF182" s="135"/>
      <c r="AG182" s="135"/>
      <c r="AH182" s="135"/>
      <c r="AI182" s="135"/>
      <c r="AJ182" s="135"/>
      <c r="AK182" s="135"/>
      <c r="AL182" s="135"/>
      <c r="AM182" s="135"/>
      <c r="AN182" s="135"/>
      <c r="AO182" s="135"/>
      <c r="AP182" s="135"/>
      <c r="AQ182" s="135"/>
      <c r="AR182" s="135"/>
    </row>
    <row r="183" spans="2:44" s="63" customFormat="1" ht="15.95" hidden="1" customHeight="1" x14ac:dyDescent="0.25">
      <c r="B183" s="135"/>
      <c r="C183" s="135"/>
      <c r="D183" s="135"/>
      <c r="E183" s="135"/>
      <c r="F183" s="135"/>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c r="AF183" s="135"/>
      <c r="AG183" s="135"/>
      <c r="AH183" s="135"/>
      <c r="AI183" s="135"/>
      <c r="AJ183" s="135"/>
      <c r="AK183" s="135"/>
      <c r="AL183" s="135"/>
      <c r="AM183" s="135"/>
      <c r="AN183" s="135"/>
      <c r="AO183" s="135"/>
      <c r="AP183" s="135"/>
      <c r="AQ183" s="135"/>
      <c r="AR183" s="135"/>
    </row>
    <row r="184" spans="2:44" s="63" customFormat="1" ht="15.95" hidden="1" customHeight="1" x14ac:dyDescent="0.25">
      <c r="B184" s="135"/>
      <c r="C184" s="135"/>
      <c r="D184" s="135"/>
      <c r="E184" s="135"/>
      <c r="F184" s="135"/>
      <c r="G184" s="135"/>
      <c r="H184" s="135"/>
      <c r="I184" s="135"/>
      <c r="J184" s="135"/>
      <c r="K184" s="135"/>
      <c r="L184" s="135"/>
      <c r="M184" s="135"/>
      <c r="N184" s="135"/>
      <c r="O184" s="135"/>
      <c r="P184" s="135"/>
      <c r="Q184" s="135"/>
      <c r="R184" s="135"/>
      <c r="S184" s="135"/>
      <c r="T184" s="135"/>
      <c r="U184" s="135"/>
      <c r="V184" s="135"/>
      <c r="W184" s="135"/>
      <c r="X184" s="135"/>
      <c r="Y184" s="135"/>
      <c r="Z184" s="135"/>
      <c r="AA184" s="135"/>
      <c r="AB184" s="135"/>
      <c r="AC184" s="135"/>
      <c r="AD184" s="135"/>
      <c r="AE184" s="135"/>
      <c r="AF184" s="135"/>
      <c r="AG184" s="135"/>
      <c r="AH184" s="135"/>
      <c r="AI184" s="135"/>
      <c r="AJ184" s="135"/>
      <c r="AK184" s="135"/>
      <c r="AL184" s="135"/>
      <c r="AM184" s="135"/>
      <c r="AN184" s="135"/>
      <c r="AO184" s="135"/>
      <c r="AP184" s="135"/>
      <c r="AQ184" s="135"/>
      <c r="AR184" s="135"/>
    </row>
    <row r="185" spans="2:44" s="63" customFormat="1" ht="15.95" hidden="1" customHeight="1" x14ac:dyDescent="0.25">
      <c r="B185" s="135"/>
      <c r="C185" s="135"/>
      <c r="D185" s="135"/>
      <c r="E185" s="135"/>
      <c r="F185" s="135"/>
      <c r="G185" s="135"/>
      <c r="H185" s="135"/>
      <c r="I185" s="135"/>
      <c r="J185" s="135"/>
      <c r="K185" s="135"/>
      <c r="L185" s="135"/>
      <c r="M185" s="135"/>
      <c r="N185" s="135"/>
      <c r="O185" s="135"/>
      <c r="P185" s="135"/>
      <c r="Q185" s="135"/>
      <c r="R185" s="135"/>
      <c r="S185" s="135"/>
      <c r="T185" s="135"/>
      <c r="U185" s="135"/>
      <c r="V185" s="135"/>
      <c r="W185" s="135"/>
      <c r="X185" s="135"/>
      <c r="Y185" s="135"/>
      <c r="Z185" s="135"/>
      <c r="AA185" s="135"/>
      <c r="AB185" s="135"/>
      <c r="AC185" s="135"/>
      <c r="AD185" s="135"/>
      <c r="AE185" s="135"/>
      <c r="AF185" s="135"/>
      <c r="AG185" s="135"/>
      <c r="AH185" s="135"/>
      <c r="AI185" s="135"/>
      <c r="AJ185" s="135"/>
      <c r="AK185" s="135"/>
      <c r="AL185" s="135"/>
      <c r="AM185" s="135"/>
      <c r="AN185" s="135"/>
      <c r="AO185" s="135"/>
      <c r="AP185" s="135"/>
      <c r="AQ185" s="135"/>
      <c r="AR185" s="135"/>
    </row>
    <row r="186" spans="2:44" s="63" customFormat="1" ht="15.95" hidden="1" customHeight="1" x14ac:dyDescent="0.25">
      <c r="B186" s="135"/>
      <c r="C186" s="135"/>
      <c r="D186" s="135"/>
      <c r="E186" s="135"/>
      <c r="F186" s="135"/>
      <c r="G186" s="135"/>
      <c r="H186" s="135"/>
      <c r="I186" s="135"/>
      <c r="J186" s="135"/>
      <c r="K186" s="135"/>
      <c r="L186" s="135"/>
      <c r="M186" s="135"/>
      <c r="N186" s="135"/>
      <c r="O186" s="135"/>
      <c r="P186" s="135"/>
      <c r="Q186" s="135"/>
      <c r="R186" s="135"/>
      <c r="S186" s="135"/>
      <c r="T186" s="135"/>
      <c r="U186" s="135"/>
      <c r="V186" s="135"/>
      <c r="W186" s="135"/>
      <c r="X186" s="135"/>
      <c r="Y186" s="135"/>
      <c r="Z186" s="135"/>
      <c r="AA186" s="135"/>
      <c r="AB186" s="135"/>
      <c r="AC186" s="135"/>
      <c r="AD186" s="135"/>
      <c r="AE186" s="135"/>
      <c r="AF186" s="135"/>
      <c r="AG186" s="135"/>
      <c r="AH186" s="135"/>
      <c r="AI186" s="135"/>
      <c r="AJ186" s="135"/>
      <c r="AK186" s="135"/>
      <c r="AL186" s="135"/>
      <c r="AM186" s="135"/>
      <c r="AN186" s="135"/>
      <c r="AO186" s="135"/>
      <c r="AP186" s="135"/>
      <c r="AQ186" s="135"/>
      <c r="AR186" s="135"/>
    </row>
    <row r="187" spans="2:44" s="63" customFormat="1" ht="15.95" hidden="1" customHeight="1" x14ac:dyDescent="0.25">
      <c r="B187" s="135"/>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row>
    <row r="188" spans="2:44" s="63" customFormat="1" ht="15.95" hidden="1" customHeight="1" x14ac:dyDescent="0.25">
      <c r="B188" s="135"/>
      <c r="C188" s="135"/>
      <c r="D188" s="135"/>
      <c r="E188" s="135"/>
      <c r="F188" s="135"/>
      <c r="G188" s="135"/>
      <c r="H188" s="135"/>
      <c r="I188" s="135"/>
      <c r="J188" s="135"/>
      <c r="K188" s="135"/>
      <c r="L188" s="135"/>
      <c r="M188" s="135"/>
      <c r="N188" s="135"/>
      <c r="O188" s="135"/>
      <c r="P188" s="135"/>
      <c r="Q188" s="135"/>
      <c r="R188" s="135"/>
      <c r="S188" s="135"/>
      <c r="T188" s="135"/>
      <c r="U188" s="135"/>
      <c r="V188" s="135"/>
      <c r="W188" s="135"/>
      <c r="X188" s="135"/>
      <c r="Y188" s="135"/>
      <c r="Z188" s="135"/>
      <c r="AA188" s="135"/>
      <c r="AB188" s="135"/>
      <c r="AC188" s="135"/>
      <c r="AD188" s="135"/>
      <c r="AE188" s="135"/>
      <c r="AF188" s="135"/>
      <c r="AG188" s="135"/>
      <c r="AH188" s="135"/>
      <c r="AI188" s="135"/>
      <c r="AJ188" s="135"/>
      <c r="AK188" s="135"/>
      <c r="AL188" s="135"/>
      <c r="AM188" s="135"/>
      <c r="AN188" s="135"/>
      <c r="AO188" s="135"/>
      <c r="AP188" s="135"/>
      <c r="AQ188" s="135"/>
      <c r="AR188" s="135"/>
    </row>
    <row r="189" spans="2:44" s="63" customFormat="1" ht="15.95" hidden="1" customHeight="1" x14ac:dyDescent="0.25">
      <c r="B189" s="135"/>
      <c r="C189" s="135"/>
      <c r="D189" s="135"/>
      <c r="E189" s="135"/>
      <c r="F189" s="135"/>
      <c r="G189" s="135"/>
      <c r="H189" s="135"/>
      <c r="I189" s="135"/>
      <c r="J189" s="135"/>
      <c r="K189" s="135"/>
      <c r="L189" s="135"/>
      <c r="M189" s="135"/>
      <c r="N189" s="135"/>
      <c r="O189" s="135"/>
      <c r="P189" s="135"/>
      <c r="Q189" s="135"/>
      <c r="R189" s="135"/>
      <c r="S189" s="135"/>
      <c r="T189" s="135"/>
      <c r="U189" s="135"/>
      <c r="V189" s="135"/>
      <c r="W189" s="135"/>
      <c r="X189" s="135"/>
      <c r="Y189" s="135"/>
      <c r="Z189" s="135"/>
      <c r="AA189" s="135"/>
      <c r="AB189" s="135"/>
      <c r="AC189" s="135"/>
      <c r="AD189" s="135"/>
      <c r="AE189" s="135"/>
      <c r="AF189" s="135"/>
      <c r="AG189" s="135"/>
      <c r="AH189" s="135"/>
      <c r="AI189" s="135"/>
      <c r="AJ189" s="135"/>
      <c r="AK189" s="135"/>
      <c r="AL189" s="135"/>
      <c r="AM189" s="135"/>
      <c r="AN189" s="135"/>
      <c r="AO189" s="135"/>
      <c r="AP189" s="135"/>
      <c r="AQ189" s="135"/>
      <c r="AR189" s="135"/>
    </row>
    <row r="190" spans="2:44" s="63" customFormat="1" ht="15.95" hidden="1" customHeight="1" x14ac:dyDescent="0.25">
      <c r="B190" s="135"/>
      <c r="C190" s="135"/>
      <c r="D190" s="135"/>
      <c r="E190" s="135"/>
      <c r="F190" s="135"/>
      <c r="G190" s="135"/>
      <c r="H190" s="135"/>
      <c r="I190" s="135"/>
      <c r="J190" s="135"/>
      <c r="K190" s="135"/>
      <c r="L190" s="135"/>
      <c r="M190" s="135"/>
      <c r="N190" s="135"/>
      <c r="O190" s="135"/>
      <c r="P190" s="135"/>
      <c r="Q190" s="135"/>
      <c r="R190" s="135"/>
      <c r="S190" s="135"/>
      <c r="T190" s="135"/>
      <c r="U190" s="135"/>
      <c r="V190" s="135"/>
      <c r="W190" s="135"/>
      <c r="X190" s="135"/>
      <c r="Y190" s="135"/>
      <c r="Z190" s="135"/>
      <c r="AA190" s="135"/>
      <c r="AB190" s="135"/>
      <c r="AC190" s="135"/>
      <c r="AD190" s="135"/>
      <c r="AE190" s="135"/>
      <c r="AF190" s="135"/>
      <c r="AG190" s="135"/>
      <c r="AH190" s="135"/>
      <c r="AI190" s="135"/>
      <c r="AJ190" s="135"/>
      <c r="AK190" s="135"/>
      <c r="AL190" s="135"/>
      <c r="AM190" s="135"/>
      <c r="AN190" s="135"/>
      <c r="AO190" s="135"/>
      <c r="AP190" s="135"/>
      <c r="AQ190" s="135"/>
      <c r="AR190" s="135"/>
    </row>
    <row r="191" spans="2:44" s="63" customFormat="1" ht="15.95" hidden="1" customHeight="1" x14ac:dyDescent="0.25">
      <c r="B191" s="135"/>
      <c r="C191" s="135"/>
      <c r="D191" s="135"/>
      <c r="E191" s="135"/>
      <c r="F191" s="135"/>
      <c r="G191" s="135"/>
      <c r="H191" s="135"/>
      <c r="I191" s="135"/>
      <c r="J191" s="135"/>
      <c r="K191" s="135"/>
      <c r="L191" s="135"/>
      <c r="M191" s="135"/>
      <c r="N191" s="135"/>
      <c r="O191" s="135"/>
      <c r="P191" s="135"/>
      <c r="Q191" s="135"/>
      <c r="R191" s="135"/>
      <c r="S191" s="135"/>
      <c r="T191" s="135"/>
      <c r="U191" s="135"/>
      <c r="V191" s="135"/>
      <c r="W191" s="135"/>
      <c r="X191" s="135"/>
      <c r="Y191" s="135"/>
      <c r="Z191" s="135"/>
      <c r="AA191" s="135"/>
      <c r="AB191" s="135"/>
      <c r="AC191" s="135"/>
      <c r="AD191" s="135"/>
      <c r="AE191" s="135"/>
      <c r="AF191" s="135"/>
      <c r="AG191" s="135"/>
      <c r="AH191" s="135"/>
      <c r="AI191" s="135"/>
      <c r="AJ191" s="135"/>
      <c r="AK191" s="135"/>
      <c r="AL191" s="135"/>
      <c r="AM191" s="135"/>
      <c r="AN191" s="135"/>
      <c r="AO191" s="135"/>
      <c r="AP191" s="135"/>
      <c r="AQ191" s="135"/>
      <c r="AR191" s="135"/>
    </row>
    <row r="192" spans="2:44" s="63" customFormat="1" ht="15.95" hidden="1" customHeight="1" x14ac:dyDescent="0.25">
      <c r="B192" s="135"/>
      <c r="C192" s="135"/>
      <c r="D192" s="135"/>
      <c r="E192" s="135"/>
      <c r="F192" s="135"/>
      <c r="G192" s="135"/>
      <c r="H192" s="135"/>
      <c r="I192" s="135"/>
      <c r="J192" s="135"/>
      <c r="K192" s="135"/>
      <c r="L192" s="135"/>
      <c r="M192" s="135"/>
      <c r="N192" s="135"/>
      <c r="O192" s="135"/>
      <c r="P192" s="135"/>
      <c r="Q192" s="135"/>
      <c r="R192" s="135"/>
      <c r="S192" s="135"/>
      <c r="T192" s="135"/>
      <c r="U192" s="135"/>
      <c r="V192" s="135"/>
      <c r="W192" s="135"/>
      <c r="X192" s="135"/>
      <c r="Y192" s="135"/>
      <c r="Z192" s="135"/>
      <c r="AA192" s="135"/>
      <c r="AB192" s="135"/>
      <c r="AC192" s="135"/>
      <c r="AD192" s="135"/>
      <c r="AE192" s="135"/>
      <c r="AF192" s="135"/>
      <c r="AG192" s="135"/>
      <c r="AH192" s="135"/>
      <c r="AI192" s="135"/>
      <c r="AJ192" s="135"/>
      <c r="AK192" s="135"/>
      <c r="AL192" s="135"/>
      <c r="AM192" s="135"/>
      <c r="AN192" s="135"/>
      <c r="AO192" s="135"/>
      <c r="AP192" s="135"/>
      <c r="AQ192" s="135"/>
      <c r="AR192" s="135"/>
    </row>
    <row r="193" spans="2:44" s="63" customFormat="1" ht="15.95" hidden="1" customHeight="1" x14ac:dyDescent="0.25">
      <c r="B193" s="135"/>
      <c r="C193" s="135"/>
      <c r="D193" s="135"/>
      <c r="E193" s="135"/>
      <c r="F193" s="135"/>
      <c r="G193" s="135"/>
      <c r="H193" s="135"/>
      <c r="I193" s="135"/>
      <c r="J193" s="135"/>
      <c r="K193" s="135"/>
      <c r="L193" s="135"/>
      <c r="M193" s="135"/>
      <c r="N193" s="135"/>
      <c r="O193" s="135"/>
      <c r="P193" s="135"/>
      <c r="Q193" s="135"/>
      <c r="R193" s="135"/>
      <c r="S193" s="135"/>
      <c r="T193" s="135"/>
      <c r="U193" s="135"/>
      <c r="V193" s="135"/>
      <c r="W193" s="135"/>
      <c r="X193" s="135"/>
      <c r="Y193" s="135"/>
      <c r="Z193" s="135"/>
      <c r="AA193" s="135"/>
      <c r="AB193" s="135"/>
      <c r="AC193" s="135"/>
      <c r="AD193" s="135"/>
      <c r="AE193" s="135"/>
      <c r="AF193" s="135"/>
      <c r="AG193" s="135"/>
      <c r="AH193" s="135"/>
      <c r="AI193" s="135"/>
      <c r="AJ193" s="135"/>
      <c r="AK193" s="135"/>
      <c r="AL193" s="135"/>
      <c r="AM193" s="135"/>
      <c r="AN193" s="135"/>
      <c r="AO193" s="135"/>
      <c r="AP193" s="135"/>
      <c r="AQ193" s="135"/>
      <c r="AR193" s="135"/>
    </row>
    <row r="194" spans="2:44" s="63" customFormat="1" ht="15.95" hidden="1" customHeight="1" x14ac:dyDescent="0.25">
      <c r="B194" s="135"/>
      <c r="C194" s="135"/>
      <c r="D194" s="135"/>
      <c r="E194" s="135"/>
      <c r="F194" s="135"/>
      <c r="G194" s="135"/>
      <c r="H194" s="135"/>
      <c r="I194" s="135"/>
      <c r="J194" s="135"/>
      <c r="K194" s="135"/>
      <c r="L194" s="135"/>
      <c r="M194" s="135"/>
      <c r="N194" s="135"/>
      <c r="O194" s="135"/>
      <c r="P194" s="135"/>
      <c r="Q194" s="135"/>
      <c r="R194" s="135"/>
      <c r="S194" s="135"/>
      <c r="T194" s="135"/>
      <c r="U194" s="135"/>
      <c r="V194" s="135"/>
      <c r="W194" s="135"/>
      <c r="X194" s="135"/>
      <c r="Y194" s="135"/>
      <c r="Z194" s="135"/>
      <c r="AA194" s="135"/>
      <c r="AB194" s="135"/>
      <c r="AC194" s="135"/>
      <c r="AD194" s="135"/>
      <c r="AE194" s="135"/>
      <c r="AF194" s="135"/>
      <c r="AG194" s="135"/>
      <c r="AH194" s="135"/>
      <c r="AI194" s="135"/>
      <c r="AJ194" s="135"/>
      <c r="AK194" s="135"/>
      <c r="AL194" s="135"/>
      <c r="AM194" s="135"/>
      <c r="AN194" s="135"/>
      <c r="AO194" s="135"/>
      <c r="AP194" s="135"/>
      <c r="AQ194" s="135"/>
      <c r="AR194" s="135"/>
    </row>
    <row r="195" spans="2:44" s="63" customFormat="1" ht="15.95" hidden="1" customHeight="1" x14ac:dyDescent="0.25">
      <c r="B195" s="135"/>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row>
    <row r="196" spans="2:44" s="63" customFormat="1" ht="15.95" hidden="1" customHeight="1" x14ac:dyDescent="0.25">
      <c r="B196" s="135"/>
      <c r="C196" s="135"/>
      <c r="D196" s="135"/>
      <c r="E196" s="135"/>
      <c r="F196" s="135"/>
      <c r="G196" s="135"/>
      <c r="H196" s="135"/>
      <c r="I196" s="135"/>
      <c r="J196" s="135"/>
      <c r="K196" s="135"/>
      <c r="L196" s="135"/>
      <c r="M196" s="135"/>
      <c r="N196" s="135"/>
      <c r="O196" s="135"/>
      <c r="P196" s="135"/>
      <c r="Q196" s="135"/>
      <c r="R196" s="135"/>
      <c r="S196" s="135"/>
      <c r="T196" s="135"/>
      <c r="U196" s="135"/>
      <c r="V196" s="135"/>
      <c r="W196" s="135"/>
      <c r="X196" s="135"/>
      <c r="Y196" s="135"/>
      <c r="Z196" s="135"/>
      <c r="AA196" s="135"/>
      <c r="AB196" s="135"/>
      <c r="AC196" s="135"/>
      <c r="AD196" s="135"/>
      <c r="AE196" s="135"/>
      <c r="AF196" s="135"/>
      <c r="AG196" s="135"/>
      <c r="AH196" s="135"/>
      <c r="AI196" s="135"/>
      <c r="AJ196" s="135"/>
      <c r="AK196" s="135"/>
      <c r="AL196" s="135"/>
      <c r="AM196" s="135"/>
      <c r="AN196" s="135"/>
      <c r="AO196" s="135"/>
      <c r="AP196" s="135"/>
      <c r="AQ196" s="135"/>
      <c r="AR196" s="135"/>
    </row>
    <row r="197" spans="2:44" ht="15.95" hidden="1" customHeight="1" x14ac:dyDescent="0.25">
      <c r="B197" s="135"/>
      <c r="C197" s="135"/>
      <c r="D197" s="135"/>
      <c r="E197" s="135"/>
      <c r="F197" s="135"/>
      <c r="G197" s="135"/>
      <c r="H197" s="135"/>
      <c r="I197" s="135"/>
      <c r="J197" s="135"/>
      <c r="K197" s="135"/>
      <c r="L197" s="135"/>
      <c r="M197" s="135"/>
      <c r="N197" s="135"/>
      <c r="O197" s="135"/>
      <c r="P197" s="135"/>
      <c r="Q197" s="135"/>
      <c r="R197" s="135"/>
      <c r="S197" s="135"/>
      <c r="T197" s="135"/>
      <c r="U197" s="135"/>
      <c r="V197" s="135"/>
      <c r="W197" s="135"/>
      <c r="X197" s="135"/>
      <c r="Y197" s="135"/>
      <c r="Z197" s="135"/>
      <c r="AA197" s="135"/>
      <c r="AB197" s="135"/>
      <c r="AC197" s="135"/>
      <c r="AD197" s="135"/>
      <c r="AE197" s="135"/>
      <c r="AF197" s="135"/>
      <c r="AG197" s="135"/>
      <c r="AH197" s="135"/>
      <c r="AI197" s="135"/>
      <c r="AJ197" s="135"/>
      <c r="AK197" s="135"/>
      <c r="AL197" s="135"/>
      <c r="AM197" s="135"/>
      <c r="AN197" s="135"/>
      <c r="AO197" s="135"/>
      <c r="AP197" s="135"/>
      <c r="AQ197" s="135"/>
      <c r="AR197" s="135"/>
    </row>
    <row r="198" spans="2:44" s="63" customFormat="1" ht="15.95" hidden="1" customHeight="1" x14ac:dyDescent="0.25">
      <c r="B198" s="135"/>
      <c r="C198" s="135"/>
      <c r="D198" s="135"/>
      <c r="E198" s="135"/>
      <c r="F198" s="135"/>
      <c r="G198" s="135"/>
      <c r="H198" s="135"/>
      <c r="I198" s="135"/>
      <c r="J198" s="135"/>
      <c r="K198" s="135"/>
      <c r="L198" s="135"/>
      <c r="M198" s="135"/>
      <c r="N198" s="135"/>
      <c r="O198" s="135"/>
      <c r="P198" s="135"/>
      <c r="Q198" s="135"/>
      <c r="R198" s="135"/>
      <c r="S198" s="135"/>
      <c r="T198" s="135"/>
      <c r="U198" s="135"/>
      <c r="V198" s="135"/>
      <c r="W198" s="135"/>
      <c r="X198" s="135"/>
      <c r="Y198" s="135"/>
      <c r="Z198" s="135"/>
      <c r="AA198" s="135"/>
      <c r="AB198" s="135"/>
      <c r="AC198" s="135"/>
      <c r="AD198" s="135"/>
      <c r="AE198" s="135"/>
      <c r="AF198" s="135"/>
      <c r="AG198" s="135"/>
      <c r="AH198" s="135"/>
      <c r="AI198" s="135"/>
      <c r="AJ198" s="135"/>
      <c r="AK198" s="135"/>
      <c r="AL198" s="135"/>
      <c r="AM198" s="135"/>
      <c r="AN198" s="135"/>
      <c r="AO198" s="135"/>
      <c r="AP198" s="135"/>
      <c r="AQ198" s="135"/>
      <c r="AR198" s="135"/>
    </row>
    <row r="199" spans="2:44" ht="15.95" hidden="1" customHeight="1" x14ac:dyDescent="0.25">
      <c r="B199" s="135"/>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row>
    <row r="200" spans="2:44" ht="15.95" customHeight="1" x14ac:dyDescent="0.25">
      <c r="B200" s="136" t="str">
        <f>FOOT1</f>
        <v>Ameren Missouri BizSavers program</v>
      </c>
      <c r="C200" s="136"/>
      <c r="D200" s="136"/>
      <c r="E200" s="136"/>
      <c r="F200" s="136"/>
      <c r="G200" s="136"/>
      <c r="H200" s="136"/>
      <c r="I200" s="136"/>
      <c r="J200" s="136"/>
      <c r="K200" s="136"/>
      <c r="L200" s="136"/>
      <c r="M200" s="729" t="str">
        <f>FOOTDISCLAIM</f>
        <v/>
      </c>
      <c r="N200" s="729"/>
      <c r="O200" s="729"/>
      <c r="P200" s="729"/>
      <c r="Q200" s="729"/>
      <c r="R200" s="729"/>
      <c r="S200" s="729"/>
      <c r="T200" s="729"/>
      <c r="U200" s="729"/>
      <c r="V200" s="729"/>
      <c r="W200" s="729"/>
      <c r="X200" s="729"/>
      <c r="Y200" s="729"/>
      <c r="Z200" s="729"/>
      <c r="AA200" s="729"/>
      <c r="AB200" s="729"/>
      <c r="AC200" s="729"/>
      <c r="AD200" s="729"/>
      <c r="AE200" s="729"/>
      <c r="AF200" s="729"/>
      <c r="AG200" s="729"/>
      <c r="AH200" s="136"/>
      <c r="AI200" s="136"/>
      <c r="AJ200" s="136"/>
      <c r="AK200" s="136"/>
      <c r="AL200" s="136"/>
      <c r="AM200" s="136"/>
      <c r="AN200" s="136"/>
      <c r="AO200" s="136"/>
      <c r="AP200" s="136"/>
      <c r="AQ200" s="136"/>
      <c r="AR200" s="300" t="str">
        <f>FOOT4</f>
        <v/>
      </c>
    </row>
    <row r="201" spans="2:44" ht="15.95" customHeight="1" x14ac:dyDescent="0.25">
      <c r="B201" s="136" t="str">
        <f>FOOT2</f>
        <v>Toll-Free 866-941-7299</v>
      </c>
      <c r="C201" s="136"/>
      <c r="D201" s="136"/>
      <c r="E201" s="136"/>
      <c r="F201" s="136"/>
      <c r="G201" s="136"/>
      <c r="H201" s="136"/>
      <c r="I201" s="136"/>
      <c r="J201" s="136"/>
      <c r="K201" s="136"/>
      <c r="L201" s="136"/>
      <c r="M201" s="729"/>
      <c r="N201" s="729"/>
      <c r="O201" s="729"/>
      <c r="P201" s="729"/>
      <c r="Q201" s="729"/>
      <c r="R201" s="729"/>
      <c r="S201" s="729"/>
      <c r="T201" s="729"/>
      <c r="U201" s="729"/>
      <c r="V201" s="729"/>
      <c r="W201" s="729"/>
      <c r="X201" s="729"/>
      <c r="Y201" s="729"/>
      <c r="Z201" s="729"/>
      <c r="AA201" s="729"/>
      <c r="AB201" s="729"/>
      <c r="AC201" s="729"/>
      <c r="AD201" s="729"/>
      <c r="AE201" s="729"/>
      <c r="AF201" s="729"/>
      <c r="AG201" s="729"/>
      <c r="AH201" s="136"/>
      <c r="AI201" s="136"/>
      <c r="AJ201" s="136"/>
      <c r="AK201" s="136"/>
      <c r="AL201" s="136"/>
      <c r="AM201" s="136"/>
      <c r="AN201" s="136"/>
      <c r="AO201" s="136"/>
      <c r="AP201" s="136"/>
      <c r="AQ201" s="136"/>
      <c r="AR201" s="300" t="str">
        <f>FOOT5</f>
        <v/>
      </c>
    </row>
    <row r="202" spans="2:44" ht="15.95" customHeight="1" x14ac:dyDescent="0.25">
      <c r="B202" s="138" t="str">
        <f>FOOT3</f>
        <v>BizSavers@ameren.com</v>
      </c>
      <c r="C202" s="136"/>
      <c r="D202" s="136"/>
      <c r="E202" s="136"/>
      <c r="F202" s="136"/>
      <c r="G202" s="136"/>
      <c r="H202" s="136"/>
      <c r="I202" s="136"/>
      <c r="J202" s="136"/>
      <c r="K202" s="136"/>
      <c r="L202" s="136"/>
      <c r="M202" s="139"/>
      <c r="N202" s="136"/>
      <c r="O202" s="136"/>
      <c r="P202" s="139"/>
      <c r="Q202" s="139"/>
      <c r="R202" s="139"/>
      <c r="S202" s="139"/>
      <c r="T202" s="139"/>
      <c r="U202" s="139"/>
      <c r="V202" s="139"/>
      <c r="W202" s="140" t="str">
        <f>VERSION</f>
        <v>New Construction v3.8.0</v>
      </c>
      <c r="X202" s="139"/>
      <c r="Y202" s="139"/>
      <c r="Z202" s="139"/>
      <c r="AA202" s="139"/>
      <c r="AB202" s="139"/>
      <c r="AC202" s="139"/>
      <c r="AD202" s="139"/>
      <c r="AE202" s="136"/>
      <c r="AF202" s="136"/>
      <c r="AG202" s="136"/>
      <c r="AH202" s="136"/>
      <c r="AI202" s="136"/>
      <c r="AJ202" s="136"/>
      <c r="AK202" s="136"/>
      <c r="AL202" s="136"/>
      <c r="AM202" s="136"/>
      <c r="AN202" s="136"/>
      <c r="AO202" s="136"/>
      <c r="AP202" s="136"/>
      <c r="AQ202" s="136"/>
      <c r="AR202" s="300" t="str">
        <f>FOOT6</f>
        <v>Product of TRC Companies</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sheetData>
  <sheetProtection algorithmName="SHA-512" hashValue="SZCbZKoCxD5W06FXinmElN/Pdx8B/MGVd3u56l4yAcfR/Sr+52IphiyQ6e5eFUs3vrAW3RZzHxd96K20zCMJew==" saltValue="IUa/6Yp8VxAqlexKw8HrMg==" spinCount="100000" sheet="1" objects="1" scenarios="1" selectLockedCells="1"/>
  <mergeCells count="88">
    <mergeCell ref="AB28:AP31"/>
    <mergeCell ref="AQ1:AR1"/>
    <mergeCell ref="AQ2:AR3"/>
    <mergeCell ref="AH1:AK1"/>
    <mergeCell ref="AL1:AP1"/>
    <mergeCell ref="AH2:AK3"/>
    <mergeCell ref="AL2:AP3"/>
    <mergeCell ref="AA22:AP22"/>
    <mergeCell ref="AB23:AP25"/>
    <mergeCell ref="M200:AG201"/>
    <mergeCell ref="F10:AN10"/>
    <mergeCell ref="F11:AN11"/>
    <mergeCell ref="C14:G18"/>
    <mergeCell ref="J14:X16"/>
    <mergeCell ref="AA14:AE18"/>
    <mergeCell ref="AH15:AP15"/>
    <mergeCell ref="AH16:AP16"/>
    <mergeCell ref="J17:L17"/>
    <mergeCell ref="M17:O17"/>
    <mergeCell ref="P17:U17"/>
    <mergeCell ref="V17:W17"/>
    <mergeCell ref="J18:L18"/>
    <mergeCell ref="M18:O18"/>
    <mergeCell ref="P18:U18"/>
    <mergeCell ref="V18:W18"/>
    <mergeCell ref="V19:W19"/>
    <mergeCell ref="AA19:AC19"/>
    <mergeCell ref="AD19:AE19"/>
    <mergeCell ref="C20:E20"/>
    <mergeCell ref="F20:G20"/>
    <mergeCell ref="J20:L20"/>
    <mergeCell ref="M20:O20"/>
    <mergeCell ref="P20:U20"/>
    <mergeCell ref="V20:W20"/>
    <mergeCell ref="C19:E19"/>
    <mergeCell ref="F19:G19"/>
    <mergeCell ref="J19:L19"/>
    <mergeCell ref="M19:O19"/>
    <mergeCell ref="P19:U19"/>
    <mergeCell ref="M23:O23"/>
    <mergeCell ref="P23:U23"/>
    <mergeCell ref="V21:W21"/>
    <mergeCell ref="C22:E22"/>
    <mergeCell ref="F22:G22"/>
    <mergeCell ref="J22:L22"/>
    <mergeCell ref="M22:O22"/>
    <mergeCell ref="P22:U22"/>
    <mergeCell ref="V22:W22"/>
    <mergeCell ref="C21:E21"/>
    <mergeCell ref="F21:G21"/>
    <mergeCell ref="J21:L21"/>
    <mergeCell ref="M21:O21"/>
    <mergeCell ref="P21:U21"/>
    <mergeCell ref="V23:W23"/>
    <mergeCell ref="C23:E23"/>
    <mergeCell ref="V24:W24"/>
    <mergeCell ref="C25:E25"/>
    <mergeCell ref="F25:G25"/>
    <mergeCell ref="J25:L25"/>
    <mergeCell ref="M25:O25"/>
    <mergeCell ref="P25:U25"/>
    <mergeCell ref="V25:W25"/>
    <mergeCell ref="C24:E24"/>
    <mergeCell ref="F24:G24"/>
    <mergeCell ref="J24:L24"/>
    <mergeCell ref="M24:O24"/>
    <mergeCell ref="P24:U24"/>
    <mergeCell ref="F23:G23"/>
    <mergeCell ref="C26:E26"/>
    <mergeCell ref="F26:G26"/>
    <mergeCell ref="J26:L26"/>
    <mergeCell ref="J23:L23"/>
    <mergeCell ref="M26:O26"/>
    <mergeCell ref="P26:U26"/>
    <mergeCell ref="V26:W26"/>
    <mergeCell ref="AB26:AP26"/>
    <mergeCell ref="J27:L27"/>
    <mergeCell ref="M27:O27"/>
    <mergeCell ref="P27:U27"/>
    <mergeCell ref="V27:W27"/>
    <mergeCell ref="J28:L28"/>
    <mergeCell ref="M28:O28"/>
    <mergeCell ref="P28:U28"/>
    <mergeCell ref="V28:W28"/>
    <mergeCell ref="J30:W30"/>
    <mergeCell ref="J29:L29"/>
    <mergeCell ref="M29:O29"/>
    <mergeCell ref="P29:U29"/>
  </mergeCells>
  <conditionalFormatting sqref="AQ2:AR3">
    <cfRule type="cellIs" dxfId="329" priority="3" operator="equal">
      <formula>1</formula>
    </cfRule>
    <cfRule type="cellIs" dxfId="328" priority="4" operator="between">
      <formula>0.51</formula>
      <formula>0.99</formula>
    </cfRule>
    <cfRule type="cellIs" dxfId="327" priority="5" operator="lessThanOrEqual">
      <formula>0.5</formula>
    </cfRule>
  </conditionalFormatting>
  <conditionalFormatting sqref="AH2 AL2">
    <cfRule type="expression" dxfId="326" priority="1">
      <formula>OR(PROJSTATUS=PROJSTATELI,PROJSTATUS=PROJSTATEXP,PROJSTATUS=PROJSTATUNDER)</formula>
    </cfRule>
    <cfRule type="expression" dxfId="325" priority="2">
      <formula>PROJSTATUS=PROJSTATFILLINITIAL</formula>
    </cfRule>
    <cfRule type="expression" dxfId="324" priority="6">
      <formula>PROJSTATUS=PROJSTATPREAPPROVE</formula>
    </cfRule>
    <cfRule type="expression" dxfId="323" priority="7">
      <formula>OR(PROJSTATUS=PROJSTATSSUBMITINITIAL,PROJSTATUS=PROJSTATREVIEW)</formula>
    </cfRule>
  </conditionalFormatting>
  <dataValidations count="2">
    <dataValidation type="whole" allowBlank="1" showInputMessage="1" showErrorMessage="1" errorTitle="DAILY OPERATING HOURS" error="MUST SELECT A WHOLE NUMBER BETWEEN 1 AND 24" promptTitle="DAILY OPERATING HOURS" prompt="Enter between 1 and 24 hours for daily operations." sqref="F19:G25" xr:uid="{00000000-0002-0000-0D00-000000000000}">
      <formula1>0</formula1>
      <formula2>24</formula2>
    </dataValidation>
    <dataValidation type="decimal" operator="lessThan" allowBlank="1" showInputMessage="1" showErrorMessage="1" sqref="AD19:AE19" xr:uid="{00000000-0002-0000-0D00-000001000000}">
      <formula1>53</formula1>
    </dataValidation>
  </dataValidations>
  <hyperlinks>
    <hyperlink ref="B202" r:id="rId1" display="NIPSCO.Savings@LMCO.com" xr:uid="{00000000-0004-0000-0D00-000000000000}"/>
  </hyperlinks>
  <pageMargins left="0.25" right="0.25" top="0.25" bottom="0.25" header="0.25" footer="0.25"/>
  <pageSetup scale="62"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41313" r:id="rId5" name="Check Box 1">
              <controlPr defaultSize="0" autoFill="0" autoLine="0" autoPict="0">
                <anchor moveWithCells="1">
                  <from>
                    <xdr:col>21</xdr:col>
                    <xdr:colOff>152400</xdr:colOff>
                    <xdr:row>17</xdr:row>
                    <xdr:rowOff>0</xdr:rowOff>
                  </from>
                  <to>
                    <xdr:col>22</xdr:col>
                    <xdr:colOff>57150</xdr:colOff>
                    <xdr:row>18</xdr:row>
                    <xdr:rowOff>9525</xdr:rowOff>
                  </to>
                </anchor>
              </controlPr>
            </control>
          </mc:Choice>
        </mc:AlternateContent>
        <mc:AlternateContent xmlns:mc="http://schemas.openxmlformats.org/markup-compatibility/2006">
          <mc:Choice Requires="x14">
            <control shapeId="141314" r:id="rId6" name="Check Box 2">
              <controlPr defaultSize="0" autoFill="0" autoLine="0" autoPict="0">
                <anchor moveWithCells="1">
                  <from>
                    <xdr:col>21</xdr:col>
                    <xdr:colOff>152400</xdr:colOff>
                    <xdr:row>18</xdr:row>
                    <xdr:rowOff>0</xdr:rowOff>
                  </from>
                  <to>
                    <xdr:col>22</xdr:col>
                    <xdr:colOff>57150</xdr:colOff>
                    <xdr:row>19</xdr:row>
                    <xdr:rowOff>9525</xdr:rowOff>
                  </to>
                </anchor>
              </controlPr>
            </control>
          </mc:Choice>
        </mc:AlternateContent>
        <mc:AlternateContent xmlns:mc="http://schemas.openxmlformats.org/markup-compatibility/2006">
          <mc:Choice Requires="x14">
            <control shapeId="141315" r:id="rId7" name="Check Box 3">
              <controlPr defaultSize="0" autoFill="0" autoLine="0" autoPict="0">
                <anchor moveWithCells="1">
                  <from>
                    <xdr:col>21</xdr:col>
                    <xdr:colOff>152400</xdr:colOff>
                    <xdr:row>19</xdr:row>
                    <xdr:rowOff>0</xdr:rowOff>
                  </from>
                  <to>
                    <xdr:col>22</xdr:col>
                    <xdr:colOff>57150</xdr:colOff>
                    <xdr:row>20</xdr:row>
                    <xdr:rowOff>9525</xdr:rowOff>
                  </to>
                </anchor>
              </controlPr>
            </control>
          </mc:Choice>
        </mc:AlternateContent>
        <mc:AlternateContent xmlns:mc="http://schemas.openxmlformats.org/markup-compatibility/2006">
          <mc:Choice Requires="x14">
            <control shapeId="141316" r:id="rId8" name="Check Box 4">
              <controlPr defaultSize="0" autoFill="0" autoLine="0" autoPict="0">
                <anchor moveWithCells="1">
                  <from>
                    <xdr:col>21</xdr:col>
                    <xdr:colOff>152400</xdr:colOff>
                    <xdr:row>20</xdr:row>
                    <xdr:rowOff>0</xdr:rowOff>
                  </from>
                  <to>
                    <xdr:col>22</xdr:col>
                    <xdr:colOff>57150</xdr:colOff>
                    <xdr:row>21</xdr:row>
                    <xdr:rowOff>9525</xdr:rowOff>
                  </to>
                </anchor>
              </controlPr>
            </control>
          </mc:Choice>
        </mc:AlternateContent>
        <mc:AlternateContent xmlns:mc="http://schemas.openxmlformats.org/markup-compatibility/2006">
          <mc:Choice Requires="x14">
            <control shapeId="141317" r:id="rId9" name="Check Box 5">
              <controlPr defaultSize="0" autoFill="0" autoLine="0" autoPict="0">
                <anchor moveWithCells="1">
                  <from>
                    <xdr:col>21</xdr:col>
                    <xdr:colOff>152400</xdr:colOff>
                    <xdr:row>21</xdr:row>
                    <xdr:rowOff>0</xdr:rowOff>
                  </from>
                  <to>
                    <xdr:col>22</xdr:col>
                    <xdr:colOff>57150</xdr:colOff>
                    <xdr:row>22</xdr:row>
                    <xdr:rowOff>9525</xdr:rowOff>
                  </to>
                </anchor>
              </controlPr>
            </control>
          </mc:Choice>
        </mc:AlternateContent>
        <mc:AlternateContent xmlns:mc="http://schemas.openxmlformats.org/markup-compatibility/2006">
          <mc:Choice Requires="x14">
            <control shapeId="141318" r:id="rId10" name="Check Box 6">
              <controlPr defaultSize="0" autoFill="0" autoLine="0" autoPict="0">
                <anchor moveWithCells="1">
                  <from>
                    <xdr:col>21</xdr:col>
                    <xdr:colOff>152400</xdr:colOff>
                    <xdr:row>22</xdr:row>
                    <xdr:rowOff>0</xdr:rowOff>
                  </from>
                  <to>
                    <xdr:col>22</xdr:col>
                    <xdr:colOff>57150</xdr:colOff>
                    <xdr:row>23</xdr:row>
                    <xdr:rowOff>9525</xdr:rowOff>
                  </to>
                </anchor>
              </controlPr>
            </control>
          </mc:Choice>
        </mc:AlternateContent>
        <mc:AlternateContent xmlns:mc="http://schemas.openxmlformats.org/markup-compatibility/2006">
          <mc:Choice Requires="x14">
            <control shapeId="141319" r:id="rId11" name="Check Box 7">
              <controlPr defaultSize="0" autoFill="0" autoLine="0" autoPict="0">
                <anchor moveWithCells="1">
                  <from>
                    <xdr:col>21</xdr:col>
                    <xdr:colOff>152400</xdr:colOff>
                    <xdr:row>23</xdr:row>
                    <xdr:rowOff>0</xdr:rowOff>
                  </from>
                  <to>
                    <xdr:col>22</xdr:col>
                    <xdr:colOff>57150</xdr:colOff>
                    <xdr:row>24</xdr:row>
                    <xdr:rowOff>9525</xdr:rowOff>
                  </to>
                </anchor>
              </controlPr>
            </control>
          </mc:Choice>
        </mc:AlternateContent>
        <mc:AlternateContent xmlns:mc="http://schemas.openxmlformats.org/markup-compatibility/2006">
          <mc:Choice Requires="x14">
            <control shapeId="141320" r:id="rId12" name="Check Box 8">
              <controlPr defaultSize="0" autoFill="0" autoLine="0" autoPict="0">
                <anchor moveWithCells="1">
                  <from>
                    <xdr:col>21</xdr:col>
                    <xdr:colOff>152400</xdr:colOff>
                    <xdr:row>24</xdr:row>
                    <xdr:rowOff>0</xdr:rowOff>
                  </from>
                  <to>
                    <xdr:col>22</xdr:col>
                    <xdr:colOff>57150</xdr:colOff>
                    <xdr:row>25</xdr:row>
                    <xdr:rowOff>9525</xdr:rowOff>
                  </to>
                </anchor>
              </controlPr>
            </control>
          </mc:Choice>
        </mc:AlternateContent>
        <mc:AlternateContent xmlns:mc="http://schemas.openxmlformats.org/markup-compatibility/2006">
          <mc:Choice Requires="x14">
            <control shapeId="141321" r:id="rId13" name="Check Box 9">
              <controlPr defaultSize="0" autoFill="0" autoLine="0" autoPict="0">
                <anchor moveWithCells="1">
                  <from>
                    <xdr:col>21</xdr:col>
                    <xdr:colOff>152400</xdr:colOff>
                    <xdr:row>25</xdr:row>
                    <xdr:rowOff>0</xdr:rowOff>
                  </from>
                  <to>
                    <xdr:col>22</xdr:col>
                    <xdr:colOff>57150</xdr:colOff>
                    <xdr:row>26</xdr:row>
                    <xdr:rowOff>9525</xdr:rowOff>
                  </to>
                </anchor>
              </controlPr>
            </control>
          </mc:Choice>
        </mc:AlternateContent>
        <mc:AlternateContent xmlns:mc="http://schemas.openxmlformats.org/markup-compatibility/2006">
          <mc:Choice Requires="x14">
            <control shapeId="141322" r:id="rId14" name="Check Box 10">
              <controlPr defaultSize="0" autoFill="0" autoLine="0" autoPict="0">
                <anchor moveWithCells="1">
                  <from>
                    <xdr:col>21</xdr:col>
                    <xdr:colOff>152400</xdr:colOff>
                    <xdr:row>26</xdr:row>
                    <xdr:rowOff>0</xdr:rowOff>
                  </from>
                  <to>
                    <xdr:col>22</xdr:col>
                    <xdr:colOff>57150</xdr:colOff>
                    <xdr:row>27</xdr:row>
                    <xdr:rowOff>9525</xdr:rowOff>
                  </to>
                </anchor>
              </controlPr>
            </control>
          </mc:Choice>
        </mc:AlternateContent>
        <mc:AlternateContent xmlns:mc="http://schemas.openxmlformats.org/markup-compatibility/2006">
          <mc:Choice Requires="x14">
            <control shapeId="141323" r:id="rId15" name="Check Box 11">
              <controlPr defaultSize="0" autoFill="0" autoLine="0" autoPict="0">
                <anchor moveWithCells="1">
                  <from>
                    <xdr:col>21</xdr:col>
                    <xdr:colOff>152400</xdr:colOff>
                    <xdr:row>26</xdr:row>
                    <xdr:rowOff>200025</xdr:rowOff>
                  </from>
                  <to>
                    <xdr:col>22</xdr:col>
                    <xdr:colOff>57150</xdr:colOff>
                    <xdr:row>28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pageSetUpPr fitToPage="1"/>
  </sheetPr>
  <dimension ref="A1:AS404"/>
  <sheetViews>
    <sheetView showGridLines="0" zoomScale="85" zoomScaleNormal="85" workbookViewId="0"/>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AH1" s="711" t="s">
        <v>494</v>
      </c>
      <c r="AI1" s="712"/>
      <c r="AJ1" s="712"/>
      <c r="AK1" s="712"/>
      <c r="AL1" s="723" t="s">
        <v>911</v>
      </c>
      <c r="AM1" s="723"/>
      <c r="AN1" s="723"/>
      <c r="AO1" s="723"/>
      <c r="AP1" s="723"/>
      <c r="AQ1" s="717" t="s">
        <v>499</v>
      </c>
      <c r="AR1" s="718"/>
    </row>
    <row r="2" spans="3:44" ht="15.95" customHeight="1" x14ac:dyDescent="0.25">
      <c r="AH2" s="713" t="str">
        <f ca="1">INCENSTATUS</f>
        <v>---</v>
      </c>
      <c r="AI2" s="714"/>
      <c r="AJ2" s="714"/>
      <c r="AK2" s="714"/>
      <c r="AL2" s="724" t="str">
        <f ca="1">PROJSTATUS</f>
        <v>Please Complete Initial Application</v>
      </c>
      <c r="AM2" s="724"/>
      <c r="AN2" s="724"/>
      <c r="AO2" s="724"/>
      <c r="AP2" s="724"/>
      <c r="AQ2" s="719">
        <f ca="1">PROGRESSSTATUS</f>
        <v>0</v>
      </c>
      <c r="AR2" s="720"/>
    </row>
    <row r="3" spans="3:44" ht="15.95" customHeight="1" x14ac:dyDescent="0.25">
      <c r="AH3" s="715"/>
      <c r="AI3" s="716"/>
      <c r="AJ3" s="716"/>
      <c r="AK3" s="716"/>
      <c r="AL3" s="725"/>
      <c r="AM3" s="725"/>
      <c r="AN3" s="725"/>
      <c r="AO3" s="725"/>
      <c r="AP3" s="725"/>
      <c r="AQ3" s="721"/>
      <c r="AR3" s="722"/>
    </row>
    <row r="4" spans="3:44" ht="15.95" customHeight="1" x14ac:dyDescent="0.25"/>
    <row r="5" spans="3:44" ht="15.95" customHeight="1" x14ac:dyDescent="0.25"/>
    <row r="6" spans="3:44" ht="15.95" customHeight="1" x14ac:dyDescent="0.25"/>
    <row r="7" spans="3:44" ht="15.95" customHeight="1" x14ac:dyDescent="0.25"/>
    <row r="8" spans="3:44" ht="15.95" customHeight="1" x14ac:dyDescent="0.25"/>
    <row r="9" spans="3:44" ht="15.95" customHeight="1" x14ac:dyDescent="0.25"/>
    <row r="10" spans="3:44" ht="15.95" customHeight="1" x14ac:dyDescent="0.25"/>
    <row r="11" spans="3:44" ht="15.95" customHeight="1" x14ac:dyDescent="0.25"/>
    <row r="12" spans="3:44" ht="15.95" customHeight="1" x14ac:dyDescent="0.25"/>
    <row r="13" spans="3:44" s="63" customFormat="1" ht="15.95" customHeight="1" x14ac:dyDescent="0.25">
      <c r="C13" s="534"/>
      <c r="D13" s="299"/>
      <c r="E13" s="299"/>
      <c r="F13" s="299"/>
      <c r="G13" s="299"/>
      <c r="H13" s="299"/>
      <c r="I13" s="299"/>
      <c r="J13" s="299"/>
      <c r="K13" s="299"/>
      <c r="L13" s="299"/>
      <c r="M13" s="299"/>
      <c r="N13" s="299"/>
      <c r="O13" s="299"/>
      <c r="P13" s="534"/>
      <c r="Q13" s="299"/>
      <c r="R13" s="299"/>
      <c r="S13" s="299"/>
      <c r="T13" s="299"/>
      <c r="U13" s="299"/>
      <c r="V13" s="299"/>
      <c r="W13" s="299"/>
      <c r="X13" s="299"/>
      <c r="Y13" s="299"/>
      <c r="Z13" s="299"/>
      <c r="AA13" s="299"/>
      <c r="AB13" s="299"/>
      <c r="AC13" s="299"/>
      <c r="AD13" s="299"/>
      <c r="AE13" s="299"/>
      <c r="AF13" s="299"/>
      <c r="AG13" s="299"/>
      <c r="AH13" s="534"/>
      <c r="AI13" s="299"/>
      <c r="AJ13" s="299"/>
      <c r="AK13" s="299"/>
      <c r="AL13" s="299"/>
      <c r="AM13" s="534"/>
      <c r="AN13" s="299"/>
      <c r="AO13" s="299"/>
      <c r="AP13" s="299"/>
      <c r="AQ13" s="299"/>
    </row>
    <row r="14" spans="3:44" s="63" customFormat="1" ht="15.95" customHeight="1" x14ac:dyDescent="0.25">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row>
    <row r="15" spans="3:44" s="63" customFormat="1" ht="15.95" customHeight="1" x14ac:dyDescent="0.2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row>
    <row r="16" spans="3:44" s="63" customFormat="1" ht="15.95" customHeight="1" x14ac:dyDescent="0.25">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row>
    <row r="17" spans="3:43" s="63" customFormat="1" ht="15.95" customHeight="1" x14ac:dyDescent="0.25">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row>
    <row r="18" spans="3:43" s="63" customFormat="1" ht="15.95" customHeight="1" x14ac:dyDescent="0.25">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row>
    <row r="19" spans="3:43" s="63" customFormat="1" ht="15.95" customHeight="1" x14ac:dyDescent="0.25">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row>
    <row r="20" spans="3:43" s="63" customFormat="1" ht="15.95" customHeight="1" x14ac:dyDescent="0.25">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row>
    <row r="21" spans="3:43" s="63" customFormat="1" ht="15.95" customHeight="1" x14ac:dyDescent="0.25">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row>
    <row r="22" spans="3:43" s="63" customFormat="1" ht="15.95" customHeight="1" x14ac:dyDescent="0.25">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row>
    <row r="23" spans="3:43" s="63" customFormat="1" ht="15.95" customHeight="1" x14ac:dyDescent="0.25">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row>
    <row r="24" spans="3:43" s="63" customFormat="1" ht="15.95" customHeight="1" x14ac:dyDescent="0.25">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row>
    <row r="25" spans="3:43" s="63" customFormat="1" ht="15.95" customHeight="1" x14ac:dyDescent="0.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row>
    <row r="26" spans="3:43" s="63" customFormat="1" ht="15.95" customHeight="1" x14ac:dyDescent="0.25">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row>
    <row r="27" spans="3:43" s="63" customFormat="1" ht="15.95" customHeight="1" x14ac:dyDescent="0.25">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row>
    <row r="28" spans="3:43" s="63" customFormat="1" ht="15.95" customHeight="1" x14ac:dyDescent="0.25">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row>
    <row r="29" spans="3:43" s="63" customFormat="1" ht="15.95" customHeight="1" x14ac:dyDescent="0.25">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row>
    <row r="30" spans="3:43" s="63" customFormat="1" ht="15.95" customHeight="1" x14ac:dyDescent="0.25">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row>
    <row r="31" spans="3:43" s="63" customFormat="1" ht="15.95" customHeight="1" x14ac:dyDescent="0.25">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row>
    <row r="32" spans="3:43" s="63" customFormat="1" ht="15.95" customHeight="1" x14ac:dyDescent="0.25">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row>
    <row r="33" spans="3:43" s="63" customFormat="1" ht="15.95" customHeight="1" x14ac:dyDescent="0.25">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row>
    <row r="34" spans="3:43" s="63" customFormat="1" ht="15.95" customHeight="1" x14ac:dyDescent="0.25">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row>
    <row r="35" spans="3:43" s="63" customFormat="1" ht="15.95" customHeight="1" x14ac:dyDescent="0.2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row>
    <row r="36" spans="3:43" s="63" customFormat="1" ht="15.95" customHeight="1" x14ac:dyDescent="0.25">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row>
    <row r="37" spans="3:43" s="63" customFormat="1" ht="15.95" customHeight="1" x14ac:dyDescent="0.25">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row>
    <row r="38" spans="3:43" s="63" customFormat="1" ht="15.95" customHeight="1" x14ac:dyDescent="0.25">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row>
    <row r="39" spans="3:43" s="63" customFormat="1" ht="15.95" customHeight="1" x14ac:dyDescent="0.25">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row>
    <row r="40" spans="3:43" s="63" customFormat="1" ht="15.95" customHeight="1" x14ac:dyDescent="0.25">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row>
    <row r="41" spans="3:43" s="63" customFormat="1" ht="15.95" customHeight="1" x14ac:dyDescent="0.25">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row>
    <row r="42" spans="3:43" s="63" customFormat="1" ht="15.95" customHeight="1" x14ac:dyDescent="0.25">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row>
    <row r="43" spans="3:43" s="63" customFormat="1" ht="15.95" customHeight="1" x14ac:dyDescent="0.25">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row>
    <row r="44" spans="3:43" s="63" customFormat="1" ht="15.95" customHeight="1" x14ac:dyDescent="0.25">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row>
    <row r="45" spans="3:43" s="63" customFormat="1" ht="15.95" customHeight="1" x14ac:dyDescent="0.2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row>
    <row r="46" spans="3:43" s="63" customFormat="1" ht="15.95" customHeight="1" x14ac:dyDescent="0.25">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row>
    <row r="47" spans="3:43" s="63" customFormat="1" ht="15.95" customHeight="1" x14ac:dyDescent="0.25">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row>
    <row r="48" spans="3:43" s="63" customFormat="1" ht="15.95" customHeight="1" x14ac:dyDescent="0.25">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row>
    <row r="49" spans="3:43" s="63" customFormat="1" ht="15.95" customHeight="1" x14ac:dyDescent="0.25">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row>
    <row r="50" spans="3:43" s="63" customFormat="1" ht="15.95" customHeight="1" x14ac:dyDescent="0.25">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row>
    <row r="51" spans="3:43" s="63" customFormat="1" ht="15.95" customHeight="1" x14ac:dyDescent="0.25">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row>
    <row r="52" spans="3:43" s="63" customFormat="1" ht="15.95" customHeight="1" x14ac:dyDescent="0.25">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row>
    <row r="53" spans="3:43" s="63" customFormat="1" ht="15.95" customHeight="1" x14ac:dyDescent="0.25">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row>
    <row r="54" spans="3:43" s="63" customFormat="1" ht="15.95" customHeight="1" x14ac:dyDescent="0.25">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row>
    <row r="55" spans="3:43" s="63" customFormat="1" ht="15.95" customHeight="1" x14ac:dyDescent="0.2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row>
    <row r="56" spans="3:43" s="63" customFormat="1" ht="15.95" customHeight="1" x14ac:dyDescent="0.25">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row>
    <row r="57" spans="3:43" s="63" customFormat="1" ht="15.95" customHeight="1" x14ac:dyDescent="0.25">
      <c r="C57" s="135"/>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299"/>
      <c r="AE57" s="299"/>
      <c r="AF57" s="299"/>
      <c r="AG57" s="299"/>
      <c r="AH57" s="299"/>
      <c r="AI57" s="299"/>
      <c r="AJ57" s="299"/>
      <c r="AK57" s="299"/>
      <c r="AL57" s="299"/>
      <c r="AM57" s="299"/>
      <c r="AN57" s="299"/>
      <c r="AO57" s="299"/>
      <c r="AP57" s="135"/>
      <c r="AQ57" s="135"/>
    </row>
    <row r="58" spans="3:43" s="63" customFormat="1" ht="15.95" hidden="1" customHeight="1" x14ac:dyDescent="0.25">
      <c r="C58" s="135"/>
      <c r="E58" s="299"/>
      <c r="F58" s="299"/>
      <c r="G58" s="299"/>
      <c r="H58" s="299"/>
      <c r="I58" s="299"/>
      <c r="J58" s="299"/>
      <c r="K58" s="299"/>
      <c r="L58" s="299"/>
      <c r="M58" s="299"/>
      <c r="N58" s="299"/>
      <c r="O58" s="299"/>
      <c r="P58" s="299"/>
      <c r="Q58" s="299"/>
      <c r="R58" s="299"/>
      <c r="S58" s="299"/>
      <c r="T58" s="299"/>
      <c r="U58" s="299"/>
      <c r="V58" s="299"/>
      <c r="W58" s="299"/>
      <c r="X58" s="299"/>
      <c r="Y58" s="299"/>
      <c r="Z58" s="299"/>
      <c r="AA58" s="299"/>
      <c r="AB58" s="299"/>
      <c r="AC58" s="299"/>
      <c r="AD58" s="299"/>
      <c r="AE58" s="299"/>
      <c r="AF58" s="299"/>
      <c r="AG58" s="299"/>
      <c r="AH58" s="299"/>
      <c r="AI58" s="299"/>
      <c r="AJ58" s="299"/>
      <c r="AK58" s="299"/>
      <c r="AL58" s="299"/>
      <c r="AM58" s="299"/>
      <c r="AN58" s="299"/>
      <c r="AO58" s="299"/>
      <c r="AP58" s="135"/>
      <c r="AQ58" s="135"/>
    </row>
    <row r="59" spans="3:43" s="63" customFormat="1" ht="15.95" hidden="1" customHeight="1" x14ac:dyDescent="0.25">
      <c r="C59" s="135"/>
      <c r="E59" s="299"/>
      <c r="F59" s="299"/>
      <c r="G59" s="299"/>
      <c r="H59" s="299"/>
      <c r="I59" s="299"/>
      <c r="J59" s="299"/>
      <c r="K59" s="299"/>
      <c r="L59" s="299"/>
      <c r="M59" s="299"/>
      <c r="N59" s="299"/>
      <c r="O59" s="299"/>
      <c r="P59" s="299"/>
      <c r="Q59" s="299"/>
      <c r="R59" s="299"/>
      <c r="S59" s="299"/>
      <c r="T59" s="299"/>
      <c r="U59" s="299"/>
      <c r="V59" s="299"/>
      <c r="W59" s="299"/>
      <c r="X59" s="299"/>
      <c r="Y59" s="299"/>
      <c r="Z59" s="299"/>
      <c r="AA59" s="299"/>
      <c r="AB59" s="299"/>
      <c r="AC59" s="299"/>
      <c r="AD59" s="299"/>
      <c r="AE59" s="299"/>
      <c r="AF59" s="299"/>
      <c r="AG59" s="299"/>
      <c r="AH59" s="299"/>
      <c r="AI59" s="299"/>
      <c r="AJ59" s="299"/>
      <c r="AK59" s="299"/>
      <c r="AL59" s="299"/>
      <c r="AM59" s="299"/>
      <c r="AN59" s="299"/>
      <c r="AO59" s="299"/>
      <c r="AP59" s="135"/>
      <c r="AQ59" s="135"/>
    </row>
    <row r="60" spans="3:43" s="63" customFormat="1" ht="15.95" hidden="1" customHeight="1" x14ac:dyDescent="0.25">
      <c r="C60" s="135"/>
      <c r="E60" s="299"/>
      <c r="F60" s="299"/>
      <c r="G60" s="299"/>
      <c r="H60" s="299"/>
      <c r="I60" s="299"/>
      <c r="J60" s="299"/>
      <c r="K60" s="299"/>
      <c r="L60" s="299"/>
      <c r="M60" s="299"/>
      <c r="N60" s="299"/>
      <c r="O60" s="299"/>
      <c r="P60" s="299"/>
      <c r="Q60" s="299"/>
      <c r="R60" s="299"/>
      <c r="S60" s="299"/>
      <c r="T60" s="299"/>
      <c r="U60" s="299"/>
      <c r="V60" s="299"/>
      <c r="W60" s="299"/>
      <c r="X60" s="299"/>
      <c r="Y60" s="299"/>
      <c r="Z60" s="299"/>
      <c r="AA60" s="299"/>
      <c r="AB60" s="299"/>
      <c r="AC60" s="299"/>
      <c r="AD60" s="299"/>
      <c r="AE60" s="299"/>
      <c r="AF60" s="299"/>
      <c r="AG60" s="299"/>
      <c r="AH60" s="299"/>
      <c r="AI60" s="299"/>
      <c r="AJ60" s="299"/>
      <c r="AK60" s="299"/>
      <c r="AL60" s="299"/>
      <c r="AM60" s="299"/>
      <c r="AN60" s="299"/>
      <c r="AO60" s="299"/>
      <c r="AP60" s="135"/>
      <c r="AQ60" s="135"/>
    </row>
    <row r="61" spans="3:43" s="63" customFormat="1" ht="15.95" hidden="1" customHeight="1" x14ac:dyDescent="0.25">
      <c r="C61" s="135"/>
      <c r="E61" s="299"/>
      <c r="F61" s="299"/>
      <c r="G61" s="299"/>
      <c r="H61" s="299"/>
      <c r="I61" s="299"/>
      <c r="J61" s="299"/>
      <c r="K61" s="299"/>
      <c r="L61" s="299"/>
      <c r="M61" s="299"/>
      <c r="N61" s="299"/>
      <c r="O61" s="299"/>
      <c r="P61" s="299"/>
      <c r="Q61" s="299"/>
      <c r="R61" s="299"/>
      <c r="S61" s="299"/>
      <c r="T61" s="299"/>
      <c r="U61" s="299"/>
      <c r="V61" s="299"/>
      <c r="W61" s="299"/>
      <c r="X61" s="299"/>
      <c r="Y61" s="299"/>
      <c r="Z61" s="299"/>
      <c r="AA61" s="299"/>
      <c r="AB61" s="299"/>
      <c r="AC61" s="299"/>
      <c r="AD61" s="299"/>
      <c r="AE61" s="299"/>
      <c r="AF61" s="299"/>
      <c r="AG61" s="299"/>
      <c r="AH61" s="299"/>
      <c r="AI61" s="299"/>
      <c r="AJ61" s="299"/>
      <c r="AK61" s="299"/>
      <c r="AL61" s="299"/>
      <c r="AM61" s="299"/>
      <c r="AN61" s="299"/>
      <c r="AO61" s="299"/>
      <c r="AP61" s="135"/>
      <c r="AQ61" s="135"/>
    </row>
    <row r="62" spans="3:43" s="63" customFormat="1" ht="15.95" hidden="1" customHeight="1" x14ac:dyDescent="0.25">
      <c r="C62" s="135"/>
      <c r="E62" s="299"/>
      <c r="AP62" s="135"/>
      <c r="AQ62" s="135"/>
    </row>
    <row r="63" spans="3:43" s="63" customFormat="1" ht="15.95" hidden="1" customHeight="1" x14ac:dyDescent="0.25">
      <c r="C63" s="135"/>
      <c r="E63" s="299"/>
      <c r="AP63" s="135"/>
      <c r="AQ63" s="135"/>
    </row>
    <row r="64" spans="3:43" s="63" customFormat="1" ht="15.95" hidden="1" customHeight="1" x14ac:dyDescent="0.25">
      <c r="C64" s="135"/>
      <c r="E64" s="299"/>
      <c r="AP64" s="135"/>
      <c r="AQ64" s="135"/>
    </row>
    <row r="65" spans="3:43" s="63" customFormat="1" ht="15.95" hidden="1" customHeight="1" x14ac:dyDescent="0.25">
      <c r="C65" s="135"/>
      <c r="E65" s="299"/>
      <c r="AP65" s="135"/>
      <c r="AQ65" s="135"/>
    </row>
    <row r="66" spans="3:43" s="63" customFormat="1" ht="15.95" hidden="1" customHeight="1" x14ac:dyDescent="0.25">
      <c r="C66" s="135"/>
      <c r="E66" s="299"/>
      <c r="AP66" s="135"/>
      <c r="AQ66" s="135"/>
    </row>
    <row r="67" spans="3:43" s="63" customFormat="1" ht="15.95" hidden="1" customHeight="1" x14ac:dyDescent="0.25">
      <c r="C67" s="135"/>
      <c r="E67" s="299"/>
      <c r="AP67" s="135"/>
      <c r="AQ67" s="135"/>
    </row>
    <row r="68" spans="3:43" s="63" customFormat="1" ht="15.95" hidden="1" customHeight="1" x14ac:dyDescent="0.25">
      <c r="C68" s="135"/>
      <c r="E68" s="299"/>
      <c r="AP68" s="135"/>
      <c r="AQ68" s="135"/>
    </row>
    <row r="69" spans="3:43" s="63" customFormat="1" ht="15.95" hidden="1" customHeight="1" x14ac:dyDescent="0.25">
      <c r="C69" s="135"/>
      <c r="E69" s="299"/>
      <c r="AP69" s="135"/>
      <c r="AQ69" s="135"/>
    </row>
    <row r="70" spans="3:43" s="63" customFormat="1" ht="15.95" hidden="1" customHeight="1" x14ac:dyDescent="0.25">
      <c r="C70" s="135"/>
      <c r="E70" s="299"/>
      <c r="AP70" s="135"/>
      <c r="AQ70" s="135"/>
    </row>
    <row r="71" spans="3:43" s="63" customFormat="1" ht="15.95" hidden="1" customHeight="1" x14ac:dyDescent="0.25">
      <c r="C71" s="135"/>
      <c r="E71" s="299"/>
      <c r="AP71" s="135"/>
      <c r="AQ71" s="135"/>
    </row>
    <row r="72" spans="3:43" s="63" customFormat="1" ht="15.95" hidden="1" customHeight="1" x14ac:dyDescent="0.25">
      <c r="C72" s="135"/>
      <c r="E72" s="299"/>
      <c r="AP72" s="135"/>
      <c r="AQ72" s="135"/>
    </row>
    <row r="73" spans="3:43" s="63" customFormat="1" ht="15.95" hidden="1" customHeight="1" x14ac:dyDescent="0.25">
      <c r="C73" s="135"/>
      <c r="E73" s="299"/>
      <c r="AP73" s="135"/>
      <c r="AQ73" s="135"/>
    </row>
    <row r="74" spans="3:43" s="63" customFormat="1" ht="15.95" hidden="1" customHeight="1" x14ac:dyDescent="0.25">
      <c r="C74" s="135"/>
      <c r="E74" s="299"/>
      <c r="AP74" s="135"/>
      <c r="AQ74" s="135"/>
    </row>
    <row r="75" spans="3:43" s="63" customFormat="1" ht="15.95" hidden="1" customHeight="1" x14ac:dyDescent="0.25">
      <c r="C75" s="135"/>
      <c r="E75" s="299"/>
      <c r="AP75" s="135"/>
      <c r="AQ75" s="135"/>
    </row>
    <row r="76" spans="3:43" s="63" customFormat="1" ht="15.95" hidden="1" customHeight="1" x14ac:dyDescent="0.25">
      <c r="C76" s="135"/>
      <c r="E76" s="299"/>
      <c r="AP76" s="135"/>
      <c r="AQ76" s="135"/>
    </row>
    <row r="77" spans="3:43" s="63" customFormat="1" ht="15.95" hidden="1" customHeight="1" x14ac:dyDescent="0.25">
      <c r="C77" s="135"/>
      <c r="E77" s="299"/>
      <c r="AP77" s="135"/>
      <c r="AQ77" s="135"/>
    </row>
    <row r="78" spans="3:43" s="63" customFormat="1" ht="15.95" hidden="1" customHeight="1" x14ac:dyDescent="0.25">
      <c r="C78" s="135"/>
      <c r="E78" s="299"/>
      <c r="AP78" s="135"/>
      <c r="AQ78" s="135"/>
    </row>
    <row r="79" spans="3:43" s="63" customFormat="1" ht="15.95" hidden="1" customHeight="1" x14ac:dyDescent="0.25">
      <c r="C79" s="135"/>
      <c r="E79" s="299"/>
      <c r="AP79" s="135"/>
      <c r="AQ79" s="135"/>
    </row>
    <row r="80" spans="3:43" s="63" customFormat="1" ht="15.95" hidden="1" customHeight="1" x14ac:dyDescent="0.25">
      <c r="C80" s="135"/>
      <c r="E80" s="299"/>
      <c r="AP80" s="135"/>
      <c r="AQ80" s="135"/>
    </row>
    <row r="81" spans="3:43" s="63" customFormat="1" ht="15.95" hidden="1" customHeight="1" x14ac:dyDescent="0.25">
      <c r="C81" s="135"/>
      <c r="E81" s="299"/>
      <c r="AP81" s="135"/>
      <c r="AQ81" s="135"/>
    </row>
    <row r="82" spans="3:43" s="63" customFormat="1" ht="15.95" hidden="1" customHeight="1" x14ac:dyDescent="0.25">
      <c r="C82" s="135"/>
      <c r="E82" s="299"/>
      <c r="AP82" s="135"/>
      <c r="AQ82" s="135"/>
    </row>
    <row r="83" spans="3:43" s="63" customFormat="1" ht="15.95" hidden="1" customHeight="1" x14ac:dyDescent="0.25">
      <c r="C83" s="135"/>
      <c r="E83" s="299"/>
      <c r="AP83" s="135"/>
      <c r="AQ83" s="135"/>
    </row>
    <row r="84" spans="3:43" s="63" customFormat="1" ht="15.95" hidden="1" customHeight="1" x14ac:dyDescent="0.25">
      <c r="C84" s="135"/>
      <c r="E84" s="299"/>
      <c r="AP84" s="135"/>
      <c r="AQ84" s="135"/>
    </row>
    <row r="85" spans="3:43" s="63" customFormat="1" ht="15.95" hidden="1" customHeight="1" x14ac:dyDescent="0.25">
      <c r="C85" s="135"/>
      <c r="E85" s="299"/>
      <c r="AP85" s="135"/>
      <c r="AQ85" s="135"/>
    </row>
    <row r="86" spans="3:43" s="63" customFormat="1" ht="15.95" hidden="1" customHeight="1" x14ac:dyDescent="0.25">
      <c r="C86" s="135"/>
      <c r="E86" s="299"/>
      <c r="AP86" s="135"/>
      <c r="AQ86" s="135"/>
    </row>
    <row r="87" spans="3:43" s="63" customFormat="1" ht="15.95" hidden="1" customHeight="1" x14ac:dyDescent="0.25">
      <c r="C87" s="135"/>
      <c r="E87" s="299"/>
      <c r="AP87" s="135"/>
      <c r="AQ87" s="135"/>
    </row>
    <row r="88" spans="3:43" s="63" customFormat="1" ht="15.95" hidden="1" customHeight="1" x14ac:dyDescent="0.25">
      <c r="C88" s="135"/>
      <c r="E88" s="299"/>
      <c r="AP88" s="135"/>
      <c r="AQ88" s="135"/>
    </row>
    <row r="89" spans="3:43" s="63" customFormat="1" ht="15.95" hidden="1" customHeight="1" x14ac:dyDescent="0.25">
      <c r="C89" s="135"/>
      <c r="E89" s="299"/>
      <c r="AP89" s="135"/>
      <c r="AQ89" s="135"/>
    </row>
    <row r="90" spans="3:43" s="63" customFormat="1" ht="15.95" hidden="1" customHeight="1" x14ac:dyDescent="0.25">
      <c r="C90" s="135"/>
      <c r="E90" s="299"/>
      <c r="AP90" s="135"/>
      <c r="AQ90" s="135"/>
    </row>
    <row r="91" spans="3:43" s="63" customFormat="1" ht="15.95" hidden="1" customHeight="1" x14ac:dyDescent="0.25">
      <c r="C91" s="135"/>
      <c r="E91" s="299"/>
      <c r="AP91" s="135"/>
      <c r="AQ91" s="135"/>
    </row>
    <row r="92" spans="3:43" s="63" customFormat="1" ht="15.95" hidden="1" customHeight="1" x14ac:dyDescent="0.25">
      <c r="C92" s="135"/>
      <c r="E92" s="299"/>
      <c r="AP92" s="135"/>
      <c r="AQ92" s="135"/>
    </row>
    <row r="93" spans="3:43" s="63" customFormat="1" ht="15.95" hidden="1" customHeight="1" x14ac:dyDescent="0.25">
      <c r="C93" s="135"/>
      <c r="E93" s="299"/>
      <c r="AP93" s="135"/>
      <c r="AQ93" s="135"/>
    </row>
    <row r="94" spans="3:43" s="63" customFormat="1" ht="15.95" hidden="1" customHeight="1" x14ac:dyDescent="0.25">
      <c r="C94" s="135"/>
      <c r="D94" s="135"/>
      <c r="E94" s="299"/>
      <c r="AP94" s="135"/>
      <c r="AQ94" s="135"/>
    </row>
    <row r="95" spans="3:43" s="63" customFormat="1" ht="15.95" hidden="1" customHeight="1" x14ac:dyDescent="0.25">
      <c r="C95" s="135"/>
      <c r="D95" s="135"/>
      <c r="E95" s="299"/>
      <c r="AP95" s="135"/>
      <c r="AQ95" s="135"/>
    </row>
    <row r="96" spans="3:43" s="63" customFormat="1" ht="15.95" hidden="1" customHeight="1" x14ac:dyDescent="0.25">
      <c r="C96" s="135"/>
      <c r="D96" s="135"/>
      <c r="E96" s="299"/>
      <c r="AP96" s="135"/>
      <c r="AQ96" s="135"/>
    </row>
    <row r="97" spans="3:43" s="63" customFormat="1" ht="15.95" hidden="1" customHeight="1" x14ac:dyDescent="0.25">
      <c r="C97" s="135"/>
      <c r="D97" s="135"/>
      <c r="E97" s="299"/>
      <c r="AP97" s="135"/>
      <c r="AQ97" s="135"/>
    </row>
    <row r="98" spans="3:43" s="63" customFormat="1" ht="15.95" hidden="1" customHeight="1" x14ac:dyDescent="0.25">
      <c r="C98" s="135"/>
      <c r="D98" s="135"/>
      <c r="E98" s="299"/>
      <c r="AP98" s="135"/>
      <c r="AQ98" s="135"/>
    </row>
    <row r="99" spans="3:43" s="63" customFormat="1" ht="15.95" hidden="1" customHeight="1" x14ac:dyDescent="0.25">
      <c r="C99" s="135"/>
      <c r="D99" s="135"/>
      <c r="E99" s="299"/>
      <c r="AP99" s="135"/>
      <c r="AQ99" s="135"/>
    </row>
    <row r="100" spans="3:43" s="63" customFormat="1" ht="15.95" hidden="1" customHeight="1" x14ac:dyDescent="0.25">
      <c r="C100" s="135"/>
      <c r="D100" s="135"/>
      <c r="E100" s="299"/>
      <c r="AP100" s="135"/>
      <c r="AQ100" s="135"/>
    </row>
    <row r="101" spans="3:43" s="63" customFormat="1" ht="15.95" hidden="1" customHeight="1" x14ac:dyDescent="0.25">
      <c r="C101" s="135"/>
      <c r="D101" s="135"/>
      <c r="E101" s="299"/>
      <c r="AP101" s="135"/>
      <c r="AQ101" s="135"/>
    </row>
    <row r="102" spans="3:43" s="63" customFormat="1" ht="15.95" hidden="1" customHeight="1" x14ac:dyDescent="0.25">
      <c r="C102" s="135"/>
      <c r="D102" s="135"/>
      <c r="E102" s="299"/>
      <c r="AP102" s="135"/>
      <c r="AQ102" s="135"/>
    </row>
    <row r="103" spans="3:43" s="63" customFormat="1" ht="15.95" hidden="1" customHeight="1" x14ac:dyDescent="0.25">
      <c r="C103" s="135"/>
      <c r="D103" s="135"/>
      <c r="E103" s="299"/>
      <c r="AP103" s="135"/>
      <c r="AQ103" s="135"/>
    </row>
    <row r="104" spans="3:43" s="63" customFormat="1" ht="15.95" hidden="1" customHeight="1" x14ac:dyDescent="0.25">
      <c r="C104" s="135"/>
      <c r="D104" s="135"/>
      <c r="E104" s="299"/>
      <c r="AP104" s="135"/>
      <c r="AQ104" s="135"/>
    </row>
    <row r="105" spans="3:43" s="63" customFormat="1" ht="15.95" hidden="1" customHeight="1" x14ac:dyDescent="0.25">
      <c r="C105" s="135"/>
      <c r="D105" s="135"/>
      <c r="E105" s="299"/>
      <c r="AP105" s="135"/>
      <c r="AQ105" s="135"/>
    </row>
    <row r="106" spans="3:43" s="63" customFormat="1" ht="15.95" hidden="1" customHeight="1" x14ac:dyDescent="0.25">
      <c r="C106" s="135"/>
      <c r="D106" s="135"/>
      <c r="E106" s="299"/>
      <c r="AP106" s="135"/>
      <c r="AQ106" s="135"/>
    </row>
    <row r="107" spans="3:43" s="63" customFormat="1" ht="15.95" hidden="1" customHeight="1" x14ac:dyDescent="0.25">
      <c r="C107" s="135"/>
      <c r="D107" s="135"/>
      <c r="E107" s="299"/>
      <c r="F107" s="299"/>
      <c r="G107" s="299"/>
      <c r="H107" s="299"/>
      <c r="I107" s="299"/>
      <c r="J107" s="299"/>
      <c r="K107" s="299"/>
      <c r="L107" s="299"/>
      <c r="M107" s="299"/>
      <c r="N107" s="299"/>
      <c r="O107" s="299"/>
      <c r="P107" s="299"/>
      <c r="Q107" s="299"/>
      <c r="R107" s="299"/>
      <c r="S107" s="299"/>
      <c r="T107" s="299"/>
      <c r="U107" s="299"/>
      <c r="V107" s="299"/>
      <c r="W107" s="299"/>
      <c r="X107" s="299"/>
      <c r="Y107" s="299"/>
      <c r="Z107" s="299"/>
      <c r="AA107" s="299"/>
      <c r="AB107" s="299"/>
      <c r="AC107" s="299"/>
      <c r="AD107" s="299"/>
      <c r="AE107" s="299"/>
      <c r="AF107" s="299"/>
      <c r="AG107" s="299"/>
      <c r="AH107" s="299"/>
      <c r="AI107" s="299"/>
      <c r="AJ107" s="299"/>
      <c r="AK107" s="299"/>
      <c r="AL107" s="299"/>
      <c r="AM107" s="299"/>
      <c r="AN107" s="299"/>
      <c r="AO107" s="299"/>
      <c r="AP107" s="135"/>
      <c r="AQ107" s="135"/>
    </row>
    <row r="108" spans="3:43" s="63" customFormat="1" ht="15.95" hidden="1" customHeight="1" x14ac:dyDescent="0.25">
      <c r="C108" s="135"/>
      <c r="D108" s="135"/>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299"/>
      <c r="AE108" s="299"/>
      <c r="AF108" s="299"/>
      <c r="AG108" s="299"/>
      <c r="AH108" s="299"/>
      <c r="AI108" s="299"/>
      <c r="AJ108" s="299"/>
      <c r="AK108" s="299"/>
      <c r="AL108" s="299"/>
      <c r="AM108" s="299"/>
      <c r="AN108" s="299"/>
      <c r="AO108" s="299"/>
      <c r="AP108" s="135"/>
      <c r="AQ108" s="135"/>
    </row>
    <row r="109" spans="3:43" s="63" customFormat="1" ht="15.95" hidden="1" customHeight="1" x14ac:dyDescent="0.2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5"/>
      <c r="AN109" s="135"/>
      <c r="AO109" s="135"/>
      <c r="AP109" s="135"/>
      <c r="AQ109" s="135"/>
    </row>
    <row r="110" spans="3:43" s="63" customFormat="1" ht="15.95" hidden="1" customHeight="1" x14ac:dyDescent="0.25">
      <c r="C110" s="135"/>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c r="AA110" s="135"/>
      <c r="AB110" s="135"/>
      <c r="AC110" s="135"/>
      <c r="AD110" s="135"/>
      <c r="AE110" s="135"/>
      <c r="AF110" s="135"/>
      <c r="AG110" s="135"/>
      <c r="AH110" s="135"/>
      <c r="AI110" s="135"/>
      <c r="AJ110" s="135"/>
      <c r="AK110" s="135"/>
      <c r="AL110" s="135"/>
      <c r="AM110" s="135"/>
      <c r="AN110" s="135"/>
      <c r="AO110" s="135"/>
      <c r="AP110" s="135"/>
      <c r="AQ110" s="135"/>
    </row>
    <row r="111" spans="3:43" s="63" customFormat="1" ht="15.95" hidden="1" customHeight="1" x14ac:dyDescent="0.2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row>
    <row r="112" spans="3:43" s="63" customFormat="1" ht="15.95" hidden="1" customHeight="1" x14ac:dyDescent="0.25">
      <c r="C112" s="135"/>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row>
    <row r="113" spans="3:43" s="63" customFormat="1" ht="15.95" hidden="1" customHeight="1" x14ac:dyDescent="0.25">
      <c r="C113" s="135"/>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c r="AO113" s="135"/>
      <c r="AP113" s="135"/>
      <c r="AQ113" s="135"/>
    </row>
    <row r="114" spans="3:43" s="63" customFormat="1" ht="15.95" hidden="1" customHeight="1" x14ac:dyDescent="0.25">
      <c r="C114" s="135"/>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c r="AO114" s="135"/>
      <c r="AP114" s="135"/>
      <c r="AQ114" s="135"/>
    </row>
    <row r="115" spans="3:43" s="63" customFormat="1" ht="15.95" hidden="1" customHeight="1" x14ac:dyDescent="0.25">
      <c r="C115" s="135"/>
      <c r="D115" s="135"/>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135"/>
      <c r="AO115" s="135"/>
      <c r="AP115" s="135"/>
      <c r="AQ115" s="135"/>
    </row>
    <row r="116" spans="3:43" s="63" customFormat="1" ht="15.95" hidden="1" customHeight="1" x14ac:dyDescent="0.25">
      <c r="C116" s="135"/>
      <c r="D116" s="135"/>
      <c r="E116" s="135"/>
      <c r="F116" s="135"/>
      <c r="G116" s="135"/>
      <c r="H116" s="135"/>
      <c r="I116" s="135"/>
      <c r="J116" s="135"/>
      <c r="K116" s="135"/>
      <c r="L116" s="135"/>
      <c r="M116" s="135"/>
      <c r="N116" s="135"/>
      <c r="O116" s="135"/>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135"/>
      <c r="AO116" s="135"/>
      <c r="AP116" s="135"/>
      <c r="AQ116" s="135"/>
    </row>
    <row r="117" spans="3:43" s="63" customFormat="1" ht="15.95" hidden="1" customHeight="1" x14ac:dyDescent="0.25">
      <c r="C117" s="135"/>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c r="AA117" s="135"/>
      <c r="AB117" s="135"/>
      <c r="AC117" s="135"/>
      <c r="AD117" s="135"/>
      <c r="AE117" s="135"/>
      <c r="AF117" s="135"/>
      <c r="AG117" s="135"/>
      <c r="AH117" s="135"/>
      <c r="AI117" s="135"/>
      <c r="AJ117" s="135"/>
      <c r="AK117" s="135"/>
      <c r="AL117" s="135"/>
      <c r="AM117" s="135"/>
      <c r="AN117" s="135"/>
      <c r="AO117" s="135"/>
      <c r="AP117" s="135"/>
      <c r="AQ117" s="135"/>
    </row>
    <row r="118" spans="3:43" s="63" customFormat="1" ht="15.95" hidden="1" customHeight="1" x14ac:dyDescent="0.25">
      <c r="C118" s="135"/>
      <c r="D118" s="135"/>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c r="AA118" s="135"/>
      <c r="AB118" s="135"/>
      <c r="AC118" s="135"/>
      <c r="AD118" s="135"/>
      <c r="AE118" s="135"/>
      <c r="AF118" s="135"/>
      <c r="AG118" s="135"/>
      <c r="AH118" s="135"/>
      <c r="AI118" s="135"/>
      <c r="AJ118" s="135"/>
      <c r="AK118" s="135"/>
      <c r="AL118" s="135"/>
      <c r="AM118" s="135"/>
      <c r="AN118" s="135"/>
      <c r="AO118" s="135"/>
      <c r="AP118" s="135"/>
      <c r="AQ118" s="135"/>
    </row>
    <row r="119" spans="3:43" s="63" customFormat="1" ht="15.95" hidden="1" customHeight="1" x14ac:dyDescent="0.25">
      <c r="C119" s="135"/>
      <c r="D119" s="135"/>
      <c r="E119" s="135"/>
      <c r="F119" s="135"/>
      <c r="G119" s="135"/>
      <c r="H119" s="135"/>
      <c r="I119" s="135"/>
      <c r="J119" s="135"/>
      <c r="K119" s="135"/>
      <c r="L119" s="135"/>
      <c r="M119" s="135"/>
      <c r="N119" s="135"/>
      <c r="O119" s="135"/>
      <c r="P119" s="135"/>
      <c r="Q119" s="135"/>
      <c r="R119" s="135"/>
      <c r="S119" s="135"/>
      <c r="T119" s="135"/>
      <c r="U119" s="135"/>
      <c r="V119" s="135"/>
      <c r="W119" s="135"/>
      <c r="X119" s="135"/>
      <c r="Y119" s="135"/>
      <c r="Z119" s="135"/>
      <c r="AA119" s="135"/>
      <c r="AB119" s="135"/>
      <c r="AC119" s="135"/>
      <c r="AD119" s="135"/>
      <c r="AE119" s="135"/>
      <c r="AF119" s="135"/>
      <c r="AG119" s="135"/>
      <c r="AH119" s="135"/>
      <c r="AI119" s="135"/>
      <c r="AJ119" s="135"/>
      <c r="AK119" s="135"/>
      <c r="AL119" s="135"/>
      <c r="AM119" s="135"/>
      <c r="AN119" s="135"/>
      <c r="AO119" s="135"/>
      <c r="AP119" s="135"/>
      <c r="AQ119" s="135"/>
    </row>
    <row r="120" spans="3:43" s="63" customFormat="1" ht="15.95" hidden="1" customHeight="1" x14ac:dyDescent="0.25">
      <c r="C120" s="135"/>
      <c r="D120" s="135"/>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c r="AA120" s="135"/>
      <c r="AB120" s="135"/>
      <c r="AC120" s="135"/>
      <c r="AD120" s="135"/>
      <c r="AE120" s="135"/>
      <c r="AF120" s="135"/>
      <c r="AG120" s="135"/>
      <c r="AH120" s="135"/>
      <c r="AI120" s="135"/>
      <c r="AJ120" s="135"/>
      <c r="AK120" s="135"/>
      <c r="AL120" s="135"/>
      <c r="AM120" s="135"/>
      <c r="AN120" s="135"/>
      <c r="AO120" s="135"/>
      <c r="AP120" s="135"/>
      <c r="AQ120" s="135"/>
    </row>
    <row r="121" spans="3:43" s="63" customFormat="1" ht="15.95" hidden="1" customHeight="1" x14ac:dyDescent="0.25">
      <c r="C121" s="135"/>
      <c r="D121" s="135"/>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c r="AG121" s="135"/>
      <c r="AH121" s="135"/>
      <c r="AI121" s="135"/>
      <c r="AJ121" s="135"/>
      <c r="AK121" s="135"/>
      <c r="AL121" s="135"/>
      <c r="AM121" s="135"/>
      <c r="AN121" s="135"/>
      <c r="AO121" s="135"/>
      <c r="AP121" s="135"/>
      <c r="AQ121" s="135"/>
    </row>
    <row r="122" spans="3:43" s="63" customFormat="1" ht="15.95" hidden="1" customHeight="1" x14ac:dyDescent="0.25">
      <c r="C122" s="135"/>
      <c r="D122" s="135"/>
      <c r="E122" s="135"/>
      <c r="F122" s="135"/>
      <c r="G122" s="135"/>
      <c r="H122" s="135"/>
      <c r="I122" s="135"/>
      <c r="J122" s="135"/>
      <c r="K122" s="135"/>
      <c r="L122" s="135"/>
      <c r="M122" s="135"/>
      <c r="N122" s="135"/>
      <c r="O122" s="135"/>
      <c r="P122" s="135"/>
      <c r="Q122" s="135"/>
      <c r="R122" s="135"/>
      <c r="S122" s="135"/>
      <c r="T122" s="135"/>
      <c r="U122" s="135"/>
      <c r="V122" s="135"/>
      <c r="W122" s="135"/>
      <c r="X122" s="135"/>
      <c r="Y122" s="135"/>
      <c r="Z122" s="135"/>
      <c r="AA122" s="135"/>
      <c r="AB122" s="135"/>
      <c r="AC122" s="135"/>
      <c r="AD122" s="135"/>
      <c r="AE122" s="135"/>
      <c r="AF122" s="135"/>
      <c r="AG122" s="135"/>
      <c r="AH122" s="135"/>
      <c r="AI122" s="135"/>
      <c r="AJ122" s="135"/>
      <c r="AK122" s="135"/>
      <c r="AL122" s="135"/>
      <c r="AM122" s="135"/>
      <c r="AN122" s="135"/>
      <c r="AO122" s="135"/>
      <c r="AP122" s="135"/>
      <c r="AQ122" s="135"/>
    </row>
    <row r="123" spans="3:43" s="63" customFormat="1" ht="15.95" hidden="1" customHeight="1" x14ac:dyDescent="0.25">
      <c r="C123" s="135"/>
      <c r="D123" s="135"/>
      <c r="E123" s="135"/>
      <c r="F123" s="135"/>
      <c r="G123" s="135"/>
      <c r="H123" s="135"/>
      <c r="I123" s="135"/>
      <c r="J123" s="135"/>
      <c r="K123" s="135"/>
      <c r="L123" s="135"/>
      <c r="M123" s="135"/>
      <c r="N123" s="135"/>
      <c r="O123" s="135"/>
      <c r="P123" s="135"/>
      <c r="Q123" s="135"/>
      <c r="R123" s="135"/>
      <c r="S123" s="135"/>
      <c r="T123" s="135"/>
      <c r="U123" s="135"/>
      <c r="V123" s="135"/>
      <c r="W123" s="135"/>
      <c r="X123" s="135"/>
      <c r="Y123" s="135"/>
      <c r="Z123" s="135"/>
      <c r="AA123" s="135"/>
      <c r="AB123" s="135"/>
      <c r="AC123" s="135"/>
      <c r="AD123" s="135"/>
      <c r="AE123" s="135"/>
      <c r="AF123" s="135"/>
      <c r="AG123" s="135"/>
      <c r="AH123" s="135"/>
      <c r="AI123" s="135"/>
      <c r="AJ123" s="135"/>
      <c r="AK123" s="135"/>
      <c r="AL123" s="135"/>
      <c r="AM123" s="135"/>
      <c r="AN123" s="135"/>
      <c r="AO123" s="135"/>
      <c r="AP123" s="135"/>
      <c r="AQ123" s="135"/>
    </row>
    <row r="124" spans="3:43" s="63" customFormat="1" ht="15.95" hidden="1" customHeight="1" x14ac:dyDescent="0.25">
      <c r="C124" s="135"/>
      <c r="D124" s="135"/>
      <c r="E124" s="135"/>
      <c r="F124" s="135"/>
      <c r="G124" s="135"/>
      <c r="H124" s="135"/>
      <c r="I124" s="135"/>
      <c r="J124" s="135"/>
      <c r="K124" s="135"/>
      <c r="L124" s="135"/>
      <c r="M124" s="135"/>
      <c r="N124" s="135"/>
      <c r="O124" s="135"/>
      <c r="P124" s="135"/>
      <c r="Q124" s="135"/>
      <c r="R124" s="135"/>
      <c r="S124" s="135"/>
      <c r="T124" s="135"/>
      <c r="U124" s="135"/>
      <c r="V124" s="135"/>
      <c r="W124" s="135"/>
      <c r="X124" s="135"/>
      <c r="Y124" s="135"/>
      <c r="Z124" s="135"/>
      <c r="AA124" s="135"/>
      <c r="AB124" s="135"/>
      <c r="AC124" s="135"/>
      <c r="AD124" s="135"/>
      <c r="AE124" s="135"/>
      <c r="AF124" s="135"/>
      <c r="AG124" s="135"/>
      <c r="AH124" s="135"/>
      <c r="AI124" s="135"/>
      <c r="AJ124" s="135"/>
      <c r="AK124" s="135"/>
      <c r="AL124" s="135"/>
      <c r="AM124" s="135"/>
      <c r="AN124" s="135"/>
      <c r="AO124" s="135"/>
      <c r="AP124" s="135"/>
      <c r="AQ124" s="135"/>
    </row>
    <row r="125" spans="3:43" s="63" customFormat="1" ht="15.95" hidden="1" customHeight="1" x14ac:dyDescent="0.25">
      <c r="C125" s="135"/>
      <c r="D125" s="135"/>
      <c r="E125" s="135"/>
      <c r="F125" s="135"/>
      <c r="G125" s="135"/>
      <c r="H125" s="135"/>
      <c r="I125" s="135"/>
      <c r="J125" s="135"/>
      <c r="K125" s="135"/>
      <c r="L125" s="135"/>
      <c r="M125" s="135"/>
      <c r="N125" s="135"/>
      <c r="O125" s="135"/>
      <c r="P125" s="135"/>
      <c r="Q125" s="135"/>
      <c r="R125" s="135"/>
      <c r="S125" s="135"/>
      <c r="T125" s="135"/>
      <c r="U125" s="135"/>
      <c r="V125" s="135"/>
      <c r="W125" s="135"/>
      <c r="X125" s="135"/>
      <c r="Y125" s="135"/>
      <c r="Z125" s="135"/>
      <c r="AA125" s="135"/>
      <c r="AB125" s="135"/>
      <c r="AC125" s="135"/>
      <c r="AD125" s="135"/>
      <c r="AE125" s="135"/>
      <c r="AF125" s="135"/>
      <c r="AG125" s="135"/>
      <c r="AH125" s="135"/>
      <c r="AI125" s="135"/>
      <c r="AJ125" s="135"/>
      <c r="AK125" s="135"/>
      <c r="AL125" s="135"/>
      <c r="AM125" s="135"/>
      <c r="AN125" s="135"/>
      <c r="AO125" s="135"/>
      <c r="AP125" s="135"/>
      <c r="AQ125" s="135"/>
    </row>
    <row r="126" spans="3:43" s="63" customFormat="1" ht="15.95" hidden="1" customHeight="1" x14ac:dyDescent="0.25">
      <c r="C126" s="135"/>
      <c r="D126" s="135"/>
      <c r="E126" s="135"/>
      <c r="F126" s="135"/>
      <c r="G126" s="135"/>
      <c r="H126" s="135"/>
      <c r="I126" s="135"/>
      <c r="J126" s="135"/>
      <c r="K126" s="135"/>
      <c r="L126" s="135"/>
      <c r="M126" s="135"/>
      <c r="N126" s="135"/>
      <c r="O126" s="135"/>
      <c r="P126" s="135"/>
      <c r="Q126" s="135"/>
      <c r="R126" s="135"/>
      <c r="S126" s="135"/>
      <c r="T126" s="135"/>
      <c r="U126" s="135"/>
      <c r="V126" s="135"/>
      <c r="W126" s="135"/>
      <c r="X126" s="135"/>
      <c r="Y126" s="135"/>
      <c r="Z126" s="135"/>
      <c r="AA126" s="135"/>
      <c r="AB126" s="135"/>
      <c r="AC126" s="135"/>
      <c r="AD126" s="135"/>
      <c r="AE126" s="135"/>
      <c r="AF126" s="135"/>
      <c r="AG126" s="135"/>
      <c r="AH126" s="135"/>
      <c r="AI126" s="135"/>
      <c r="AJ126" s="135"/>
      <c r="AK126" s="135"/>
      <c r="AL126" s="135"/>
      <c r="AM126" s="135"/>
      <c r="AN126" s="135"/>
      <c r="AO126" s="135"/>
      <c r="AP126" s="135"/>
      <c r="AQ126" s="135"/>
    </row>
    <row r="127" spans="3:43" s="63" customFormat="1" ht="15.95" hidden="1" customHeight="1" x14ac:dyDescent="0.25">
      <c r="C127" s="135"/>
      <c r="D127" s="135"/>
      <c r="E127" s="135"/>
      <c r="F127" s="135"/>
      <c r="G127" s="135"/>
      <c r="H127" s="135"/>
      <c r="I127" s="135"/>
      <c r="J127" s="135"/>
      <c r="K127" s="135"/>
      <c r="L127" s="135"/>
      <c r="M127" s="135"/>
      <c r="N127" s="135"/>
      <c r="O127" s="135"/>
      <c r="P127" s="135"/>
      <c r="Q127" s="135"/>
      <c r="R127" s="135"/>
      <c r="S127" s="135"/>
      <c r="T127" s="135"/>
      <c r="U127" s="135"/>
      <c r="V127" s="135"/>
      <c r="W127" s="135"/>
      <c r="X127" s="135"/>
      <c r="Y127" s="135"/>
      <c r="Z127" s="135"/>
      <c r="AA127" s="135"/>
      <c r="AB127" s="135"/>
      <c r="AC127" s="135"/>
      <c r="AD127" s="135"/>
      <c r="AE127" s="135"/>
      <c r="AF127" s="135"/>
      <c r="AG127" s="135"/>
      <c r="AH127" s="135"/>
      <c r="AI127" s="135"/>
      <c r="AJ127" s="135"/>
      <c r="AK127" s="135"/>
      <c r="AL127" s="135"/>
      <c r="AM127" s="135"/>
      <c r="AN127" s="135"/>
      <c r="AO127" s="135"/>
      <c r="AP127" s="135"/>
      <c r="AQ127" s="135"/>
    </row>
    <row r="128" spans="3:43" s="63" customFormat="1" ht="15.95" hidden="1" customHeight="1" x14ac:dyDescent="0.25">
      <c r="C128" s="135"/>
      <c r="D128" s="135"/>
      <c r="E128" s="135"/>
      <c r="F128" s="135"/>
      <c r="G128" s="135"/>
      <c r="H128" s="135"/>
      <c r="I128" s="135"/>
      <c r="J128" s="135"/>
      <c r="K128" s="135"/>
      <c r="L128" s="135"/>
      <c r="M128" s="135"/>
      <c r="N128" s="135"/>
      <c r="O128" s="135"/>
      <c r="P128" s="135"/>
      <c r="Q128" s="135"/>
      <c r="R128" s="135"/>
      <c r="S128" s="135"/>
      <c r="T128" s="135"/>
      <c r="U128" s="135"/>
      <c r="V128" s="135"/>
      <c r="W128" s="135"/>
      <c r="X128" s="135"/>
      <c r="Y128" s="135"/>
      <c r="Z128" s="135"/>
      <c r="AA128" s="135"/>
      <c r="AB128" s="135"/>
      <c r="AC128" s="135"/>
      <c r="AD128" s="135"/>
      <c r="AE128" s="135"/>
      <c r="AF128" s="135"/>
      <c r="AG128" s="135"/>
      <c r="AH128" s="135"/>
      <c r="AI128" s="135"/>
      <c r="AJ128" s="135"/>
      <c r="AK128" s="135"/>
      <c r="AL128" s="135"/>
      <c r="AM128" s="135"/>
      <c r="AN128" s="135"/>
      <c r="AO128" s="135"/>
      <c r="AP128" s="135"/>
      <c r="AQ128" s="135"/>
    </row>
    <row r="129" spans="3:43" s="63" customFormat="1" ht="15.95" hidden="1" customHeight="1" x14ac:dyDescent="0.25">
      <c r="C129" s="135"/>
      <c r="D129" s="135"/>
      <c r="E129" s="135"/>
      <c r="F129" s="135"/>
      <c r="G129" s="135"/>
      <c r="H129" s="135"/>
      <c r="I129" s="135"/>
      <c r="J129" s="135"/>
      <c r="K129" s="135"/>
      <c r="L129" s="135"/>
      <c r="M129" s="135"/>
      <c r="N129" s="135"/>
      <c r="O129" s="135"/>
      <c r="P129" s="135"/>
      <c r="Q129" s="135"/>
      <c r="R129" s="135"/>
      <c r="S129" s="135"/>
      <c r="T129" s="135"/>
      <c r="U129" s="135"/>
      <c r="V129" s="135"/>
      <c r="W129" s="135"/>
      <c r="X129" s="135"/>
      <c r="Y129" s="135"/>
      <c r="Z129" s="135"/>
      <c r="AA129" s="135"/>
      <c r="AB129" s="135"/>
      <c r="AC129" s="135"/>
      <c r="AD129" s="135"/>
      <c r="AE129" s="135"/>
      <c r="AF129" s="135"/>
      <c r="AG129" s="135"/>
      <c r="AH129" s="135"/>
      <c r="AI129" s="135"/>
      <c r="AJ129" s="135"/>
      <c r="AK129" s="135"/>
      <c r="AL129" s="135"/>
      <c r="AM129" s="135"/>
      <c r="AN129" s="135"/>
      <c r="AO129" s="135"/>
      <c r="AP129" s="135"/>
      <c r="AQ129" s="135"/>
    </row>
    <row r="130" spans="3:43" s="63" customFormat="1" ht="15.95" hidden="1" customHeight="1" x14ac:dyDescent="0.25">
      <c r="C130" s="135"/>
      <c r="D130" s="135"/>
      <c r="E130" s="135"/>
      <c r="F130" s="135"/>
      <c r="G130" s="135"/>
      <c r="H130" s="135"/>
      <c r="I130" s="135"/>
      <c r="J130" s="135"/>
      <c r="K130" s="135"/>
      <c r="L130" s="135"/>
      <c r="M130" s="135"/>
      <c r="N130" s="135"/>
      <c r="O130" s="135"/>
      <c r="P130" s="135"/>
      <c r="Q130" s="135"/>
      <c r="R130" s="135"/>
      <c r="S130" s="135"/>
      <c r="T130" s="135"/>
      <c r="U130" s="135"/>
      <c r="V130" s="135"/>
      <c r="W130" s="135"/>
      <c r="X130" s="135"/>
      <c r="Y130" s="135"/>
      <c r="Z130" s="135"/>
      <c r="AA130" s="135"/>
      <c r="AB130" s="135"/>
      <c r="AC130" s="135"/>
      <c r="AD130" s="135"/>
      <c r="AE130" s="135"/>
      <c r="AF130" s="135"/>
      <c r="AG130" s="135"/>
      <c r="AH130" s="135"/>
      <c r="AI130" s="135"/>
      <c r="AJ130" s="135"/>
      <c r="AK130" s="135"/>
      <c r="AL130" s="135"/>
      <c r="AM130" s="135"/>
      <c r="AN130" s="135"/>
      <c r="AO130" s="135"/>
      <c r="AP130" s="135"/>
      <c r="AQ130" s="135"/>
    </row>
    <row r="131" spans="3:43" s="63" customFormat="1" ht="15.95" hidden="1" customHeight="1" x14ac:dyDescent="0.25">
      <c r="C131" s="135"/>
      <c r="D131" s="135"/>
      <c r="E131" s="135"/>
      <c r="F131" s="135"/>
      <c r="G131" s="135"/>
      <c r="H131" s="135"/>
      <c r="I131" s="135"/>
      <c r="J131" s="135"/>
      <c r="K131" s="135"/>
      <c r="L131" s="135"/>
      <c r="M131" s="135"/>
      <c r="N131" s="135"/>
      <c r="O131" s="135"/>
      <c r="P131" s="135"/>
      <c r="Q131" s="135"/>
      <c r="R131" s="135"/>
      <c r="S131" s="135"/>
      <c r="T131" s="135"/>
      <c r="U131" s="135"/>
      <c r="V131" s="135"/>
      <c r="W131" s="135"/>
      <c r="X131" s="135"/>
      <c r="Y131" s="135"/>
      <c r="Z131" s="135"/>
      <c r="AA131" s="135"/>
      <c r="AB131" s="135"/>
      <c r="AC131" s="135"/>
      <c r="AD131" s="135"/>
      <c r="AE131" s="135"/>
      <c r="AF131" s="135"/>
      <c r="AG131" s="135"/>
      <c r="AH131" s="135"/>
      <c r="AI131" s="135"/>
      <c r="AJ131" s="135"/>
      <c r="AK131" s="135"/>
      <c r="AL131" s="135"/>
      <c r="AM131" s="135"/>
      <c r="AN131" s="135"/>
      <c r="AO131" s="135"/>
      <c r="AP131" s="135"/>
      <c r="AQ131" s="135"/>
    </row>
    <row r="132" spans="3:43" s="63" customFormat="1" ht="15.95" hidden="1" customHeight="1" x14ac:dyDescent="0.25">
      <c r="C132" s="135"/>
      <c r="D132" s="135"/>
      <c r="E132" s="135"/>
      <c r="F132" s="135"/>
      <c r="G132" s="135"/>
      <c r="H132" s="135"/>
      <c r="I132" s="135"/>
      <c r="J132" s="135"/>
      <c r="K132" s="135"/>
      <c r="L132" s="135"/>
      <c r="M132" s="135"/>
      <c r="N132" s="135"/>
      <c r="O132" s="135"/>
      <c r="P132" s="135"/>
      <c r="Q132" s="135"/>
      <c r="R132" s="135"/>
      <c r="S132" s="135"/>
      <c r="T132" s="135"/>
      <c r="U132" s="135"/>
      <c r="V132" s="135"/>
      <c r="W132" s="135"/>
      <c r="X132" s="135"/>
      <c r="Y132" s="135"/>
      <c r="Z132" s="135"/>
      <c r="AA132" s="135"/>
      <c r="AB132" s="135"/>
      <c r="AC132" s="135"/>
      <c r="AD132" s="135"/>
      <c r="AE132" s="135"/>
      <c r="AF132" s="135"/>
      <c r="AG132" s="135"/>
      <c r="AH132" s="135"/>
      <c r="AI132" s="135"/>
      <c r="AJ132" s="135"/>
      <c r="AK132" s="135"/>
      <c r="AL132" s="135"/>
      <c r="AM132" s="135"/>
      <c r="AN132" s="135"/>
      <c r="AO132" s="135"/>
      <c r="AP132" s="135"/>
      <c r="AQ132" s="135"/>
    </row>
    <row r="133" spans="3:43" s="63" customFormat="1" ht="15.95" hidden="1" customHeight="1" x14ac:dyDescent="0.25">
      <c r="C133" s="135"/>
      <c r="D133" s="135"/>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5"/>
      <c r="AA133" s="135"/>
      <c r="AB133" s="135"/>
      <c r="AC133" s="135"/>
      <c r="AD133" s="135"/>
      <c r="AE133" s="135"/>
      <c r="AF133" s="135"/>
      <c r="AG133" s="135"/>
      <c r="AH133" s="135"/>
      <c r="AI133" s="135"/>
      <c r="AJ133" s="135"/>
      <c r="AK133" s="135"/>
      <c r="AL133" s="135"/>
      <c r="AM133" s="135"/>
      <c r="AN133" s="135"/>
      <c r="AO133" s="135"/>
      <c r="AP133" s="135"/>
      <c r="AQ133" s="135"/>
    </row>
    <row r="134" spans="3:43" s="63" customFormat="1" ht="15.95" hidden="1" customHeight="1" x14ac:dyDescent="0.25">
      <c r="C134" s="135"/>
      <c r="D134" s="135"/>
      <c r="E134" s="135"/>
      <c r="F134" s="135"/>
      <c r="G134" s="135"/>
      <c r="H134" s="135"/>
      <c r="I134" s="135"/>
      <c r="J134" s="135"/>
      <c r="K134" s="135"/>
      <c r="L134" s="135"/>
      <c r="M134" s="135"/>
      <c r="N134" s="135"/>
      <c r="O134" s="135"/>
      <c r="P134" s="135"/>
      <c r="Q134" s="135"/>
      <c r="R134" s="135"/>
      <c r="S134" s="135"/>
      <c r="T134" s="135"/>
      <c r="U134" s="135"/>
      <c r="V134" s="135"/>
      <c r="W134" s="135"/>
      <c r="X134" s="135"/>
      <c r="Y134" s="135"/>
      <c r="Z134" s="135"/>
      <c r="AA134" s="135"/>
      <c r="AB134" s="135"/>
      <c r="AC134" s="135"/>
      <c r="AD134" s="135"/>
      <c r="AE134" s="135"/>
      <c r="AF134" s="135"/>
      <c r="AG134" s="135"/>
      <c r="AH134" s="135"/>
      <c r="AI134" s="135"/>
      <c r="AJ134" s="135"/>
      <c r="AK134" s="135"/>
      <c r="AL134" s="135"/>
      <c r="AM134" s="135"/>
      <c r="AN134" s="135"/>
      <c r="AO134" s="135"/>
      <c r="AP134" s="135"/>
      <c r="AQ134" s="135"/>
    </row>
    <row r="135" spans="3:43" s="63" customFormat="1" ht="15.95" hidden="1" customHeight="1" x14ac:dyDescent="0.25">
      <c r="C135" s="135"/>
      <c r="D135" s="135"/>
      <c r="E135" s="135"/>
      <c r="F135" s="135"/>
      <c r="G135" s="135"/>
      <c r="H135" s="135"/>
      <c r="I135" s="135"/>
      <c r="J135" s="135"/>
      <c r="K135" s="135"/>
      <c r="L135" s="135"/>
      <c r="M135" s="135"/>
      <c r="N135" s="135"/>
      <c r="O135" s="135"/>
      <c r="P135" s="135"/>
      <c r="Q135" s="135"/>
      <c r="R135" s="135"/>
      <c r="S135" s="135"/>
      <c r="T135" s="135"/>
      <c r="U135" s="135"/>
      <c r="V135" s="135"/>
      <c r="W135" s="135"/>
      <c r="X135" s="135"/>
      <c r="Y135" s="135"/>
      <c r="Z135" s="135"/>
      <c r="AA135" s="135"/>
      <c r="AB135" s="135"/>
      <c r="AC135" s="135"/>
      <c r="AD135" s="135"/>
      <c r="AE135" s="135"/>
      <c r="AF135" s="135"/>
      <c r="AG135" s="135"/>
      <c r="AH135" s="135"/>
      <c r="AI135" s="135"/>
      <c r="AJ135" s="135"/>
      <c r="AK135" s="135"/>
      <c r="AL135" s="135"/>
      <c r="AM135" s="135"/>
      <c r="AN135" s="135"/>
      <c r="AO135" s="135"/>
      <c r="AP135" s="135"/>
      <c r="AQ135" s="135"/>
    </row>
    <row r="136" spans="3:43" s="63" customFormat="1" ht="15.95" hidden="1" customHeight="1" x14ac:dyDescent="0.25">
      <c r="C136" s="135"/>
      <c r="D136" s="135"/>
      <c r="E136" s="135"/>
      <c r="F136" s="135"/>
      <c r="G136" s="135"/>
      <c r="H136" s="135"/>
      <c r="I136" s="135"/>
      <c r="J136" s="135"/>
      <c r="K136" s="135"/>
      <c r="L136" s="135"/>
      <c r="M136" s="135"/>
      <c r="N136" s="135"/>
      <c r="O136" s="135"/>
      <c r="P136" s="135"/>
      <c r="Q136" s="135"/>
      <c r="R136" s="135"/>
      <c r="S136" s="135"/>
      <c r="T136" s="135"/>
      <c r="U136" s="135"/>
      <c r="V136" s="135"/>
      <c r="W136" s="135"/>
      <c r="X136" s="135"/>
      <c r="Y136" s="135"/>
      <c r="Z136" s="135"/>
      <c r="AA136" s="135"/>
      <c r="AB136" s="135"/>
      <c r="AC136" s="135"/>
      <c r="AD136" s="135"/>
      <c r="AE136" s="135"/>
      <c r="AF136" s="135"/>
      <c r="AG136" s="135"/>
      <c r="AH136" s="135"/>
      <c r="AI136" s="135"/>
      <c r="AJ136" s="135"/>
      <c r="AK136" s="135"/>
      <c r="AL136" s="135"/>
      <c r="AM136" s="135"/>
      <c r="AN136" s="135"/>
      <c r="AO136" s="135"/>
      <c r="AP136" s="135"/>
      <c r="AQ136" s="135"/>
    </row>
    <row r="137" spans="3:43" s="63" customFormat="1" ht="15.95" hidden="1" customHeight="1" x14ac:dyDescent="0.25">
      <c r="C137" s="135"/>
      <c r="D137" s="135"/>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c r="AA137" s="135"/>
      <c r="AB137" s="135"/>
      <c r="AC137" s="135"/>
      <c r="AD137" s="135"/>
      <c r="AE137" s="135"/>
      <c r="AF137" s="135"/>
      <c r="AG137" s="135"/>
      <c r="AH137" s="135"/>
      <c r="AI137" s="135"/>
      <c r="AJ137" s="135"/>
      <c r="AK137" s="135"/>
      <c r="AL137" s="135"/>
      <c r="AM137" s="135"/>
      <c r="AN137" s="135"/>
      <c r="AO137" s="135"/>
      <c r="AP137" s="135"/>
      <c r="AQ137" s="135"/>
    </row>
    <row r="138" spans="3:43" s="63" customFormat="1" ht="15.95" hidden="1" customHeight="1" x14ac:dyDescent="0.25">
      <c r="C138" s="135"/>
      <c r="D138" s="135"/>
      <c r="E138" s="135"/>
      <c r="F138" s="135"/>
      <c r="G138" s="135"/>
      <c r="H138" s="135"/>
      <c r="I138" s="135"/>
      <c r="J138" s="135"/>
      <c r="K138" s="135"/>
      <c r="L138" s="135"/>
      <c r="M138" s="135"/>
      <c r="N138" s="135"/>
      <c r="O138" s="135"/>
      <c r="P138" s="135"/>
      <c r="Q138" s="135"/>
      <c r="R138" s="135"/>
      <c r="S138" s="135"/>
      <c r="T138" s="135"/>
      <c r="U138" s="135"/>
      <c r="V138" s="135"/>
      <c r="W138" s="135"/>
      <c r="X138" s="135"/>
      <c r="Y138" s="135"/>
      <c r="Z138" s="135"/>
      <c r="AA138" s="135"/>
      <c r="AB138" s="135"/>
      <c r="AC138" s="135"/>
      <c r="AD138" s="135"/>
      <c r="AE138" s="135"/>
      <c r="AF138" s="135"/>
      <c r="AG138" s="135"/>
      <c r="AH138" s="135"/>
      <c r="AI138" s="135"/>
      <c r="AJ138" s="135"/>
      <c r="AK138" s="135"/>
      <c r="AL138" s="135"/>
      <c r="AM138" s="135"/>
      <c r="AN138" s="135"/>
      <c r="AO138" s="135"/>
      <c r="AP138" s="135"/>
      <c r="AQ138" s="135"/>
    </row>
    <row r="139" spans="3:43" s="63" customFormat="1" ht="15.95" hidden="1" customHeight="1" x14ac:dyDescent="0.25">
      <c r="C139" s="135"/>
      <c r="D139" s="135"/>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5"/>
      <c r="AA139" s="135"/>
      <c r="AB139" s="135"/>
      <c r="AC139" s="135"/>
      <c r="AD139" s="135"/>
      <c r="AE139" s="135"/>
      <c r="AF139" s="135"/>
      <c r="AG139" s="135"/>
      <c r="AH139" s="135"/>
      <c r="AI139" s="135"/>
      <c r="AJ139" s="135"/>
      <c r="AK139" s="135"/>
      <c r="AL139" s="135"/>
      <c r="AM139" s="135"/>
      <c r="AN139" s="135"/>
      <c r="AO139" s="135"/>
      <c r="AP139" s="135"/>
      <c r="AQ139" s="135"/>
    </row>
    <row r="140" spans="3:43" s="63" customFormat="1" ht="15.95" hidden="1" customHeight="1" x14ac:dyDescent="0.25">
      <c r="C140" s="135"/>
      <c r="D140" s="135"/>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c r="AA140" s="135"/>
      <c r="AB140" s="135"/>
      <c r="AC140" s="135"/>
      <c r="AD140" s="135"/>
      <c r="AE140" s="135"/>
      <c r="AF140" s="135"/>
      <c r="AG140" s="135"/>
      <c r="AH140" s="135"/>
      <c r="AI140" s="135"/>
      <c r="AJ140" s="135"/>
      <c r="AK140" s="135"/>
      <c r="AL140" s="135"/>
      <c r="AM140" s="135"/>
      <c r="AN140" s="135"/>
      <c r="AO140" s="135"/>
      <c r="AP140" s="135"/>
      <c r="AQ140" s="135"/>
    </row>
    <row r="141" spans="3:43" s="63" customFormat="1" ht="15.95" hidden="1" customHeight="1" x14ac:dyDescent="0.25">
      <c r="C141" s="135"/>
      <c r="D141" s="135"/>
      <c r="E141" s="135"/>
      <c r="F141" s="135"/>
      <c r="G141" s="135"/>
      <c r="H141" s="135"/>
      <c r="I141" s="135"/>
      <c r="J141" s="135"/>
      <c r="K141" s="135"/>
      <c r="L141" s="135"/>
      <c r="M141" s="135"/>
      <c r="N141" s="135"/>
      <c r="O141" s="135"/>
      <c r="P141" s="135"/>
      <c r="Q141" s="135"/>
      <c r="R141" s="135"/>
      <c r="S141" s="135"/>
      <c r="T141" s="135"/>
      <c r="U141" s="135"/>
      <c r="V141" s="135"/>
      <c r="W141" s="135"/>
      <c r="X141" s="135"/>
      <c r="Y141" s="135"/>
      <c r="Z141" s="135"/>
      <c r="AA141" s="135"/>
      <c r="AB141" s="135"/>
      <c r="AC141" s="135"/>
      <c r="AD141" s="135"/>
      <c r="AE141" s="135"/>
      <c r="AF141" s="135"/>
      <c r="AG141" s="135"/>
      <c r="AH141" s="135"/>
      <c r="AI141" s="135"/>
      <c r="AJ141" s="135"/>
      <c r="AK141" s="135"/>
      <c r="AL141" s="135"/>
      <c r="AM141" s="135"/>
      <c r="AN141" s="135"/>
      <c r="AO141" s="135"/>
      <c r="AP141" s="135"/>
      <c r="AQ141" s="135"/>
    </row>
    <row r="142" spans="3:43" s="63" customFormat="1" ht="15.95" hidden="1" customHeight="1" x14ac:dyDescent="0.2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c r="AN142" s="135"/>
      <c r="AO142" s="135"/>
      <c r="AP142" s="135"/>
      <c r="AQ142" s="135"/>
    </row>
    <row r="143" spans="3:43" s="63" customFormat="1" ht="15.95" hidden="1" customHeight="1" x14ac:dyDescent="0.25">
      <c r="C143" s="135"/>
      <c r="D143" s="135"/>
      <c r="E143" s="135"/>
      <c r="F143" s="135"/>
      <c r="G143" s="135"/>
      <c r="H143" s="135"/>
      <c r="I143" s="135"/>
      <c r="J143" s="135"/>
      <c r="K143" s="135"/>
      <c r="L143" s="135"/>
      <c r="M143" s="135"/>
      <c r="N143" s="135"/>
      <c r="O143" s="135"/>
      <c r="P143" s="135"/>
      <c r="Q143" s="135"/>
      <c r="R143" s="135"/>
      <c r="S143" s="135"/>
      <c r="T143" s="135"/>
      <c r="U143" s="135"/>
      <c r="V143" s="135"/>
      <c r="W143" s="135"/>
      <c r="X143" s="135"/>
      <c r="Y143" s="135"/>
      <c r="Z143" s="135"/>
      <c r="AA143" s="135"/>
      <c r="AB143" s="135"/>
      <c r="AC143" s="135"/>
      <c r="AD143" s="135"/>
      <c r="AE143" s="135"/>
      <c r="AF143" s="135"/>
      <c r="AG143" s="135"/>
      <c r="AH143" s="135"/>
      <c r="AI143" s="135"/>
      <c r="AJ143" s="135"/>
      <c r="AK143" s="135"/>
      <c r="AL143" s="135"/>
      <c r="AM143" s="135"/>
      <c r="AN143" s="135"/>
      <c r="AO143" s="135"/>
      <c r="AP143" s="135"/>
      <c r="AQ143" s="135"/>
    </row>
    <row r="144" spans="3:43" s="63" customFormat="1" ht="15.95" hidden="1" customHeight="1" x14ac:dyDescent="0.25">
      <c r="C144" s="135"/>
      <c r="D144" s="135"/>
      <c r="E144" s="135"/>
      <c r="F144" s="135"/>
      <c r="G144" s="135"/>
      <c r="H144" s="135"/>
      <c r="I144" s="135"/>
      <c r="J144" s="135"/>
      <c r="K144" s="135"/>
      <c r="L144" s="135"/>
      <c r="M144" s="135"/>
      <c r="N144" s="135"/>
      <c r="O144" s="135"/>
      <c r="P144" s="135"/>
      <c r="Q144" s="135"/>
      <c r="R144" s="135"/>
      <c r="S144" s="135"/>
      <c r="T144" s="135"/>
      <c r="U144" s="135"/>
      <c r="V144" s="135"/>
      <c r="W144" s="135"/>
      <c r="X144" s="135"/>
      <c r="Y144" s="135"/>
      <c r="Z144" s="135"/>
      <c r="AA144" s="135"/>
      <c r="AB144" s="135"/>
      <c r="AC144" s="135"/>
      <c r="AD144" s="135"/>
      <c r="AE144" s="135"/>
      <c r="AF144" s="135"/>
      <c r="AG144" s="135"/>
      <c r="AH144" s="135"/>
      <c r="AI144" s="135"/>
      <c r="AJ144" s="135"/>
      <c r="AK144" s="135"/>
      <c r="AL144" s="135"/>
      <c r="AM144" s="135"/>
      <c r="AN144" s="135"/>
      <c r="AO144" s="135"/>
      <c r="AP144" s="135"/>
      <c r="AQ144" s="135"/>
    </row>
    <row r="145" spans="3:43" s="63" customFormat="1" ht="15.95" hidden="1" customHeight="1" x14ac:dyDescent="0.25">
      <c r="C145" s="135"/>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35"/>
      <c r="AN145" s="135"/>
      <c r="AO145" s="135"/>
      <c r="AP145" s="135"/>
      <c r="AQ145" s="135"/>
    </row>
    <row r="146" spans="3:43" s="63" customFormat="1" ht="15.95" hidden="1" customHeight="1" x14ac:dyDescent="0.25">
      <c r="C146" s="135"/>
      <c r="D146" s="135"/>
      <c r="E146" s="135"/>
      <c r="F146" s="135"/>
      <c r="G146" s="135"/>
      <c r="H146" s="135"/>
      <c r="I146" s="135"/>
      <c r="J146" s="135"/>
      <c r="K146" s="135"/>
      <c r="L146" s="135"/>
      <c r="M146" s="135"/>
      <c r="N146" s="135"/>
      <c r="O146" s="135"/>
      <c r="P146" s="135"/>
      <c r="Q146" s="135"/>
      <c r="R146" s="135"/>
      <c r="S146" s="135"/>
      <c r="T146" s="135"/>
      <c r="U146" s="135"/>
      <c r="V146" s="135"/>
      <c r="W146" s="135"/>
      <c r="X146" s="135"/>
      <c r="Y146" s="135"/>
      <c r="Z146" s="135"/>
      <c r="AA146" s="135"/>
      <c r="AB146" s="135"/>
      <c r="AC146" s="135"/>
      <c r="AD146" s="135"/>
      <c r="AE146" s="135"/>
      <c r="AF146" s="135"/>
      <c r="AG146" s="135"/>
      <c r="AH146" s="135"/>
      <c r="AI146" s="135"/>
      <c r="AJ146" s="135"/>
      <c r="AK146" s="135"/>
      <c r="AL146" s="135"/>
      <c r="AM146" s="135"/>
      <c r="AN146" s="135"/>
      <c r="AO146" s="135"/>
      <c r="AP146" s="135"/>
      <c r="AQ146" s="135"/>
    </row>
    <row r="147" spans="3:43" s="63" customFormat="1" ht="15.95" hidden="1" customHeight="1" x14ac:dyDescent="0.25">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135"/>
      <c r="AO147" s="135"/>
      <c r="AP147" s="135"/>
      <c r="AQ147" s="135"/>
    </row>
    <row r="148" spans="3:43" s="63" customFormat="1" ht="15.95" hidden="1" customHeight="1" x14ac:dyDescent="0.25">
      <c r="C148" s="135"/>
      <c r="D148" s="135"/>
      <c r="E148" s="135"/>
      <c r="F148" s="135"/>
      <c r="G148" s="135"/>
      <c r="H148" s="135"/>
      <c r="I148" s="135"/>
      <c r="J148" s="135"/>
      <c r="K148" s="135"/>
      <c r="L148" s="135"/>
      <c r="M148" s="135"/>
      <c r="N148" s="135"/>
      <c r="O148" s="135"/>
      <c r="P148" s="135"/>
      <c r="Q148" s="135"/>
      <c r="R148" s="135"/>
      <c r="S148" s="135"/>
      <c r="T148" s="135"/>
      <c r="U148" s="135"/>
      <c r="V148" s="135"/>
      <c r="W148" s="135"/>
      <c r="X148" s="135"/>
      <c r="Y148" s="135"/>
      <c r="Z148" s="135"/>
      <c r="AA148" s="135"/>
      <c r="AB148" s="135"/>
      <c r="AC148" s="135"/>
      <c r="AD148" s="135"/>
      <c r="AE148" s="135"/>
      <c r="AF148" s="135"/>
      <c r="AG148" s="135"/>
      <c r="AH148" s="135"/>
      <c r="AI148" s="135"/>
      <c r="AJ148" s="135"/>
      <c r="AK148" s="135"/>
      <c r="AL148" s="135"/>
      <c r="AM148" s="135"/>
      <c r="AN148" s="135"/>
      <c r="AO148" s="135"/>
      <c r="AP148" s="135"/>
      <c r="AQ148" s="135"/>
    </row>
    <row r="149" spans="3:43" s="63" customFormat="1" ht="15.95" hidden="1" customHeight="1" x14ac:dyDescent="0.25">
      <c r="C149" s="135"/>
      <c r="D149" s="135"/>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35"/>
      <c r="AJ149" s="135"/>
      <c r="AK149" s="135"/>
      <c r="AL149" s="135"/>
      <c r="AM149" s="135"/>
      <c r="AN149" s="135"/>
      <c r="AO149" s="135"/>
      <c r="AP149" s="135"/>
      <c r="AQ149" s="135"/>
    </row>
    <row r="150" spans="3:43" s="63" customFormat="1" ht="15.95" hidden="1" customHeight="1" x14ac:dyDescent="0.25">
      <c r="C150" s="135"/>
      <c r="D150" s="135"/>
      <c r="E150" s="135"/>
      <c r="F150" s="135"/>
      <c r="G150" s="135"/>
      <c r="H150" s="135"/>
      <c r="I150" s="135"/>
      <c r="J150" s="135"/>
      <c r="K150" s="135"/>
      <c r="L150" s="135"/>
      <c r="M150" s="135"/>
      <c r="N150" s="135"/>
      <c r="O150" s="135"/>
      <c r="P150" s="135"/>
      <c r="Q150" s="135"/>
      <c r="R150" s="135"/>
      <c r="S150" s="135"/>
      <c r="T150" s="135"/>
      <c r="U150" s="135"/>
      <c r="V150" s="135"/>
      <c r="W150" s="135"/>
      <c r="X150" s="135"/>
      <c r="Y150" s="135"/>
      <c r="Z150" s="135"/>
      <c r="AA150" s="135"/>
      <c r="AB150" s="135"/>
      <c r="AC150" s="135"/>
      <c r="AD150" s="135"/>
      <c r="AE150" s="135"/>
      <c r="AF150" s="135"/>
      <c r="AG150" s="135"/>
      <c r="AH150" s="135"/>
      <c r="AI150" s="135"/>
      <c r="AJ150" s="135"/>
      <c r="AK150" s="135"/>
      <c r="AL150" s="135"/>
      <c r="AM150" s="135"/>
      <c r="AN150" s="135"/>
      <c r="AO150" s="135"/>
      <c r="AP150" s="135"/>
      <c r="AQ150" s="135"/>
    </row>
    <row r="151" spans="3:43" s="63" customFormat="1" ht="15.95" hidden="1" customHeight="1" x14ac:dyDescent="0.25">
      <c r="C151" s="135"/>
      <c r="D151" s="135"/>
      <c r="E151" s="135"/>
      <c r="F151" s="135"/>
      <c r="G151" s="135"/>
      <c r="H151" s="135"/>
      <c r="I151" s="135"/>
      <c r="J151" s="135"/>
      <c r="K151" s="135"/>
      <c r="L151" s="135"/>
      <c r="M151" s="135"/>
      <c r="N151" s="135"/>
      <c r="O151" s="135"/>
      <c r="P151" s="135"/>
      <c r="Q151" s="135"/>
      <c r="R151" s="135"/>
      <c r="S151" s="135"/>
      <c r="T151" s="135"/>
      <c r="U151" s="135"/>
      <c r="V151" s="135"/>
      <c r="W151" s="135"/>
      <c r="X151" s="135"/>
      <c r="Y151" s="135"/>
      <c r="Z151" s="135"/>
      <c r="AA151" s="135"/>
      <c r="AB151" s="135"/>
      <c r="AC151" s="135"/>
      <c r="AD151" s="135"/>
      <c r="AE151" s="135"/>
      <c r="AF151" s="135"/>
      <c r="AG151" s="135"/>
      <c r="AH151" s="135"/>
      <c r="AI151" s="135"/>
      <c r="AJ151" s="135"/>
      <c r="AK151" s="135"/>
      <c r="AL151" s="135"/>
      <c r="AM151" s="135"/>
      <c r="AN151" s="135"/>
      <c r="AO151" s="135"/>
      <c r="AP151" s="135"/>
      <c r="AQ151" s="135"/>
    </row>
    <row r="152" spans="3:43" s="63" customFormat="1" ht="15.95" hidden="1" customHeight="1" x14ac:dyDescent="0.25">
      <c r="C152" s="135"/>
      <c r="D152" s="135"/>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5"/>
      <c r="AN152" s="135"/>
      <c r="AO152" s="135"/>
      <c r="AP152" s="135"/>
      <c r="AQ152" s="135"/>
    </row>
    <row r="153" spans="3:43" s="63" customFormat="1" ht="15.95" hidden="1" customHeight="1" x14ac:dyDescent="0.25">
      <c r="C153" s="135"/>
      <c r="D153" s="135"/>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c r="AA153" s="135"/>
      <c r="AB153" s="135"/>
      <c r="AC153" s="135"/>
      <c r="AD153" s="135"/>
      <c r="AE153" s="135"/>
      <c r="AF153" s="135"/>
      <c r="AG153" s="135"/>
      <c r="AH153" s="135"/>
      <c r="AI153" s="135"/>
      <c r="AJ153" s="135"/>
      <c r="AK153" s="135"/>
      <c r="AL153" s="135"/>
      <c r="AM153" s="135"/>
      <c r="AN153" s="135"/>
      <c r="AO153" s="135"/>
      <c r="AP153" s="135"/>
      <c r="AQ153" s="135"/>
    </row>
    <row r="154" spans="3:43" s="63" customFormat="1" ht="15.95" hidden="1" customHeight="1" x14ac:dyDescent="0.25">
      <c r="C154" s="135"/>
      <c r="D154" s="135"/>
      <c r="E154" s="135"/>
      <c r="F154" s="135"/>
      <c r="G154" s="135"/>
      <c r="H154" s="135"/>
      <c r="I154" s="135"/>
      <c r="J154" s="135"/>
      <c r="K154" s="135"/>
      <c r="L154" s="135"/>
      <c r="M154" s="135"/>
      <c r="N154" s="135"/>
      <c r="O154" s="135"/>
      <c r="P154" s="135"/>
      <c r="Q154" s="135"/>
      <c r="R154" s="135"/>
      <c r="S154" s="135"/>
      <c r="T154" s="135"/>
      <c r="U154" s="135"/>
      <c r="V154" s="135"/>
      <c r="W154" s="135"/>
      <c r="X154" s="135"/>
      <c r="Y154" s="135"/>
      <c r="Z154" s="135"/>
      <c r="AA154" s="135"/>
      <c r="AB154" s="135"/>
      <c r="AC154" s="135"/>
      <c r="AD154" s="135"/>
      <c r="AE154" s="135"/>
      <c r="AF154" s="135"/>
      <c r="AG154" s="135"/>
      <c r="AH154" s="135"/>
      <c r="AI154" s="135"/>
      <c r="AJ154" s="135"/>
      <c r="AK154" s="135"/>
      <c r="AL154" s="135"/>
      <c r="AM154" s="135"/>
      <c r="AN154" s="135"/>
      <c r="AO154" s="135"/>
      <c r="AP154" s="135"/>
      <c r="AQ154" s="135"/>
    </row>
    <row r="155" spans="3:43" s="63" customFormat="1" ht="15.95" hidden="1" customHeight="1" x14ac:dyDescent="0.25">
      <c r="C155" s="135"/>
      <c r="D155" s="135"/>
      <c r="E155" s="135"/>
      <c r="F155" s="135"/>
      <c r="G155" s="135"/>
      <c r="H155" s="135"/>
      <c r="I155" s="135"/>
      <c r="J155" s="135"/>
      <c r="K155" s="135"/>
      <c r="L155" s="135"/>
      <c r="M155" s="135"/>
      <c r="N155" s="135"/>
      <c r="O155" s="135"/>
      <c r="P155" s="135"/>
      <c r="Q155" s="135"/>
      <c r="R155" s="135"/>
      <c r="S155" s="135"/>
      <c r="T155" s="135"/>
      <c r="U155" s="135"/>
      <c r="V155" s="135"/>
      <c r="W155" s="135"/>
      <c r="X155" s="135"/>
      <c r="Y155" s="135"/>
      <c r="Z155" s="135"/>
      <c r="AA155" s="135"/>
      <c r="AB155" s="135"/>
      <c r="AC155" s="135"/>
      <c r="AD155" s="135"/>
      <c r="AE155" s="135"/>
      <c r="AF155" s="135"/>
      <c r="AG155" s="135"/>
      <c r="AH155" s="135"/>
      <c r="AI155" s="135"/>
      <c r="AJ155" s="135"/>
      <c r="AK155" s="135"/>
      <c r="AL155" s="135"/>
      <c r="AM155" s="135"/>
      <c r="AN155" s="135"/>
      <c r="AO155" s="135"/>
      <c r="AP155" s="135"/>
      <c r="AQ155" s="135"/>
    </row>
    <row r="156" spans="3:43" s="63" customFormat="1" ht="15.95" hidden="1" customHeight="1" x14ac:dyDescent="0.25">
      <c r="C156" s="135"/>
      <c r="D156" s="135"/>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5"/>
      <c r="AF156" s="135"/>
      <c r="AG156" s="135"/>
      <c r="AH156" s="135"/>
      <c r="AI156" s="135"/>
      <c r="AJ156" s="135"/>
      <c r="AK156" s="135"/>
      <c r="AL156" s="135"/>
      <c r="AM156" s="135"/>
      <c r="AN156" s="135"/>
      <c r="AO156" s="135"/>
      <c r="AP156" s="135"/>
      <c r="AQ156" s="135"/>
    </row>
    <row r="157" spans="3:43" s="63" customFormat="1" ht="15.95" hidden="1" customHeight="1" x14ac:dyDescent="0.25">
      <c r="C157" s="135"/>
      <c r="D157" s="135"/>
      <c r="E157" s="135"/>
      <c r="F157" s="135"/>
      <c r="G157" s="135"/>
      <c r="H157" s="135"/>
      <c r="I157" s="135"/>
      <c r="J157" s="135"/>
      <c r="K157" s="135"/>
      <c r="L157" s="135"/>
      <c r="M157" s="135"/>
      <c r="N157" s="135"/>
      <c r="O157" s="135"/>
      <c r="P157" s="135"/>
      <c r="Q157" s="135"/>
      <c r="R157" s="135"/>
      <c r="S157" s="135"/>
      <c r="T157" s="135"/>
      <c r="U157" s="135"/>
      <c r="V157" s="135"/>
      <c r="W157" s="135"/>
      <c r="X157" s="135"/>
      <c r="Y157" s="135"/>
      <c r="Z157" s="135"/>
      <c r="AA157" s="135"/>
      <c r="AB157" s="135"/>
      <c r="AC157" s="135"/>
      <c r="AD157" s="135"/>
      <c r="AE157" s="135"/>
      <c r="AF157" s="135"/>
      <c r="AG157" s="135"/>
      <c r="AH157" s="135"/>
      <c r="AI157" s="135"/>
      <c r="AJ157" s="135"/>
      <c r="AK157" s="135"/>
      <c r="AL157" s="135"/>
      <c r="AM157" s="135"/>
      <c r="AN157" s="135"/>
      <c r="AO157" s="135"/>
      <c r="AP157" s="135"/>
      <c r="AQ157" s="135"/>
    </row>
    <row r="158" spans="3:43" s="63" customFormat="1" ht="15.95" hidden="1" customHeight="1" x14ac:dyDescent="0.25">
      <c r="C158" s="135"/>
      <c r="D158" s="135"/>
      <c r="E158" s="135"/>
      <c r="F158" s="135"/>
      <c r="G158" s="135"/>
      <c r="H158" s="135"/>
      <c r="I158" s="135"/>
      <c r="J158" s="135"/>
      <c r="K158" s="135"/>
      <c r="L158" s="135"/>
      <c r="M158" s="135"/>
      <c r="N158" s="135"/>
      <c r="O158" s="135"/>
      <c r="P158" s="135"/>
      <c r="Q158" s="135"/>
      <c r="R158" s="135"/>
      <c r="S158" s="135"/>
      <c r="T158" s="135"/>
      <c r="U158" s="135"/>
      <c r="V158" s="135"/>
      <c r="W158" s="135"/>
      <c r="X158" s="135"/>
      <c r="Y158" s="135"/>
      <c r="Z158" s="135"/>
      <c r="AA158" s="135"/>
      <c r="AB158" s="135"/>
      <c r="AC158" s="135"/>
      <c r="AD158" s="135"/>
      <c r="AE158" s="135"/>
      <c r="AF158" s="135"/>
      <c r="AG158" s="135"/>
      <c r="AH158" s="135"/>
      <c r="AI158" s="135"/>
      <c r="AJ158" s="135"/>
      <c r="AK158" s="135"/>
      <c r="AL158" s="135"/>
      <c r="AM158" s="135"/>
      <c r="AN158" s="135"/>
      <c r="AO158" s="135"/>
      <c r="AP158" s="135"/>
      <c r="AQ158" s="135"/>
    </row>
    <row r="159" spans="3:43" s="63" customFormat="1" ht="15.95" hidden="1" customHeight="1" x14ac:dyDescent="0.25">
      <c r="C159" s="135"/>
      <c r="D159" s="135"/>
      <c r="E159" s="135"/>
      <c r="F159" s="135"/>
      <c r="G159" s="135"/>
      <c r="H159" s="135"/>
      <c r="I159" s="135"/>
      <c r="J159" s="135"/>
      <c r="K159" s="135"/>
      <c r="L159" s="135"/>
      <c r="M159" s="135"/>
      <c r="N159" s="135"/>
      <c r="O159" s="135"/>
      <c r="P159" s="135"/>
      <c r="Q159" s="135"/>
      <c r="R159" s="135"/>
      <c r="S159" s="135"/>
      <c r="T159" s="135"/>
      <c r="U159" s="135"/>
      <c r="V159" s="135"/>
      <c r="W159" s="135"/>
      <c r="X159" s="135"/>
      <c r="Y159" s="135"/>
      <c r="Z159" s="135"/>
      <c r="AA159" s="135"/>
      <c r="AB159" s="135"/>
      <c r="AC159" s="135"/>
      <c r="AD159" s="135"/>
      <c r="AE159" s="135"/>
      <c r="AF159" s="135"/>
      <c r="AG159" s="135"/>
      <c r="AH159" s="135"/>
      <c r="AI159" s="135"/>
      <c r="AJ159" s="135"/>
      <c r="AK159" s="135"/>
      <c r="AL159" s="135"/>
      <c r="AM159" s="135"/>
      <c r="AN159" s="135"/>
      <c r="AO159" s="135"/>
      <c r="AP159" s="135"/>
      <c r="AQ159" s="135"/>
    </row>
    <row r="160" spans="3:43" s="63" customFormat="1" ht="15.95" hidden="1" customHeight="1" x14ac:dyDescent="0.25">
      <c r="C160" s="135"/>
      <c r="D160" s="135"/>
      <c r="E160" s="135"/>
      <c r="F160" s="135"/>
      <c r="G160" s="135"/>
      <c r="H160" s="135"/>
      <c r="I160" s="135"/>
      <c r="J160" s="135"/>
      <c r="K160" s="135"/>
      <c r="L160" s="135"/>
      <c r="M160" s="135"/>
      <c r="N160" s="135"/>
      <c r="O160" s="135"/>
      <c r="P160" s="135"/>
      <c r="Q160" s="135"/>
      <c r="R160" s="135"/>
      <c r="S160" s="135"/>
      <c r="T160" s="135"/>
      <c r="U160" s="135"/>
      <c r="V160" s="135"/>
      <c r="W160" s="135"/>
      <c r="X160" s="135"/>
      <c r="Y160" s="135"/>
      <c r="Z160" s="135"/>
      <c r="AA160" s="135"/>
      <c r="AB160" s="135"/>
      <c r="AC160" s="135"/>
      <c r="AD160" s="135"/>
      <c r="AE160" s="135"/>
      <c r="AF160" s="135"/>
      <c r="AG160" s="135"/>
      <c r="AH160" s="135"/>
      <c r="AI160" s="135"/>
      <c r="AJ160" s="135"/>
      <c r="AK160" s="135"/>
      <c r="AL160" s="135"/>
      <c r="AM160" s="135"/>
      <c r="AN160" s="135"/>
      <c r="AO160" s="135"/>
      <c r="AP160" s="135"/>
      <c r="AQ160" s="135"/>
    </row>
    <row r="161" spans="3:43" s="63" customFormat="1" ht="15.95" hidden="1" customHeight="1" x14ac:dyDescent="0.25">
      <c r="C161" s="135"/>
      <c r="D161" s="135"/>
      <c r="E161" s="135"/>
      <c r="F161" s="135"/>
      <c r="G161" s="135"/>
      <c r="H161" s="135"/>
      <c r="I161" s="135"/>
      <c r="J161" s="135"/>
      <c r="K161" s="135"/>
      <c r="L161" s="135"/>
      <c r="M161" s="135"/>
      <c r="N161" s="135"/>
      <c r="O161" s="135"/>
      <c r="P161" s="135"/>
      <c r="Q161" s="135"/>
      <c r="R161" s="135"/>
      <c r="S161" s="135"/>
      <c r="T161" s="135"/>
      <c r="U161" s="135"/>
      <c r="V161" s="135"/>
      <c r="W161" s="135"/>
      <c r="X161" s="135"/>
      <c r="Y161" s="135"/>
      <c r="Z161" s="135"/>
      <c r="AA161" s="135"/>
      <c r="AB161" s="135"/>
      <c r="AC161" s="135"/>
      <c r="AD161" s="135"/>
      <c r="AE161" s="135"/>
      <c r="AF161" s="135"/>
      <c r="AG161" s="135"/>
      <c r="AH161" s="135"/>
      <c r="AI161" s="135"/>
      <c r="AJ161" s="135"/>
      <c r="AK161" s="135"/>
      <c r="AL161" s="135"/>
      <c r="AM161" s="135"/>
      <c r="AN161" s="135"/>
      <c r="AO161" s="135"/>
      <c r="AP161" s="135"/>
      <c r="AQ161" s="135"/>
    </row>
    <row r="162" spans="3:43" s="63" customFormat="1" ht="15.95" hidden="1" customHeight="1" x14ac:dyDescent="0.25">
      <c r="C162" s="135"/>
      <c r="D162" s="135"/>
      <c r="E162" s="135"/>
      <c r="F162" s="135"/>
      <c r="G162" s="135"/>
      <c r="H162" s="135"/>
      <c r="I162" s="135"/>
      <c r="J162" s="135"/>
      <c r="K162" s="135"/>
      <c r="L162" s="135"/>
      <c r="M162" s="135"/>
      <c r="N162" s="135"/>
      <c r="O162" s="135"/>
      <c r="P162" s="135"/>
      <c r="Q162" s="135"/>
      <c r="R162" s="135"/>
      <c r="S162" s="135"/>
      <c r="T162" s="135"/>
      <c r="U162" s="135"/>
      <c r="V162" s="135"/>
      <c r="W162" s="135"/>
      <c r="X162" s="135"/>
      <c r="Y162" s="135"/>
      <c r="Z162" s="135"/>
      <c r="AA162" s="135"/>
      <c r="AB162" s="135"/>
      <c r="AC162" s="135"/>
      <c r="AD162" s="135"/>
      <c r="AE162" s="135"/>
      <c r="AF162" s="135"/>
      <c r="AG162" s="135"/>
      <c r="AH162" s="135"/>
      <c r="AI162" s="135"/>
      <c r="AJ162" s="135"/>
      <c r="AK162" s="135"/>
      <c r="AL162" s="135"/>
      <c r="AM162" s="135"/>
      <c r="AN162" s="135"/>
      <c r="AO162" s="135"/>
      <c r="AP162" s="135"/>
      <c r="AQ162" s="135"/>
    </row>
    <row r="163" spans="3:43" s="63" customFormat="1" ht="15.95" hidden="1" customHeight="1" x14ac:dyDescent="0.25">
      <c r="C163" s="135"/>
      <c r="D163" s="135"/>
      <c r="E163" s="135"/>
      <c r="F163" s="135"/>
      <c r="G163" s="135"/>
      <c r="H163" s="135"/>
      <c r="I163" s="135"/>
      <c r="J163" s="135"/>
      <c r="K163" s="135"/>
      <c r="L163" s="135"/>
      <c r="M163" s="135"/>
      <c r="N163" s="135"/>
      <c r="O163" s="135"/>
      <c r="P163" s="135"/>
      <c r="Q163" s="135"/>
      <c r="R163" s="135"/>
      <c r="S163" s="135"/>
      <c r="T163" s="135"/>
      <c r="U163" s="135"/>
      <c r="V163" s="135"/>
      <c r="W163" s="135"/>
      <c r="X163" s="135"/>
      <c r="Y163" s="135"/>
      <c r="Z163" s="135"/>
      <c r="AA163" s="135"/>
      <c r="AB163" s="135"/>
      <c r="AC163" s="135"/>
      <c r="AD163" s="135"/>
      <c r="AE163" s="135"/>
      <c r="AF163" s="135"/>
      <c r="AG163" s="135"/>
      <c r="AH163" s="135"/>
      <c r="AI163" s="135"/>
      <c r="AJ163" s="135"/>
      <c r="AK163" s="135"/>
      <c r="AL163" s="135"/>
      <c r="AM163" s="135"/>
      <c r="AN163" s="135"/>
      <c r="AO163" s="135"/>
      <c r="AP163" s="135"/>
      <c r="AQ163" s="135"/>
    </row>
    <row r="164" spans="3:43" s="63" customFormat="1" ht="15.95" hidden="1" customHeight="1" x14ac:dyDescent="0.25">
      <c r="C164" s="135"/>
      <c r="D164" s="135"/>
      <c r="E164" s="135"/>
      <c r="F164" s="135"/>
      <c r="G164" s="135"/>
      <c r="H164" s="135"/>
      <c r="I164" s="135"/>
      <c r="J164" s="135"/>
      <c r="K164" s="135"/>
      <c r="L164" s="135"/>
      <c r="M164" s="135"/>
      <c r="N164" s="135"/>
      <c r="O164" s="135"/>
      <c r="P164" s="135"/>
      <c r="Q164" s="135"/>
      <c r="R164" s="135"/>
      <c r="S164" s="135"/>
      <c r="T164" s="135"/>
      <c r="U164" s="135"/>
      <c r="V164" s="135"/>
      <c r="W164" s="135"/>
      <c r="X164" s="135"/>
      <c r="Y164" s="135"/>
      <c r="Z164" s="135"/>
      <c r="AA164" s="135"/>
      <c r="AB164" s="135"/>
      <c r="AC164" s="135"/>
      <c r="AD164" s="135"/>
      <c r="AE164" s="135"/>
      <c r="AF164" s="135"/>
      <c r="AG164" s="135"/>
      <c r="AH164" s="135"/>
      <c r="AI164" s="135"/>
      <c r="AJ164" s="135"/>
      <c r="AK164" s="135"/>
      <c r="AL164" s="135"/>
      <c r="AM164" s="135"/>
      <c r="AN164" s="135"/>
      <c r="AO164" s="135"/>
      <c r="AP164" s="135"/>
      <c r="AQ164" s="135"/>
    </row>
    <row r="165" spans="3:43" s="63" customFormat="1" ht="15.95" hidden="1" customHeight="1" x14ac:dyDescent="0.25">
      <c r="C165" s="135"/>
      <c r="D165" s="135"/>
      <c r="E165" s="135"/>
      <c r="F165" s="135"/>
      <c r="G165" s="135"/>
      <c r="H165" s="135"/>
      <c r="I165" s="135"/>
      <c r="J165" s="135"/>
      <c r="K165" s="135"/>
      <c r="L165" s="135"/>
      <c r="M165" s="135"/>
      <c r="N165" s="135"/>
      <c r="O165" s="135"/>
      <c r="P165" s="135"/>
      <c r="Q165" s="135"/>
      <c r="R165" s="135"/>
      <c r="S165" s="135"/>
      <c r="T165" s="135"/>
      <c r="U165" s="135"/>
      <c r="V165" s="135"/>
      <c r="W165" s="135"/>
      <c r="X165" s="135"/>
      <c r="Y165" s="135"/>
      <c r="Z165" s="135"/>
      <c r="AA165" s="135"/>
      <c r="AB165" s="135"/>
      <c r="AC165" s="135"/>
      <c r="AD165" s="135"/>
      <c r="AE165" s="135"/>
      <c r="AF165" s="135"/>
      <c r="AG165" s="135"/>
      <c r="AH165" s="135"/>
      <c r="AI165" s="135"/>
      <c r="AJ165" s="135"/>
      <c r="AK165" s="135"/>
      <c r="AL165" s="135"/>
      <c r="AM165" s="135"/>
      <c r="AN165" s="135"/>
      <c r="AO165" s="135"/>
      <c r="AP165" s="135"/>
      <c r="AQ165" s="135"/>
    </row>
    <row r="166" spans="3:43" s="63" customFormat="1" ht="15.95" hidden="1" customHeight="1" x14ac:dyDescent="0.25">
      <c r="C166" s="135"/>
      <c r="D166" s="135"/>
      <c r="E166" s="135"/>
      <c r="F166" s="135"/>
      <c r="G166" s="135"/>
      <c r="H166" s="135"/>
      <c r="I166" s="135"/>
      <c r="J166" s="135"/>
      <c r="K166" s="135"/>
      <c r="L166" s="135"/>
      <c r="M166" s="135"/>
      <c r="N166" s="135"/>
      <c r="O166" s="135"/>
      <c r="P166" s="135"/>
      <c r="Q166" s="135"/>
      <c r="R166" s="135"/>
      <c r="S166" s="135"/>
      <c r="T166" s="135"/>
      <c r="U166" s="135"/>
      <c r="V166" s="135"/>
      <c r="W166" s="135"/>
      <c r="X166" s="135"/>
      <c r="Y166" s="135"/>
      <c r="Z166" s="135"/>
      <c r="AA166" s="135"/>
      <c r="AB166" s="135"/>
      <c r="AC166" s="135"/>
      <c r="AD166" s="135"/>
      <c r="AE166" s="135"/>
      <c r="AF166" s="135"/>
      <c r="AG166" s="135"/>
      <c r="AH166" s="135"/>
      <c r="AI166" s="135"/>
      <c r="AJ166" s="135"/>
      <c r="AK166" s="135"/>
      <c r="AL166" s="135"/>
      <c r="AM166" s="135"/>
      <c r="AN166" s="135"/>
      <c r="AO166" s="135"/>
      <c r="AP166" s="135"/>
      <c r="AQ166" s="135"/>
    </row>
    <row r="167" spans="3:43" s="63" customFormat="1" ht="15.95" hidden="1" customHeight="1" x14ac:dyDescent="0.25">
      <c r="C167" s="135"/>
      <c r="D167" s="135"/>
      <c r="E167" s="135"/>
      <c r="F167" s="135"/>
      <c r="G167" s="135"/>
      <c r="H167" s="135"/>
      <c r="I167" s="135"/>
      <c r="J167" s="135"/>
      <c r="K167" s="135"/>
      <c r="L167" s="135"/>
      <c r="M167" s="135"/>
      <c r="N167" s="135"/>
      <c r="O167" s="135"/>
      <c r="P167" s="135"/>
      <c r="Q167" s="135"/>
      <c r="R167" s="135"/>
      <c r="S167" s="135"/>
      <c r="T167" s="135"/>
      <c r="U167" s="135"/>
      <c r="V167" s="135"/>
      <c r="W167" s="135"/>
      <c r="X167" s="135"/>
      <c r="Y167" s="135"/>
      <c r="Z167" s="135"/>
      <c r="AA167" s="135"/>
      <c r="AB167" s="135"/>
      <c r="AC167" s="135"/>
      <c r="AD167" s="135"/>
      <c r="AE167" s="135"/>
      <c r="AF167" s="135"/>
      <c r="AG167" s="135"/>
      <c r="AH167" s="135"/>
      <c r="AI167" s="135"/>
      <c r="AJ167" s="135"/>
      <c r="AK167" s="135"/>
      <c r="AL167" s="135"/>
      <c r="AM167" s="135"/>
      <c r="AN167" s="135"/>
      <c r="AO167" s="135"/>
      <c r="AP167" s="135"/>
      <c r="AQ167" s="135"/>
    </row>
    <row r="168" spans="3:43" s="63" customFormat="1" ht="15.95" hidden="1" customHeight="1" x14ac:dyDescent="0.25">
      <c r="C168" s="135"/>
      <c r="D168" s="135"/>
      <c r="E168" s="135"/>
      <c r="F168" s="135"/>
      <c r="G168" s="135"/>
      <c r="H168" s="135"/>
      <c r="I168" s="135"/>
      <c r="J168" s="135"/>
      <c r="K168" s="135"/>
      <c r="L168" s="135"/>
      <c r="M168" s="135"/>
      <c r="N168" s="135"/>
      <c r="O168" s="135"/>
      <c r="P168" s="135"/>
      <c r="Q168" s="135"/>
      <c r="R168" s="135"/>
      <c r="S168" s="135"/>
      <c r="T168" s="135"/>
      <c r="U168" s="135"/>
      <c r="V168" s="135"/>
      <c r="W168" s="135"/>
      <c r="X168" s="135"/>
      <c r="Y168" s="135"/>
      <c r="Z168" s="135"/>
      <c r="AA168" s="135"/>
      <c r="AB168" s="135"/>
      <c r="AC168" s="135"/>
      <c r="AD168" s="135"/>
      <c r="AE168" s="135"/>
      <c r="AF168" s="135"/>
      <c r="AG168" s="135"/>
      <c r="AH168" s="135"/>
      <c r="AI168" s="135"/>
      <c r="AJ168" s="135"/>
      <c r="AK168" s="135"/>
      <c r="AL168" s="135"/>
      <c r="AM168" s="135"/>
      <c r="AN168" s="135"/>
      <c r="AO168" s="135"/>
      <c r="AP168" s="135"/>
      <c r="AQ168" s="135"/>
    </row>
    <row r="169" spans="3:43" s="63" customFormat="1" ht="15.95" hidden="1" customHeight="1" x14ac:dyDescent="0.25">
      <c r="C169" s="135"/>
      <c r="D169" s="135"/>
      <c r="E169" s="135"/>
      <c r="F169" s="135"/>
      <c r="G169" s="135"/>
      <c r="H169" s="135"/>
      <c r="I169" s="135"/>
      <c r="J169" s="135"/>
      <c r="K169" s="135"/>
      <c r="L169" s="135"/>
      <c r="M169" s="135"/>
      <c r="N169" s="135"/>
      <c r="O169" s="135"/>
      <c r="P169" s="135"/>
      <c r="Q169" s="135"/>
      <c r="R169" s="135"/>
      <c r="S169" s="135"/>
      <c r="T169" s="135"/>
      <c r="U169" s="135"/>
      <c r="V169" s="135"/>
      <c r="W169" s="135"/>
      <c r="X169" s="135"/>
      <c r="Y169" s="135"/>
      <c r="Z169" s="135"/>
      <c r="AA169" s="135"/>
      <c r="AB169" s="135"/>
      <c r="AC169" s="135"/>
      <c r="AD169" s="135"/>
      <c r="AE169" s="135"/>
      <c r="AF169" s="135"/>
      <c r="AG169" s="135"/>
      <c r="AH169" s="135"/>
      <c r="AI169" s="135"/>
      <c r="AJ169" s="135"/>
      <c r="AK169" s="135"/>
      <c r="AL169" s="135"/>
      <c r="AM169" s="135"/>
      <c r="AN169" s="135"/>
      <c r="AO169" s="135"/>
      <c r="AP169" s="135"/>
      <c r="AQ169" s="135"/>
    </row>
    <row r="170" spans="3:43" s="63" customFormat="1" ht="15.95" hidden="1" customHeight="1" x14ac:dyDescent="0.25">
      <c r="C170" s="135"/>
      <c r="D170" s="135"/>
      <c r="E170" s="135"/>
      <c r="F170" s="135"/>
      <c r="G170" s="135"/>
      <c r="H170" s="135"/>
      <c r="I170" s="135"/>
      <c r="J170" s="135"/>
      <c r="K170" s="135"/>
      <c r="L170" s="135"/>
      <c r="M170" s="135"/>
      <c r="N170" s="135"/>
      <c r="O170" s="135"/>
      <c r="P170" s="135"/>
      <c r="Q170" s="135"/>
      <c r="R170" s="135"/>
      <c r="S170" s="135"/>
      <c r="T170" s="135"/>
      <c r="U170" s="135"/>
      <c r="V170" s="135"/>
      <c r="W170" s="135"/>
      <c r="X170" s="135"/>
      <c r="Y170" s="135"/>
      <c r="Z170" s="135"/>
      <c r="AA170" s="135"/>
      <c r="AB170" s="135"/>
      <c r="AC170" s="135"/>
      <c r="AD170" s="135"/>
      <c r="AE170" s="135"/>
      <c r="AF170" s="135"/>
      <c r="AG170" s="135"/>
      <c r="AH170" s="135"/>
      <c r="AI170" s="135"/>
      <c r="AJ170" s="135"/>
      <c r="AK170" s="135"/>
      <c r="AL170" s="135"/>
      <c r="AM170" s="135"/>
      <c r="AN170" s="135"/>
      <c r="AO170" s="135"/>
      <c r="AP170" s="135"/>
      <c r="AQ170" s="135"/>
    </row>
    <row r="171" spans="3:43" s="63" customFormat="1" ht="15.95" hidden="1" customHeight="1" x14ac:dyDescent="0.25">
      <c r="C171" s="135"/>
      <c r="D171" s="135"/>
      <c r="E171" s="135"/>
      <c r="F171" s="135"/>
      <c r="G171" s="135"/>
      <c r="H171" s="135"/>
      <c r="I171" s="135"/>
      <c r="J171" s="135"/>
      <c r="K171" s="135"/>
      <c r="L171" s="135"/>
      <c r="M171" s="135"/>
      <c r="N171" s="135"/>
      <c r="O171" s="135"/>
      <c r="P171" s="135"/>
      <c r="Q171" s="135"/>
      <c r="R171" s="135"/>
      <c r="S171" s="135"/>
      <c r="T171" s="135"/>
      <c r="U171" s="135"/>
      <c r="V171" s="135"/>
      <c r="W171" s="135"/>
      <c r="X171" s="135"/>
      <c r="Y171" s="135"/>
      <c r="Z171" s="135"/>
      <c r="AA171" s="135"/>
      <c r="AB171" s="135"/>
      <c r="AC171" s="135"/>
      <c r="AD171" s="135"/>
      <c r="AE171" s="135"/>
      <c r="AF171" s="135"/>
      <c r="AG171" s="135"/>
      <c r="AH171" s="135"/>
      <c r="AI171" s="135"/>
      <c r="AJ171" s="135"/>
      <c r="AK171" s="135"/>
      <c r="AL171" s="135"/>
      <c r="AM171" s="135"/>
      <c r="AN171" s="135"/>
      <c r="AO171" s="135"/>
      <c r="AP171" s="135"/>
      <c r="AQ171" s="135"/>
    </row>
    <row r="172" spans="3:43" s="63" customFormat="1" ht="15.95" hidden="1" customHeight="1" x14ac:dyDescent="0.25">
      <c r="C172" s="135"/>
      <c r="D172" s="135"/>
      <c r="E172" s="135"/>
      <c r="F172" s="135"/>
      <c r="G172" s="135"/>
      <c r="H172" s="135"/>
      <c r="I172" s="135"/>
      <c r="J172" s="135"/>
      <c r="K172" s="135"/>
      <c r="L172" s="135"/>
      <c r="M172" s="135"/>
      <c r="N172" s="135"/>
      <c r="O172" s="135"/>
      <c r="P172" s="135"/>
      <c r="Q172" s="135"/>
      <c r="R172" s="135"/>
      <c r="S172" s="135"/>
      <c r="T172" s="135"/>
      <c r="U172" s="135"/>
      <c r="V172" s="135"/>
      <c r="W172" s="135"/>
      <c r="X172" s="135"/>
      <c r="Y172" s="135"/>
      <c r="Z172" s="135"/>
      <c r="AA172" s="135"/>
      <c r="AB172" s="135"/>
      <c r="AC172" s="135"/>
      <c r="AD172" s="135"/>
      <c r="AE172" s="135"/>
      <c r="AF172" s="135"/>
      <c r="AG172" s="135"/>
      <c r="AH172" s="135"/>
      <c r="AI172" s="135"/>
      <c r="AJ172" s="135"/>
      <c r="AK172" s="135"/>
      <c r="AL172" s="135"/>
      <c r="AM172" s="135"/>
      <c r="AN172" s="135"/>
      <c r="AO172" s="135"/>
      <c r="AP172" s="135"/>
      <c r="AQ172" s="135"/>
    </row>
    <row r="173" spans="3:43" s="63" customFormat="1" ht="15.95" hidden="1" customHeight="1" x14ac:dyDescent="0.25">
      <c r="C173" s="135"/>
      <c r="D173" s="135"/>
      <c r="E173" s="135"/>
      <c r="F173" s="135"/>
      <c r="G173" s="135"/>
      <c r="H173" s="135"/>
      <c r="I173" s="135"/>
      <c r="J173" s="135"/>
      <c r="K173" s="135"/>
      <c r="L173" s="135"/>
      <c r="M173" s="135"/>
      <c r="N173" s="135"/>
      <c r="O173" s="135"/>
      <c r="P173" s="135"/>
      <c r="Q173" s="135"/>
      <c r="R173" s="135"/>
      <c r="S173" s="135"/>
      <c r="T173" s="135"/>
      <c r="U173" s="135"/>
      <c r="V173" s="135"/>
      <c r="W173" s="135"/>
      <c r="X173" s="135"/>
      <c r="Y173" s="135"/>
      <c r="Z173" s="135"/>
      <c r="AA173" s="135"/>
      <c r="AB173" s="135"/>
      <c r="AC173" s="135"/>
      <c r="AD173" s="135"/>
      <c r="AE173" s="135"/>
      <c r="AF173" s="135"/>
      <c r="AG173" s="135"/>
      <c r="AH173" s="135"/>
      <c r="AI173" s="135"/>
      <c r="AJ173" s="135"/>
      <c r="AK173" s="135"/>
      <c r="AL173" s="135"/>
      <c r="AM173" s="135"/>
      <c r="AN173" s="135"/>
      <c r="AO173" s="135"/>
      <c r="AP173" s="135"/>
      <c r="AQ173" s="135"/>
    </row>
    <row r="174" spans="3:43" s="63" customFormat="1" ht="15.95" hidden="1" customHeight="1" x14ac:dyDescent="0.25">
      <c r="C174" s="135"/>
      <c r="D174" s="135"/>
      <c r="E174" s="135"/>
      <c r="F174" s="135"/>
      <c r="G174" s="135"/>
      <c r="H174" s="135"/>
      <c r="I174" s="135"/>
      <c r="J174" s="135"/>
      <c r="K174" s="135"/>
      <c r="L174" s="135"/>
      <c r="M174" s="135"/>
      <c r="N174" s="135"/>
      <c r="O174" s="135"/>
      <c r="P174" s="135"/>
      <c r="Q174" s="135"/>
      <c r="R174" s="135"/>
      <c r="S174" s="135"/>
      <c r="T174" s="135"/>
      <c r="U174" s="135"/>
      <c r="V174" s="135"/>
      <c r="W174" s="135"/>
      <c r="X174" s="135"/>
      <c r="Y174" s="135"/>
      <c r="Z174" s="135"/>
      <c r="AA174" s="135"/>
      <c r="AB174" s="135"/>
      <c r="AC174" s="135"/>
      <c r="AD174" s="135"/>
      <c r="AE174" s="135"/>
      <c r="AF174" s="135"/>
      <c r="AG174" s="135"/>
      <c r="AH174" s="135"/>
      <c r="AI174" s="135"/>
      <c r="AJ174" s="135"/>
      <c r="AK174" s="135"/>
      <c r="AL174" s="135"/>
      <c r="AM174" s="135"/>
      <c r="AN174" s="135"/>
      <c r="AO174" s="135"/>
      <c r="AP174" s="135"/>
      <c r="AQ174" s="135"/>
    </row>
    <row r="175" spans="3:43" s="63" customFormat="1" ht="15.95" hidden="1" customHeight="1" x14ac:dyDescent="0.25">
      <c r="C175" s="135"/>
      <c r="D175" s="135"/>
      <c r="E175" s="135"/>
      <c r="F175" s="135"/>
      <c r="G175" s="135"/>
      <c r="H175" s="135"/>
      <c r="I175" s="135"/>
      <c r="J175" s="135"/>
      <c r="K175" s="135"/>
      <c r="L175" s="135"/>
      <c r="M175" s="135"/>
      <c r="N175" s="135"/>
      <c r="O175" s="135"/>
      <c r="P175" s="135"/>
      <c r="Q175" s="135"/>
      <c r="R175" s="135"/>
      <c r="S175" s="135"/>
      <c r="T175" s="135"/>
      <c r="U175" s="135"/>
      <c r="V175" s="135"/>
      <c r="W175" s="135"/>
      <c r="X175" s="135"/>
      <c r="Y175" s="135"/>
      <c r="Z175" s="135"/>
      <c r="AA175" s="135"/>
      <c r="AB175" s="135"/>
      <c r="AC175" s="135"/>
      <c r="AD175" s="135"/>
      <c r="AE175" s="135"/>
      <c r="AF175" s="135"/>
      <c r="AG175" s="135"/>
      <c r="AH175" s="135"/>
      <c r="AI175" s="135"/>
      <c r="AJ175" s="135"/>
      <c r="AK175" s="135"/>
      <c r="AL175" s="135"/>
      <c r="AM175" s="135"/>
      <c r="AN175" s="135"/>
      <c r="AO175" s="135"/>
      <c r="AP175" s="135"/>
      <c r="AQ175" s="135"/>
    </row>
    <row r="176" spans="3:43" s="63" customFormat="1" ht="15.95" hidden="1" customHeight="1" x14ac:dyDescent="0.25">
      <c r="C176" s="135"/>
      <c r="D176" s="135"/>
      <c r="E176" s="135"/>
      <c r="F176" s="135"/>
      <c r="G176" s="135"/>
      <c r="H176" s="135"/>
      <c r="I176" s="135"/>
      <c r="J176" s="135"/>
      <c r="K176" s="135"/>
      <c r="L176" s="135"/>
      <c r="M176" s="135"/>
      <c r="N176" s="135"/>
      <c r="O176" s="135"/>
      <c r="P176" s="135"/>
      <c r="Q176" s="135"/>
      <c r="R176" s="135"/>
      <c r="S176" s="135"/>
      <c r="T176" s="135"/>
      <c r="U176" s="135"/>
      <c r="V176" s="135"/>
      <c r="W176" s="135"/>
      <c r="X176" s="135"/>
      <c r="Y176" s="135"/>
      <c r="Z176" s="135"/>
      <c r="AA176" s="135"/>
      <c r="AB176" s="135"/>
      <c r="AC176" s="135"/>
      <c r="AD176" s="135"/>
      <c r="AE176" s="135"/>
      <c r="AF176" s="135"/>
      <c r="AG176" s="135"/>
      <c r="AH176" s="135"/>
      <c r="AI176" s="135"/>
      <c r="AJ176" s="135"/>
      <c r="AK176" s="135"/>
      <c r="AL176" s="135"/>
      <c r="AM176" s="135"/>
      <c r="AN176" s="135"/>
      <c r="AO176" s="135"/>
      <c r="AP176" s="135"/>
      <c r="AQ176" s="135"/>
    </row>
    <row r="177" spans="3:43" s="63" customFormat="1" ht="15.95" hidden="1" customHeight="1" x14ac:dyDescent="0.25">
      <c r="C177" s="135"/>
      <c r="D177" s="135"/>
      <c r="E177" s="135"/>
      <c r="F177" s="135"/>
      <c r="G177" s="135"/>
      <c r="H177" s="135"/>
      <c r="I177" s="135"/>
      <c r="J177" s="135"/>
      <c r="K177" s="135"/>
      <c r="L177" s="135"/>
      <c r="M177" s="135"/>
      <c r="N177" s="135"/>
      <c r="O177" s="135"/>
      <c r="P177" s="135"/>
      <c r="Q177" s="135"/>
      <c r="R177" s="135"/>
      <c r="S177" s="135"/>
      <c r="T177" s="135"/>
      <c r="U177" s="135"/>
      <c r="V177" s="135"/>
      <c r="W177" s="135"/>
      <c r="X177" s="135"/>
      <c r="Y177" s="135"/>
      <c r="Z177" s="135"/>
      <c r="AA177" s="135"/>
      <c r="AB177" s="135"/>
      <c r="AC177" s="135"/>
      <c r="AD177" s="135"/>
      <c r="AE177" s="135"/>
      <c r="AF177" s="135"/>
      <c r="AG177" s="135"/>
      <c r="AH177" s="135"/>
      <c r="AI177" s="135"/>
      <c r="AJ177" s="135"/>
      <c r="AK177" s="135"/>
      <c r="AL177" s="135"/>
      <c r="AM177" s="135"/>
      <c r="AN177" s="135"/>
      <c r="AO177" s="135"/>
      <c r="AP177" s="135"/>
      <c r="AQ177" s="135"/>
    </row>
    <row r="178" spans="3:43" s="63" customFormat="1" ht="15.95" hidden="1" customHeight="1" x14ac:dyDescent="0.25">
      <c r="C178" s="135"/>
      <c r="D178" s="135"/>
      <c r="E178" s="135"/>
      <c r="F178" s="135"/>
      <c r="G178" s="135"/>
      <c r="H178" s="135"/>
      <c r="I178" s="135"/>
      <c r="J178" s="135"/>
      <c r="K178" s="135"/>
      <c r="L178" s="135"/>
      <c r="M178" s="135"/>
      <c r="N178" s="135"/>
      <c r="O178" s="135"/>
      <c r="P178" s="135"/>
      <c r="Q178" s="135"/>
      <c r="R178" s="135"/>
      <c r="S178" s="135"/>
      <c r="T178" s="135"/>
      <c r="U178" s="135"/>
      <c r="V178" s="135"/>
      <c r="W178" s="135"/>
      <c r="X178" s="135"/>
      <c r="Y178" s="135"/>
      <c r="Z178" s="135"/>
      <c r="AA178" s="135"/>
      <c r="AB178" s="135"/>
      <c r="AC178" s="135"/>
      <c r="AD178" s="135"/>
      <c r="AE178" s="135"/>
      <c r="AF178" s="135"/>
      <c r="AG178" s="135"/>
      <c r="AH178" s="135"/>
      <c r="AI178" s="135"/>
      <c r="AJ178" s="135"/>
      <c r="AK178" s="135"/>
      <c r="AL178" s="135"/>
      <c r="AM178" s="135"/>
      <c r="AN178" s="135"/>
      <c r="AO178" s="135"/>
      <c r="AP178" s="135"/>
      <c r="AQ178" s="135"/>
    </row>
    <row r="179" spans="3:43" s="63" customFormat="1" ht="15.95" hidden="1" customHeight="1" x14ac:dyDescent="0.25">
      <c r="C179" s="135"/>
      <c r="D179" s="135"/>
      <c r="E179" s="135"/>
      <c r="F179" s="135"/>
      <c r="G179" s="135"/>
      <c r="H179" s="135"/>
      <c r="I179" s="135"/>
      <c r="J179" s="135"/>
      <c r="K179" s="135"/>
      <c r="L179" s="135"/>
      <c r="M179" s="135"/>
      <c r="N179" s="135"/>
      <c r="O179" s="135"/>
      <c r="P179" s="135"/>
      <c r="Q179" s="135"/>
      <c r="R179" s="135"/>
      <c r="S179" s="135"/>
      <c r="T179" s="135"/>
      <c r="U179" s="135"/>
      <c r="V179" s="135"/>
      <c r="W179" s="135"/>
      <c r="X179" s="135"/>
      <c r="Y179" s="135"/>
      <c r="Z179" s="135"/>
      <c r="AA179" s="135"/>
      <c r="AB179" s="135"/>
      <c r="AC179" s="135"/>
      <c r="AD179" s="135"/>
      <c r="AE179" s="135"/>
      <c r="AF179" s="135"/>
      <c r="AG179" s="135"/>
      <c r="AH179" s="135"/>
      <c r="AI179" s="135"/>
      <c r="AJ179" s="135"/>
      <c r="AK179" s="135"/>
      <c r="AL179" s="135"/>
      <c r="AM179" s="135"/>
      <c r="AN179" s="135"/>
      <c r="AO179" s="135"/>
      <c r="AP179" s="135"/>
      <c r="AQ179" s="135"/>
    </row>
    <row r="180" spans="3:43" s="63" customFormat="1" ht="15.95" hidden="1" customHeight="1" x14ac:dyDescent="0.25">
      <c r="C180" s="135"/>
      <c r="D180" s="135"/>
      <c r="E180" s="135"/>
      <c r="F180" s="135"/>
      <c r="G180" s="135"/>
      <c r="H180" s="135"/>
      <c r="I180" s="135"/>
      <c r="J180" s="135"/>
      <c r="K180" s="135"/>
      <c r="L180" s="135"/>
      <c r="M180" s="135"/>
      <c r="N180" s="135"/>
      <c r="O180" s="135"/>
      <c r="P180" s="135"/>
      <c r="Q180" s="135"/>
      <c r="R180" s="135"/>
      <c r="S180" s="135"/>
      <c r="T180" s="135"/>
      <c r="U180" s="135"/>
      <c r="V180" s="135"/>
      <c r="W180" s="135"/>
      <c r="X180" s="135"/>
      <c r="Y180" s="135"/>
      <c r="Z180" s="135"/>
      <c r="AA180" s="135"/>
      <c r="AB180" s="135"/>
      <c r="AC180" s="135"/>
      <c r="AD180" s="135"/>
      <c r="AE180" s="135"/>
      <c r="AF180" s="135"/>
      <c r="AG180" s="135"/>
      <c r="AH180" s="135"/>
      <c r="AI180" s="135"/>
      <c r="AJ180" s="135"/>
      <c r="AK180" s="135"/>
      <c r="AL180" s="135"/>
      <c r="AM180" s="135"/>
      <c r="AN180" s="135"/>
      <c r="AO180" s="135"/>
      <c r="AP180" s="135"/>
      <c r="AQ180" s="135"/>
    </row>
    <row r="181" spans="3:43" s="63" customFormat="1" ht="15.95" hidden="1" customHeight="1" x14ac:dyDescent="0.25">
      <c r="C181" s="135"/>
      <c r="D181" s="135"/>
      <c r="E181" s="135"/>
      <c r="F181" s="135"/>
      <c r="G181" s="135"/>
      <c r="H181" s="135"/>
      <c r="I181" s="135"/>
      <c r="J181" s="135"/>
      <c r="K181" s="135"/>
      <c r="L181" s="135"/>
      <c r="M181" s="135"/>
      <c r="N181" s="135"/>
      <c r="O181" s="135"/>
      <c r="P181" s="135"/>
      <c r="Q181" s="135"/>
      <c r="R181" s="135"/>
      <c r="S181" s="135"/>
      <c r="T181" s="135"/>
      <c r="U181" s="135"/>
      <c r="V181" s="135"/>
      <c r="W181" s="135"/>
      <c r="X181" s="135"/>
      <c r="Y181" s="135"/>
      <c r="Z181" s="135"/>
      <c r="AA181" s="135"/>
      <c r="AB181" s="135"/>
      <c r="AC181" s="135"/>
      <c r="AD181" s="135"/>
      <c r="AE181" s="135"/>
      <c r="AF181" s="135"/>
      <c r="AG181" s="135"/>
      <c r="AH181" s="135"/>
      <c r="AI181" s="135"/>
      <c r="AJ181" s="135"/>
      <c r="AK181" s="135"/>
      <c r="AL181" s="135"/>
      <c r="AM181" s="135"/>
      <c r="AN181" s="135"/>
      <c r="AO181" s="135"/>
      <c r="AP181" s="135"/>
      <c r="AQ181" s="135"/>
    </row>
    <row r="182" spans="3:43" s="63" customFormat="1" ht="15.95" hidden="1" customHeight="1" x14ac:dyDescent="0.25">
      <c r="C182" s="135"/>
      <c r="D182" s="135"/>
      <c r="E182" s="135"/>
      <c r="F182" s="135"/>
      <c r="G182" s="135"/>
      <c r="H182" s="135"/>
      <c r="I182" s="135"/>
      <c r="J182" s="135"/>
      <c r="K182" s="135"/>
      <c r="L182" s="135"/>
      <c r="M182" s="135"/>
      <c r="N182" s="135"/>
      <c r="O182" s="135"/>
      <c r="P182" s="135"/>
      <c r="Q182" s="135"/>
      <c r="R182" s="135"/>
      <c r="S182" s="135"/>
      <c r="T182" s="135"/>
      <c r="U182" s="135"/>
      <c r="V182" s="135"/>
      <c r="W182" s="135"/>
      <c r="X182" s="135"/>
      <c r="Y182" s="135"/>
      <c r="Z182" s="135"/>
      <c r="AA182" s="135"/>
      <c r="AB182" s="135"/>
      <c r="AC182" s="135"/>
      <c r="AD182" s="135"/>
      <c r="AE182" s="135"/>
      <c r="AF182" s="135"/>
      <c r="AG182" s="135"/>
      <c r="AH182" s="135"/>
      <c r="AI182" s="135"/>
      <c r="AJ182" s="135"/>
      <c r="AK182" s="135"/>
      <c r="AL182" s="135"/>
      <c r="AM182" s="135"/>
      <c r="AN182" s="135"/>
      <c r="AO182" s="135"/>
      <c r="AP182" s="135"/>
      <c r="AQ182" s="135"/>
    </row>
    <row r="183" spans="3:43" s="63" customFormat="1" ht="15.95" hidden="1" customHeight="1" x14ac:dyDescent="0.25">
      <c r="C183" s="135"/>
      <c r="D183" s="135"/>
      <c r="E183" s="135"/>
      <c r="F183" s="135"/>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c r="AF183" s="135"/>
      <c r="AG183" s="135"/>
      <c r="AH183" s="135"/>
      <c r="AI183" s="135"/>
      <c r="AJ183" s="135"/>
      <c r="AK183" s="135"/>
      <c r="AL183" s="135"/>
      <c r="AM183" s="135"/>
      <c r="AN183" s="135"/>
      <c r="AO183" s="135"/>
      <c r="AP183" s="135"/>
      <c r="AQ183" s="135"/>
    </row>
    <row r="184" spans="3:43" s="63" customFormat="1" ht="15.95" hidden="1" customHeight="1" x14ac:dyDescent="0.25">
      <c r="C184" s="135"/>
      <c r="D184" s="135"/>
      <c r="E184" s="135"/>
      <c r="F184" s="135"/>
      <c r="G184" s="135"/>
      <c r="H184" s="135"/>
      <c r="I184" s="135"/>
      <c r="J184" s="135"/>
      <c r="K184" s="135"/>
      <c r="L184" s="135"/>
      <c r="M184" s="135"/>
      <c r="N184" s="135"/>
      <c r="O184" s="135"/>
      <c r="P184" s="135"/>
      <c r="Q184" s="135"/>
      <c r="R184" s="135"/>
      <c r="S184" s="135"/>
      <c r="T184" s="135"/>
      <c r="U184" s="135"/>
      <c r="V184" s="135"/>
      <c r="W184" s="135"/>
      <c r="X184" s="135"/>
      <c r="Y184" s="135"/>
      <c r="Z184" s="135"/>
      <c r="AA184" s="135"/>
      <c r="AB184" s="135"/>
      <c r="AC184" s="135"/>
      <c r="AD184" s="135"/>
      <c r="AE184" s="135"/>
      <c r="AF184" s="135"/>
      <c r="AG184" s="135"/>
      <c r="AH184" s="135"/>
      <c r="AI184" s="135"/>
      <c r="AJ184" s="135"/>
      <c r="AK184" s="135"/>
      <c r="AL184" s="135"/>
      <c r="AM184" s="135"/>
      <c r="AN184" s="135"/>
      <c r="AO184" s="135"/>
      <c r="AP184" s="135"/>
      <c r="AQ184" s="135"/>
    </row>
    <row r="185" spans="3:43" s="63" customFormat="1" ht="15.95" hidden="1" customHeight="1" x14ac:dyDescent="0.25">
      <c r="C185" s="135"/>
      <c r="D185" s="135"/>
      <c r="E185" s="135"/>
      <c r="F185" s="135"/>
      <c r="G185" s="135"/>
      <c r="H185" s="135"/>
      <c r="I185" s="135"/>
      <c r="J185" s="135"/>
      <c r="K185" s="135"/>
      <c r="L185" s="135"/>
      <c r="M185" s="135"/>
      <c r="N185" s="135"/>
      <c r="O185" s="135"/>
      <c r="P185" s="135"/>
      <c r="Q185" s="135"/>
      <c r="R185" s="135"/>
      <c r="S185" s="135"/>
      <c r="T185" s="135"/>
      <c r="U185" s="135"/>
      <c r="V185" s="135"/>
      <c r="W185" s="135"/>
      <c r="X185" s="135"/>
      <c r="Y185" s="135"/>
      <c r="Z185" s="135"/>
      <c r="AA185" s="135"/>
      <c r="AB185" s="135"/>
      <c r="AC185" s="135"/>
      <c r="AD185" s="135"/>
      <c r="AE185" s="135"/>
      <c r="AF185" s="135"/>
      <c r="AG185" s="135"/>
      <c r="AH185" s="135"/>
      <c r="AI185" s="135"/>
      <c r="AJ185" s="135"/>
      <c r="AK185" s="135"/>
      <c r="AL185" s="135"/>
      <c r="AM185" s="135"/>
      <c r="AN185" s="135"/>
      <c r="AO185" s="135"/>
      <c r="AP185" s="135"/>
      <c r="AQ185" s="135"/>
    </row>
    <row r="186" spans="3:43" s="63" customFormat="1" ht="15.95" hidden="1" customHeight="1" x14ac:dyDescent="0.25">
      <c r="C186" s="135"/>
      <c r="D186" s="135"/>
      <c r="E186" s="135"/>
      <c r="F186" s="135"/>
      <c r="G186" s="135"/>
      <c r="H186" s="135"/>
      <c r="I186" s="135"/>
      <c r="J186" s="135"/>
      <c r="K186" s="135"/>
      <c r="L186" s="135"/>
      <c r="M186" s="135"/>
      <c r="N186" s="135"/>
      <c r="O186" s="135"/>
      <c r="P186" s="135"/>
      <c r="Q186" s="135"/>
      <c r="R186" s="135"/>
      <c r="S186" s="135"/>
      <c r="T186" s="135"/>
      <c r="U186" s="135"/>
      <c r="V186" s="135"/>
      <c r="W186" s="135"/>
      <c r="X186" s="135"/>
      <c r="Y186" s="135"/>
      <c r="Z186" s="135"/>
      <c r="AA186" s="135"/>
      <c r="AB186" s="135"/>
      <c r="AC186" s="135"/>
      <c r="AD186" s="135"/>
      <c r="AE186" s="135"/>
      <c r="AF186" s="135"/>
      <c r="AG186" s="135"/>
      <c r="AH186" s="135"/>
      <c r="AI186" s="135"/>
      <c r="AJ186" s="135"/>
      <c r="AK186" s="135"/>
      <c r="AL186" s="135"/>
      <c r="AM186" s="135"/>
      <c r="AN186" s="135"/>
      <c r="AO186" s="135"/>
      <c r="AP186" s="135"/>
      <c r="AQ186" s="135"/>
    </row>
    <row r="187" spans="3:43" s="63" customFormat="1" ht="15.95" hidden="1" customHeight="1" x14ac:dyDescent="0.25">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row>
    <row r="188" spans="3:43" s="63" customFormat="1" ht="15.95" hidden="1" customHeight="1" x14ac:dyDescent="0.25">
      <c r="C188" s="135"/>
      <c r="D188" s="135"/>
      <c r="E188" s="135"/>
      <c r="F188" s="135"/>
      <c r="G188" s="135"/>
      <c r="H188" s="135"/>
      <c r="I188" s="135"/>
      <c r="J188" s="135"/>
      <c r="K188" s="135"/>
      <c r="L188" s="135"/>
      <c r="M188" s="135"/>
      <c r="N188" s="135"/>
      <c r="O188" s="135"/>
      <c r="P188" s="135"/>
      <c r="Q188" s="135"/>
      <c r="R188" s="135"/>
      <c r="S188" s="135"/>
      <c r="T188" s="135"/>
      <c r="U188" s="135"/>
      <c r="V188" s="135"/>
      <c r="W188" s="135"/>
      <c r="X188" s="135"/>
      <c r="Y188" s="135"/>
      <c r="Z188" s="135"/>
      <c r="AA188" s="135"/>
      <c r="AB188" s="135"/>
      <c r="AC188" s="135"/>
      <c r="AD188" s="135"/>
      <c r="AE188" s="135"/>
      <c r="AF188" s="135"/>
      <c r="AG188" s="135"/>
      <c r="AH188" s="135"/>
      <c r="AI188" s="135"/>
      <c r="AJ188" s="135"/>
      <c r="AK188" s="135"/>
      <c r="AL188" s="135"/>
      <c r="AM188" s="135"/>
      <c r="AN188" s="135"/>
      <c r="AO188" s="135"/>
      <c r="AP188" s="135"/>
      <c r="AQ188" s="135"/>
    </row>
    <row r="189" spans="3:43" s="63" customFormat="1" ht="15.95" hidden="1" customHeight="1" x14ac:dyDescent="0.25">
      <c r="C189" s="135"/>
      <c r="D189" s="135"/>
      <c r="E189" s="135"/>
      <c r="F189" s="135"/>
      <c r="G189" s="135"/>
      <c r="H189" s="135"/>
      <c r="I189" s="135"/>
      <c r="J189" s="135"/>
      <c r="K189" s="135"/>
      <c r="L189" s="135"/>
      <c r="M189" s="135"/>
      <c r="N189" s="135"/>
      <c r="O189" s="135"/>
      <c r="P189" s="135"/>
      <c r="Q189" s="135"/>
      <c r="R189" s="135"/>
      <c r="S189" s="135"/>
      <c r="T189" s="135"/>
      <c r="U189" s="135"/>
      <c r="V189" s="135"/>
      <c r="W189" s="135"/>
      <c r="X189" s="135"/>
      <c r="Y189" s="135"/>
      <c r="Z189" s="135"/>
      <c r="AA189" s="135"/>
      <c r="AB189" s="135"/>
      <c r="AC189" s="135"/>
      <c r="AD189" s="135"/>
      <c r="AE189" s="135"/>
      <c r="AF189" s="135"/>
      <c r="AG189" s="135"/>
      <c r="AH189" s="135"/>
      <c r="AI189" s="135"/>
      <c r="AJ189" s="135"/>
      <c r="AK189" s="135"/>
      <c r="AL189" s="135"/>
      <c r="AM189" s="135"/>
      <c r="AN189" s="135"/>
      <c r="AO189" s="135"/>
      <c r="AP189" s="135"/>
      <c r="AQ189" s="135"/>
    </row>
    <row r="190" spans="3:43" s="63" customFormat="1" ht="15.95" hidden="1" customHeight="1" x14ac:dyDescent="0.25">
      <c r="C190" s="135"/>
      <c r="D190" s="135"/>
      <c r="E190" s="135"/>
      <c r="F190" s="135"/>
      <c r="G190" s="135"/>
      <c r="H190" s="135"/>
      <c r="I190" s="135"/>
      <c r="J190" s="135"/>
      <c r="K190" s="135"/>
      <c r="L190" s="135"/>
      <c r="M190" s="135"/>
      <c r="N190" s="135"/>
      <c r="O190" s="135"/>
      <c r="P190" s="135"/>
      <c r="Q190" s="135"/>
      <c r="R190" s="135"/>
      <c r="S190" s="135"/>
      <c r="T190" s="135"/>
      <c r="U190" s="135"/>
      <c r="V190" s="135"/>
      <c r="W190" s="135"/>
      <c r="X190" s="135"/>
      <c r="Y190" s="135"/>
      <c r="Z190" s="135"/>
      <c r="AA190" s="135"/>
      <c r="AB190" s="135"/>
      <c r="AC190" s="135"/>
      <c r="AD190" s="135"/>
      <c r="AE190" s="135"/>
      <c r="AF190" s="135"/>
      <c r="AG190" s="135"/>
      <c r="AH190" s="135"/>
      <c r="AI190" s="135"/>
      <c r="AJ190" s="135"/>
      <c r="AK190" s="135"/>
      <c r="AL190" s="135"/>
      <c r="AM190" s="135"/>
      <c r="AN190" s="135"/>
      <c r="AO190" s="135"/>
      <c r="AP190" s="135"/>
      <c r="AQ190" s="135"/>
    </row>
    <row r="191" spans="3:43" s="63" customFormat="1" ht="15.95" hidden="1" customHeight="1" x14ac:dyDescent="0.25">
      <c r="C191" s="135"/>
      <c r="D191" s="135"/>
      <c r="E191" s="135"/>
      <c r="F191" s="135"/>
      <c r="G191" s="135"/>
      <c r="H191" s="135"/>
      <c r="I191" s="135"/>
      <c r="J191" s="135"/>
      <c r="K191" s="135"/>
      <c r="L191" s="135"/>
      <c r="M191" s="135"/>
      <c r="N191" s="135"/>
      <c r="O191" s="135"/>
      <c r="P191" s="135"/>
      <c r="Q191" s="135"/>
      <c r="R191" s="135"/>
      <c r="S191" s="135"/>
      <c r="T191" s="135"/>
      <c r="U191" s="135"/>
      <c r="V191" s="135"/>
      <c r="W191" s="135"/>
      <c r="X191" s="135"/>
      <c r="Y191" s="135"/>
      <c r="Z191" s="135"/>
      <c r="AA191" s="135"/>
      <c r="AB191" s="135"/>
      <c r="AC191" s="135"/>
      <c r="AD191" s="135"/>
      <c r="AE191" s="135"/>
      <c r="AF191" s="135"/>
      <c r="AG191" s="135"/>
      <c r="AH191" s="135"/>
      <c r="AI191" s="135"/>
      <c r="AJ191" s="135"/>
      <c r="AK191" s="135"/>
      <c r="AL191" s="135"/>
      <c r="AM191" s="135"/>
      <c r="AN191" s="135"/>
      <c r="AO191" s="135"/>
      <c r="AP191" s="135"/>
      <c r="AQ191" s="135"/>
    </row>
    <row r="192" spans="3:43" s="63" customFormat="1" ht="15.95" hidden="1" customHeight="1" x14ac:dyDescent="0.25">
      <c r="C192" s="135"/>
      <c r="D192" s="135"/>
      <c r="E192" s="135"/>
      <c r="F192" s="135"/>
      <c r="G192" s="135"/>
      <c r="H192" s="135"/>
      <c r="I192" s="135"/>
      <c r="J192" s="135"/>
      <c r="K192" s="135"/>
      <c r="L192" s="135"/>
      <c r="M192" s="135"/>
      <c r="N192" s="135"/>
      <c r="O192" s="135"/>
      <c r="P192" s="135"/>
      <c r="Q192" s="135"/>
      <c r="R192" s="135"/>
      <c r="S192" s="135"/>
      <c r="T192" s="135"/>
      <c r="U192" s="135"/>
      <c r="V192" s="135"/>
      <c r="W192" s="135"/>
      <c r="X192" s="135"/>
      <c r="Y192" s="135"/>
      <c r="Z192" s="135"/>
      <c r="AA192" s="135"/>
      <c r="AB192" s="135"/>
      <c r="AC192" s="135"/>
      <c r="AD192" s="135"/>
      <c r="AE192" s="135"/>
      <c r="AF192" s="135"/>
      <c r="AG192" s="135"/>
      <c r="AH192" s="135"/>
      <c r="AI192" s="135"/>
      <c r="AJ192" s="135"/>
      <c r="AK192" s="135"/>
      <c r="AL192" s="135"/>
      <c r="AM192" s="135"/>
      <c r="AN192" s="135"/>
      <c r="AO192" s="135"/>
      <c r="AP192" s="135"/>
      <c r="AQ192" s="135"/>
    </row>
    <row r="193" spans="2:44" s="63" customFormat="1" ht="15.95" hidden="1" customHeight="1" x14ac:dyDescent="0.25">
      <c r="C193" s="135"/>
      <c r="D193" s="135"/>
      <c r="E193" s="135"/>
      <c r="F193" s="135"/>
      <c r="G193" s="135"/>
      <c r="H193" s="135"/>
      <c r="I193" s="135"/>
      <c r="J193" s="135"/>
      <c r="K193" s="135"/>
      <c r="L193" s="135"/>
      <c r="M193" s="135"/>
      <c r="N193" s="135"/>
      <c r="O193" s="135"/>
      <c r="P193" s="135"/>
      <c r="Q193" s="135"/>
      <c r="R193" s="135"/>
      <c r="S193" s="135"/>
      <c r="T193" s="135"/>
      <c r="U193" s="135"/>
      <c r="V193" s="135"/>
      <c r="W193" s="135"/>
      <c r="X193" s="135"/>
      <c r="Y193" s="135"/>
      <c r="Z193" s="135"/>
      <c r="AA193" s="135"/>
      <c r="AB193" s="135"/>
      <c r="AC193" s="135"/>
      <c r="AD193" s="135"/>
      <c r="AE193" s="135"/>
      <c r="AF193" s="135"/>
      <c r="AG193" s="135"/>
      <c r="AH193" s="135"/>
      <c r="AI193" s="135"/>
      <c r="AJ193" s="135"/>
      <c r="AK193" s="135"/>
      <c r="AL193" s="135"/>
      <c r="AM193" s="135"/>
      <c r="AN193" s="135"/>
      <c r="AO193" s="135"/>
      <c r="AP193" s="135"/>
      <c r="AQ193" s="135"/>
    </row>
    <row r="194" spans="2:44" s="63" customFormat="1" ht="15.95" hidden="1" customHeight="1" x14ac:dyDescent="0.25">
      <c r="C194" s="135"/>
      <c r="D194" s="135"/>
      <c r="E194" s="135"/>
      <c r="F194" s="135"/>
      <c r="G194" s="135"/>
      <c r="H194" s="135"/>
      <c r="I194" s="135"/>
      <c r="J194" s="135"/>
      <c r="K194" s="135"/>
      <c r="L194" s="135"/>
      <c r="M194" s="135"/>
      <c r="N194" s="135"/>
      <c r="O194" s="135"/>
      <c r="P194" s="135"/>
      <c r="Q194" s="135"/>
      <c r="R194" s="135"/>
      <c r="S194" s="135"/>
      <c r="T194" s="135"/>
      <c r="U194" s="135"/>
      <c r="V194" s="135"/>
      <c r="W194" s="135"/>
      <c r="X194" s="135"/>
      <c r="Y194" s="135"/>
      <c r="Z194" s="135"/>
      <c r="AA194" s="135"/>
      <c r="AB194" s="135"/>
      <c r="AC194" s="135"/>
      <c r="AD194" s="135"/>
      <c r="AE194" s="135"/>
      <c r="AF194" s="135"/>
      <c r="AG194" s="135"/>
      <c r="AH194" s="135"/>
      <c r="AI194" s="135"/>
      <c r="AJ194" s="135"/>
      <c r="AK194" s="135"/>
      <c r="AL194" s="135"/>
      <c r="AM194" s="135"/>
      <c r="AN194" s="135"/>
      <c r="AO194" s="135"/>
      <c r="AP194" s="135"/>
      <c r="AQ194" s="135"/>
    </row>
    <row r="195" spans="2:44" s="63" customFormat="1" ht="15.95" hidden="1" customHeight="1" x14ac:dyDescent="0.25">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row>
    <row r="196" spans="2:44" s="63" customFormat="1" ht="15.95" hidden="1" customHeight="1" x14ac:dyDescent="0.25">
      <c r="C196" s="135"/>
      <c r="D196" s="135"/>
      <c r="E196" s="135"/>
      <c r="F196" s="135"/>
      <c r="G196" s="135"/>
      <c r="H196" s="135"/>
      <c r="I196" s="135"/>
      <c r="J196" s="135"/>
      <c r="K196" s="135"/>
      <c r="L196" s="135"/>
      <c r="M196" s="135"/>
      <c r="N196" s="135"/>
      <c r="O196" s="135"/>
      <c r="P196" s="135"/>
      <c r="Q196" s="135"/>
      <c r="R196" s="135"/>
      <c r="S196" s="135"/>
      <c r="T196" s="135"/>
      <c r="U196" s="135"/>
      <c r="V196" s="135"/>
      <c r="W196" s="135"/>
      <c r="X196" s="135"/>
      <c r="Y196" s="135"/>
      <c r="Z196" s="135"/>
      <c r="AA196" s="135"/>
      <c r="AB196" s="135"/>
      <c r="AC196" s="135"/>
      <c r="AD196" s="135"/>
      <c r="AE196" s="135"/>
      <c r="AF196" s="135"/>
      <c r="AG196" s="135"/>
      <c r="AH196" s="135"/>
      <c r="AI196" s="135"/>
      <c r="AJ196" s="135"/>
      <c r="AK196" s="135"/>
      <c r="AL196" s="135"/>
      <c r="AM196" s="135"/>
      <c r="AN196" s="135"/>
      <c r="AO196" s="135"/>
      <c r="AP196" s="135"/>
      <c r="AQ196" s="135"/>
    </row>
    <row r="197" spans="2:44" s="63" customFormat="1" ht="15.95" hidden="1" customHeight="1" x14ac:dyDescent="0.25">
      <c r="C197" s="135"/>
      <c r="D197" s="135"/>
      <c r="E197" s="135"/>
      <c r="F197" s="135"/>
      <c r="G197" s="135"/>
      <c r="H197" s="135"/>
      <c r="I197" s="135"/>
      <c r="J197" s="135"/>
      <c r="K197" s="135"/>
      <c r="L197" s="135"/>
      <c r="M197" s="135"/>
      <c r="N197" s="135"/>
      <c r="O197" s="135"/>
      <c r="P197" s="135"/>
      <c r="Q197" s="135"/>
      <c r="R197" s="135"/>
      <c r="S197" s="135"/>
      <c r="T197" s="135"/>
      <c r="U197" s="135"/>
      <c r="V197" s="135"/>
      <c r="W197" s="135"/>
      <c r="X197" s="135"/>
      <c r="Y197" s="135"/>
      <c r="Z197" s="135"/>
      <c r="AA197" s="135"/>
      <c r="AB197" s="135"/>
      <c r="AC197" s="135"/>
      <c r="AD197" s="135"/>
      <c r="AE197" s="135"/>
      <c r="AF197" s="135"/>
      <c r="AG197" s="135"/>
      <c r="AH197" s="135"/>
      <c r="AI197" s="135"/>
      <c r="AJ197" s="135"/>
      <c r="AK197" s="135"/>
      <c r="AL197" s="135"/>
      <c r="AM197" s="135"/>
      <c r="AN197" s="135"/>
      <c r="AO197" s="135"/>
      <c r="AP197" s="135"/>
      <c r="AQ197" s="135"/>
    </row>
    <row r="198" spans="2:44" s="63" customFormat="1" ht="15.95" hidden="1" customHeight="1" x14ac:dyDescent="0.25">
      <c r="C198" s="135"/>
      <c r="D198" s="135"/>
      <c r="E198" s="135"/>
      <c r="F198" s="135"/>
      <c r="G198" s="135"/>
      <c r="H198" s="135"/>
      <c r="I198" s="135"/>
      <c r="J198" s="135"/>
      <c r="K198" s="135"/>
      <c r="L198" s="135"/>
      <c r="M198" s="135"/>
      <c r="N198" s="135"/>
      <c r="O198" s="135"/>
      <c r="P198" s="135"/>
      <c r="Q198" s="135"/>
      <c r="R198" s="135"/>
      <c r="S198" s="135"/>
      <c r="T198" s="135"/>
      <c r="U198" s="135"/>
      <c r="V198" s="135"/>
      <c r="W198" s="135"/>
      <c r="X198" s="135"/>
      <c r="Y198" s="135"/>
      <c r="Z198" s="135"/>
      <c r="AA198" s="135"/>
      <c r="AB198" s="135"/>
      <c r="AC198" s="135"/>
      <c r="AD198" s="135"/>
      <c r="AP198" s="135"/>
      <c r="AQ198" s="135"/>
    </row>
    <row r="199" spans="2:44" ht="15.95" hidden="1" customHeight="1" x14ac:dyDescent="0.25"/>
    <row r="200" spans="2:44" ht="15.95" customHeight="1" x14ac:dyDescent="0.25">
      <c r="B200" s="136" t="str">
        <f>FOOT1</f>
        <v>Ameren Missouri BizSavers program</v>
      </c>
      <c r="C200" s="136"/>
      <c r="D200" s="136"/>
      <c r="E200" s="136"/>
      <c r="F200" s="136"/>
      <c r="G200" s="136"/>
      <c r="H200" s="136"/>
      <c r="I200" s="136"/>
      <c r="J200" s="136"/>
      <c r="K200" s="136"/>
      <c r="L200" s="136"/>
      <c r="M200" s="729" t="str">
        <f>FOOTDISCLAIM</f>
        <v/>
      </c>
      <c r="N200" s="729"/>
      <c r="O200" s="729"/>
      <c r="P200" s="729"/>
      <c r="Q200" s="729"/>
      <c r="R200" s="729"/>
      <c r="S200" s="729"/>
      <c r="T200" s="729"/>
      <c r="U200" s="729"/>
      <c r="V200" s="729"/>
      <c r="W200" s="729"/>
      <c r="X200" s="729"/>
      <c r="Y200" s="729"/>
      <c r="Z200" s="729"/>
      <c r="AA200" s="729"/>
      <c r="AB200" s="729"/>
      <c r="AC200" s="729"/>
      <c r="AD200" s="729"/>
      <c r="AE200" s="729"/>
      <c r="AF200" s="729"/>
      <c r="AG200" s="729"/>
      <c r="AH200" s="136"/>
      <c r="AI200" s="136"/>
      <c r="AJ200" s="136"/>
      <c r="AK200" s="136"/>
      <c r="AL200" s="136"/>
      <c r="AM200" s="136"/>
      <c r="AN200" s="136"/>
      <c r="AO200" s="136"/>
      <c r="AP200" s="136"/>
      <c r="AQ200" s="136"/>
      <c r="AR200" s="300" t="str">
        <f>FOOT4</f>
        <v/>
      </c>
    </row>
    <row r="201" spans="2:44" ht="15.95" customHeight="1" x14ac:dyDescent="0.25">
      <c r="B201" s="136" t="str">
        <f>FOOT2</f>
        <v>Toll-Free 866-941-7299</v>
      </c>
      <c r="C201" s="136"/>
      <c r="D201" s="136"/>
      <c r="E201" s="136"/>
      <c r="F201" s="136"/>
      <c r="G201" s="136"/>
      <c r="H201" s="136"/>
      <c r="I201" s="136"/>
      <c r="J201" s="136"/>
      <c r="K201" s="136"/>
      <c r="L201" s="136"/>
      <c r="M201" s="729"/>
      <c r="N201" s="729"/>
      <c r="O201" s="729"/>
      <c r="P201" s="729"/>
      <c r="Q201" s="729"/>
      <c r="R201" s="729"/>
      <c r="S201" s="729"/>
      <c r="T201" s="729"/>
      <c r="U201" s="729"/>
      <c r="V201" s="729"/>
      <c r="W201" s="729"/>
      <c r="X201" s="729"/>
      <c r="Y201" s="729"/>
      <c r="Z201" s="729"/>
      <c r="AA201" s="729"/>
      <c r="AB201" s="729"/>
      <c r="AC201" s="729"/>
      <c r="AD201" s="729"/>
      <c r="AE201" s="729"/>
      <c r="AF201" s="729"/>
      <c r="AG201" s="729"/>
      <c r="AH201" s="136"/>
      <c r="AI201" s="136"/>
      <c r="AJ201" s="136"/>
      <c r="AK201" s="136"/>
      <c r="AL201" s="136"/>
      <c r="AM201" s="136"/>
      <c r="AN201" s="136"/>
      <c r="AO201" s="136"/>
      <c r="AP201" s="136"/>
      <c r="AQ201" s="136"/>
      <c r="AR201" s="300" t="str">
        <f>FOOT5</f>
        <v/>
      </c>
    </row>
    <row r="202" spans="2:44" ht="15.95" customHeight="1" x14ac:dyDescent="0.25">
      <c r="B202" s="138" t="str">
        <f>FOOT3</f>
        <v>BizSavers@ameren.com</v>
      </c>
      <c r="C202" s="136"/>
      <c r="D202" s="136"/>
      <c r="E202" s="136"/>
      <c r="F202" s="136"/>
      <c r="G202" s="136"/>
      <c r="H202" s="136"/>
      <c r="I202" s="136"/>
      <c r="J202" s="136"/>
      <c r="K202" s="136"/>
      <c r="L202" s="136"/>
      <c r="M202" s="139"/>
      <c r="N202" s="136"/>
      <c r="O202" s="136"/>
      <c r="P202" s="139"/>
      <c r="Q202" s="139"/>
      <c r="R202" s="139"/>
      <c r="S202" s="139"/>
      <c r="T202" s="139"/>
      <c r="U202" s="139"/>
      <c r="V202" s="139"/>
      <c r="W202" s="140" t="str">
        <f>VERSION</f>
        <v>New Construction v3.8.0</v>
      </c>
      <c r="X202" s="139"/>
      <c r="Y202" s="139"/>
      <c r="Z202" s="139"/>
      <c r="AA202" s="139"/>
      <c r="AB202" s="139"/>
      <c r="AC202" s="139"/>
      <c r="AD202" s="139"/>
      <c r="AE202" s="136"/>
      <c r="AF202" s="136"/>
      <c r="AG202" s="136"/>
      <c r="AH202" s="136"/>
      <c r="AI202" s="136"/>
      <c r="AJ202" s="136"/>
      <c r="AK202" s="136"/>
      <c r="AL202" s="136"/>
      <c r="AM202" s="136"/>
      <c r="AN202" s="136"/>
      <c r="AO202" s="136"/>
      <c r="AP202" s="136"/>
      <c r="AQ202" s="136"/>
      <c r="AR202" s="300" t="str">
        <f>FOOT6</f>
        <v>Product of TRC Companies</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sheetData>
  <sheetProtection algorithmName="SHA-512" hashValue="g2bhLVV/jC3+d5CQch2gIS43elaB5fGI04PvJc8CqwkLucuPClA9l+L+mIaFWFFkXOd7WJJQzDJScFWKPSy7Mw==" saltValue="N3PIRx2HoaLYdv9sClAcpQ==" spinCount="100000" sheet="1" objects="1" scenarios="1" selectLockedCells="1"/>
  <mergeCells count="7">
    <mergeCell ref="M200:AG201"/>
    <mergeCell ref="AQ1:AR1"/>
    <mergeCell ref="AQ2:AR3"/>
    <mergeCell ref="AH1:AK1"/>
    <mergeCell ref="AL1:AP1"/>
    <mergeCell ref="AH2:AK3"/>
    <mergeCell ref="AL2:AP3"/>
  </mergeCells>
  <conditionalFormatting sqref="AQ2:AR3">
    <cfRule type="cellIs" dxfId="322" priority="3" operator="equal">
      <formula>1</formula>
    </cfRule>
    <cfRule type="cellIs" dxfId="321" priority="4" operator="between">
      <formula>0.51</formula>
      <formula>0.99</formula>
    </cfRule>
    <cfRule type="cellIs" dxfId="320" priority="5" operator="lessThanOrEqual">
      <formula>0.5</formula>
    </cfRule>
  </conditionalFormatting>
  <conditionalFormatting sqref="AH2 AL2">
    <cfRule type="expression" dxfId="319" priority="1">
      <formula>OR(PROJSTATUS=PROJSTATELI,PROJSTATUS=PROJSTATEXP,PROJSTATUS=PROJSTATUNDER)</formula>
    </cfRule>
    <cfRule type="expression" dxfId="318" priority="2">
      <formula>PROJSTATUS=PROJSTATFILLINITIAL</formula>
    </cfRule>
    <cfRule type="expression" dxfId="317" priority="6">
      <formula>PROJSTATUS=PROJSTATPREAPPROVE</formula>
    </cfRule>
    <cfRule type="expression" dxfId="316" priority="7">
      <formula>OR(PROJSTATUS=PROJSTATSSUBMITINITIAL,PROJSTATUS=PROJSTATREVIEW)</formula>
    </cfRule>
  </conditionalFormatting>
  <hyperlinks>
    <hyperlink ref="B202" r:id="rId1" display="NIPSCO.Savings@LMCO.com" xr:uid="{00000000-0004-0000-0B00-000000000000}"/>
  </hyperlinks>
  <pageMargins left="0.25" right="0.25" top="0.25" bottom="0.25" header="0.25" footer="0.25"/>
  <pageSetup scale="62" fitToHeight="0" orientation="landscape"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pageSetUpPr fitToPage="1"/>
  </sheetPr>
  <dimension ref="A1:BZ202"/>
  <sheetViews>
    <sheetView showRowColHeaders="0" zoomScale="85" zoomScaleNormal="85" workbookViewId="0">
      <selection activeCell="F10" sqref="F10:AN10"/>
    </sheetView>
  </sheetViews>
  <sheetFormatPr defaultColWidth="0" defaultRowHeight="15" customHeight="1" x14ac:dyDescent="0.25"/>
  <cols>
    <col min="1" max="45" width="4.7109375" customWidth="1"/>
    <col min="46" max="78" width="9.140625" customWidth="1"/>
    <col min="79" max="16384" width="9.140625" hidden="1"/>
  </cols>
  <sheetData>
    <row r="1" spans="3:43" ht="15.95" customHeight="1" x14ac:dyDescent="0.25"/>
    <row r="2" spans="3:43" ht="15.95" customHeight="1" x14ac:dyDescent="0.25"/>
    <row r="3" spans="3:43" ht="15.95" customHeight="1" x14ac:dyDescent="0.25"/>
    <row r="4" spans="3:43" ht="15.95" customHeight="1" x14ac:dyDescent="0.25"/>
    <row r="5" spans="3:43" ht="15.95" customHeight="1" x14ac:dyDescent="0.25"/>
    <row r="6" spans="3:43" ht="15.95" customHeight="1" x14ac:dyDescent="0.25"/>
    <row r="7" spans="3:43" ht="15.95" customHeight="1" x14ac:dyDescent="0.25"/>
    <row r="8" spans="3:43" ht="15.95" customHeight="1" x14ac:dyDescent="0.25"/>
    <row r="9" spans="3:43" ht="15.95" customHeight="1" x14ac:dyDescent="0.25"/>
    <row r="10" spans="3:43" ht="15.95" customHeight="1" x14ac:dyDescent="0.25">
      <c r="F10" s="806"/>
      <c r="G10" s="806"/>
      <c r="H10" s="806"/>
      <c r="I10" s="806"/>
      <c r="J10" s="806"/>
      <c r="K10" s="806"/>
      <c r="L10" s="806"/>
      <c r="M10" s="806"/>
      <c r="N10" s="806"/>
      <c r="O10" s="806"/>
      <c r="P10" s="806"/>
      <c r="Q10" s="806"/>
      <c r="R10" s="806"/>
      <c r="S10" s="806"/>
      <c r="T10" s="806"/>
      <c r="U10" s="806"/>
      <c r="V10" s="806"/>
      <c r="W10" s="806"/>
      <c r="X10" s="806"/>
      <c r="Y10" s="806"/>
      <c r="Z10" s="806"/>
      <c r="AA10" s="806"/>
      <c r="AB10" s="806"/>
      <c r="AC10" s="806"/>
      <c r="AD10" s="806"/>
      <c r="AE10" s="806"/>
      <c r="AF10" s="806"/>
      <c r="AG10" s="806"/>
      <c r="AH10" s="806"/>
      <c r="AI10" s="806"/>
      <c r="AJ10" s="806"/>
      <c r="AK10" s="806"/>
      <c r="AL10" s="806"/>
      <c r="AM10" s="806"/>
      <c r="AN10" s="806"/>
    </row>
    <row r="11" spans="3:43" ht="15.95" customHeight="1" x14ac:dyDescent="0.25">
      <c r="F11" s="779"/>
      <c r="G11" s="779"/>
      <c r="H11" s="779"/>
      <c r="I11" s="779"/>
      <c r="J11" s="779"/>
      <c r="K11" s="779"/>
      <c r="L11" s="779"/>
      <c r="M11" s="779"/>
      <c r="N11" s="779"/>
      <c r="O11" s="779"/>
      <c r="P11" s="779"/>
      <c r="Q11" s="779"/>
      <c r="R11" s="779"/>
      <c r="S11" s="779"/>
      <c r="T11" s="779"/>
      <c r="U11" s="779"/>
      <c r="V11" s="779"/>
      <c r="W11" s="779"/>
      <c r="X11" s="779"/>
      <c r="Y11" s="779"/>
      <c r="Z11" s="779"/>
      <c r="AA11" s="779"/>
      <c r="AB11" s="779"/>
      <c r="AC11" s="779"/>
      <c r="AD11" s="779"/>
      <c r="AE11" s="779"/>
      <c r="AF11" s="779"/>
      <c r="AG11" s="779"/>
      <c r="AH11" s="779"/>
      <c r="AI11" s="779"/>
      <c r="AJ11" s="779"/>
      <c r="AK11" s="779"/>
      <c r="AL11" s="779"/>
      <c r="AM11" s="779"/>
      <c r="AN11" s="779"/>
    </row>
    <row r="12" spans="3:43" ht="15.95" customHeight="1" x14ac:dyDescent="0.25"/>
    <row r="13" spans="3:43" ht="15.95" customHeight="1" x14ac:dyDescent="0.25">
      <c r="C13" s="780"/>
      <c r="D13" s="780"/>
      <c r="E13" s="780"/>
      <c r="F13" s="780"/>
      <c r="G13" s="780"/>
      <c r="H13" s="780"/>
      <c r="J13" s="780"/>
      <c r="K13" s="780"/>
      <c r="L13" s="780"/>
      <c r="M13" s="780"/>
      <c r="N13" s="780"/>
      <c r="O13" s="780"/>
      <c r="Q13" s="780"/>
      <c r="R13" s="780"/>
      <c r="S13" s="780"/>
      <c r="T13" s="780"/>
      <c r="U13" s="780"/>
      <c r="V13" s="780"/>
      <c r="X13" s="780"/>
      <c r="Y13" s="780"/>
      <c r="Z13" s="780"/>
      <c r="AA13" s="780"/>
      <c r="AB13" s="780"/>
      <c r="AC13" s="780"/>
      <c r="AE13" s="780"/>
      <c r="AF13" s="780"/>
      <c r="AG13" s="780"/>
      <c r="AH13" s="780"/>
      <c r="AI13" s="780"/>
      <c r="AJ13" s="780"/>
      <c r="AL13" s="780"/>
      <c r="AM13" s="780"/>
      <c r="AN13" s="780"/>
      <c r="AO13" s="780"/>
      <c r="AP13" s="780"/>
      <c r="AQ13" s="780"/>
    </row>
    <row r="14" spans="3:43" ht="15.95" customHeight="1" x14ac:dyDescent="0.25">
      <c r="C14" s="780"/>
      <c r="D14" s="780"/>
      <c r="E14" s="780"/>
      <c r="F14" s="780"/>
      <c r="G14" s="780"/>
      <c r="H14" s="780"/>
      <c r="J14" s="780"/>
      <c r="K14" s="780"/>
      <c r="L14" s="780"/>
      <c r="M14" s="780"/>
      <c r="N14" s="780"/>
      <c r="O14" s="780"/>
      <c r="Q14" s="780"/>
      <c r="R14" s="780"/>
      <c r="S14" s="780"/>
      <c r="T14" s="780"/>
      <c r="U14" s="780"/>
      <c r="V14" s="780"/>
      <c r="X14" s="780"/>
      <c r="Y14" s="780"/>
      <c r="Z14" s="780"/>
      <c r="AA14" s="780"/>
      <c r="AB14" s="780"/>
      <c r="AC14" s="780"/>
      <c r="AE14" s="780"/>
      <c r="AF14" s="780"/>
      <c r="AG14" s="780"/>
      <c r="AH14" s="780"/>
      <c r="AI14" s="780"/>
      <c r="AJ14" s="780"/>
      <c r="AL14" s="780"/>
      <c r="AM14" s="780"/>
      <c r="AN14" s="780"/>
      <c r="AO14" s="780"/>
      <c r="AP14" s="780"/>
      <c r="AQ14" s="780"/>
    </row>
    <row r="15" spans="3:43" ht="15.95" customHeight="1" x14ac:dyDescent="0.25"/>
    <row r="16" spans="3:43" ht="15.95" customHeight="1" x14ac:dyDescent="0.25">
      <c r="C16" s="780"/>
      <c r="D16" s="780"/>
      <c r="E16" s="780"/>
      <c r="F16" s="780"/>
      <c r="G16" s="780"/>
      <c r="H16" s="780"/>
      <c r="J16" s="780"/>
      <c r="K16" s="780"/>
      <c r="L16" s="780"/>
      <c r="M16" s="780"/>
      <c r="N16" s="780"/>
      <c r="O16" s="780"/>
      <c r="Q16" s="780"/>
      <c r="R16" s="780"/>
      <c r="S16" s="780"/>
      <c r="T16" s="780"/>
      <c r="U16" s="780"/>
      <c r="V16" s="780"/>
      <c r="X16" s="780"/>
      <c r="Y16" s="780"/>
      <c r="Z16" s="780"/>
      <c r="AA16" s="780"/>
      <c r="AB16" s="780"/>
      <c r="AC16" s="780"/>
      <c r="AE16" s="780"/>
      <c r="AF16" s="780"/>
      <c r="AG16" s="780"/>
      <c r="AH16" s="780"/>
      <c r="AI16" s="780"/>
      <c r="AJ16" s="780"/>
      <c r="AL16" s="780"/>
      <c r="AM16" s="780"/>
      <c r="AN16" s="780"/>
      <c r="AO16" s="780"/>
      <c r="AP16" s="780"/>
      <c r="AQ16" s="780"/>
    </row>
    <row r="17" spans="3:43" ht="15.95" customHeight="1" x14ac:dyDescent="0.25">
      <c r="C17" s="780"/>
      <c r="D17" s="780"/>
      <c r="E17" s="780"/>
      <c r="F17" s="780"/>
      <c r="G17" s="780"/>
      <c r="H17" s="780"/>
      <c r="J17" s="780"/>
      <c r="K17" s="780"/>
      <c r="L17" s="780"/>
      <c r="M17" s="780"/>
      <c r="N17" s="780"/>
      <c r="O17" s="780"/>
      <c r="Q17" s="780"/>
      <c r="R17" s="780"/>
      <c r="S17" s="780"/>
      <c r="T17" s="780"/>
      <c r="U17" s="780"/>
      <c r="V17" s="780"/>
      <c r="X17" s="780"/>
      <c r="Y17" s="780"/>
      <c r="Z17" s="780"/>
      <c r="AA17" s="780"/>
      <c r="AB17" s="780"/>
      <c r="AC17" s="780"/>
      <c r="AE17" s="780"/>
      <c r="AF17" s="780"/>
      <c r="AG17" s="780"/>
      <c r="AH17" s="780"/>
      <c r="AI17" s="780"/>
      <c r="AJ17" s="780"/>
      <c r="AL17" s="780"/>
      <c r="AM17" s="780"/>
      <c r="AN17" s="780"/>
      <c r="AO17" s="780"/>
      <c r="AP17" s="780"/>
      <c r="AQ17" s="780"/>
    </row>
    <row r="18" spans="3:43" ht="15.95" customHeight="1" x14ac:dyDescent="0.25"/>
    <row r="19" spans="3:43" ht="15.95" customHeight="1" x14ac:dyDescent="0.25">
      <c r="C19" s="780"/>
      <c r="D19" s="780"/>
      <c r="E19" s="780"/>
      <c r="F19" s="780"/>
      <c r="G19" s="780"/>
      <c r="H19" s="780"/>
      <c r="J19" s="780"/>
      <c r="K19" s="780"/>
      <c r="L19" s="780"/>
      <c r="M19" s="780"/>
      <c r="N19" s="780"/>
      <c r="O19" s="780"/>
      <c r="Q19" s="780"/>
      <c r="R19" s="780"/>
      <c r="S19" s="780"/>
      <c r="T19" s="780"/>
      <c r="U19" s="780"/>
      <c r="V19" s="780"/>
      <c r="X19" s="780"/>
      <c r="Y19" s="780"/>
      <c r="Z19" s="780"/>
      <c r="AA19" s="780"/>
      <c r="AB19" s="780"/>
      <c r="AC19" s="780"/>
      <c r="AE19" s="780"/>
      <c r="AF19" s="780"/>
      <c r="AG19" s="780"/>
      <c r="AH19" s="780"/>
      <c r="AI19" s="780"/>
      <c r="AJ19" s="780"/>
      <c r="AL19" s="780"/>
      <c r="AM19" s="780"/>
      <c r="AN19" s="780"/>
      <c r="AO19" s="780"/>
      <c r="AP19" s="780"/>
      <c r="AQ19" s="780"/>
    </row>
    <row r="20" spans="3:43" ht="15.95" customHeight="1" x14ac:dyDescent="0.25">
      <c r="C20" s="780"/>
      <c r="D20" s="780"/>
      <c r="E20" s="780"/>
      <c r="F20" s="780"/>
      <c r="G20" s="780"/>
      <c r="H20" s="780"/>
      <c r="J20" s="780"/>
      <c r="K20" s="780"/>
      <c r="L20" s="780"/>
      <c r="M20" s="780"/>
      <c r="N20" s="780"/>
      <c r="O20" s="780"/>
      <c r="Q20" s="780"/>
      <c r="R20" s="780"/>
      <c r="S20" s="780"/>
      <c r="T20" s="780"/>
      <c r="U20" s="780"/>
      <c r="V20" s="780"/>
      <c r="X20" s="780"/>
      <c r="Y20" s="780"/>
      <c r="Z20" s="780"/>
      <c r="AA20" s="780"/>
      <c r="AB20" s="780"/>
      <c r="AC20" s="780"/>
      <c r="AE20" s="780"/>
      <c r="AF20" s="780"/>
      <c r="AG20" s="780"/>
      <c r="AH20" s="780"/>
      <c r="AI20" s="780"/>
      <c r="AJ20" s="780"/>
      <c r="AL20" s="780"/>
      <c r="AM20" s="780"/>
      <c r="AN20" s="780"/>
      <c r="AO20" s="780"/>
      <c r="AP20" s="780"/>
      <c r="AQ20" s="780"/>
    </row>
    <row r="21" spans="3:43" ht="15.95" customHeight="1" x14ac:dyDescent="0.25"/>
    <row r="22" spans="3:43" ht="15.95" customHeight="1" x14ac:dyDescent="0.25">
      <c r="C22" s="780"/>
      <c r="D22" s="780"/>
      <c r="E22" s="780"/>
      <c r="F22" s="780"/>
      <c r="G22" s="780"/>
      <c r="H22" s="780"/>
      <c r="J22" s="780"/>
      <c r="K22" s="780"/>
      <c r="L22" s="780"/>
      <c r="M22" s="780"/>
      <c r="N22" s="780"/>
      <c r="O22" s="780"/>
      <c r="Q22" s="780"/>
      <c r="R22" s="780"/>
      <c r="S22" s="780"/>
      <c r="T22" s="780"/>
      <c r="U22" s="780"/>
      <c r="V22" s="780"/>
      <c r="X22" s="780"/>
      <c r="Y22" s="780"/>
      <c r="Z22" s="780"/>
      <c r="AA22" s="780"/>
      <c r="AB22" s="780"/>
      <c r="AC22" s="780"/>
      <c r="AE22" s="780"/>
      <c r="AF22" s="780"/>
      <c r="AG22" s="780"/>
      <c r="AH22" s="780"/>
      <c r="AI22" s="780"/>
      <c r="AJ22" s="780"/>
      <c r="AL22" s="780"/>
      <c r="AM22" s="780"/>
      <c r="AN22" s="780"/>
      <c r="AO22" s="780"/>
      <c r="AP22" s="780"/>
      <c r="AQ22" s="780"/>
    </row>
    <row r="23" spans="3:43" ht="15.95" customHeight="1" x14ac:dyDescent="0.25">
      <c r="C23" s="780"/>
      <c r="D23" s="780"/>
      <c r="E23" s="780"/>
      <c r="F23" s="780"/>
      <c r="G23" s="780"/>
      <c r="H23" s="780"/>
      <c r="J23" s="780"/>
      <c r="K23" s="780"/>
      <c r="L23" s="780"/>
      <c r="M23" s="780"/>
      <c r="N23" s="780"/>
      <c r="O23" s="780"/>
      <c r="Q23" s="780"/>
      <c r="R23" s="780"/>
      <c r="S23" s="780"/>
      <c r="T23" s="780"/>
      <c r="U23" s="780"/>
      <c r="V23" s="780"/>
      <c r="X23" s="780"/>
      <c r="Y23" s="780"/>
      <c r="Z23" s="780"/>
      <c r="AA23" s="780"/>
      <c r="AB23" s="780"/>
      <c r="AC23" s="780"/>
      <c r="AE23" s="780"/>
      <c r="AF23" s="780"/>
      <c r="AG23" s="780"/>
      <c r="AH23" s="780"/>
      <c r="AI23" s="780"/>
      <c r="AJ23" s="780"/>
      <c r="AL23" s="780"/>
      <c r="AM23" s="780"/>
      <c r="AN23" s="780"/>
      <c r="AO23" s="780"/>
      <c r="AP23" s="780"/>
      <c r="AQ23" s="780"/>
    </row>
    <row r="24" spans="3:43" ht="15.95" customHeight="1" x14ac:dyDescent="0.25"/>
    <row r="25" spans="3:43" ht="15.95" customHeight="1" x14ac:dyDescent="0.25"/>
    <row r="26" spans="3:43" ht="15.95" customHeight="1" x14ac:dyDescent="0.25">
      <c r="F26" s="780" t="s">
        <v>72</v>
      </c>
      <c r="G26" s="780"/>
      <c r="H26" s="780"/>
      <c r="I26" s="780"/>
      <c r="J26" s="780"/>
      <c r="K26" s="780"/>
      <c r="L26" s="780"/>
      <c r="M26" s="780"/>
      <c r="N26" s="780"/>
      <c r="O26" s="780"/>
      <c r="P26" s="780"/>
      <c r="Q26" s="780"/>
      <c r="R26" s="780"/>
      <c r="S26" s="780"/>
      <c r="T26" s="780"/>
      <c r="U26" s="780"/>
      <c r="V26" s="780"/>
      <c r="W26" s="780"/>
      <c r="X26" s="780"/>
      <c r="Y26" s="780"/>
      <c r="Z26" s="780"/>
      <c r="AA26" s="780"/>
      <c r="AB26" s="780"/>
      <c r="AC26" s="780"/>
      <c r="AD26" s="780"/>
      <c r="AE26" s="780"/>
      <c r="AF26" s="780"/>
      <c r="AG26" s="780"/>
      <c r="AH26" s="780"/>
      <c r="AI26" s="780"/>
      <c r="AJ26" s="780"/>
      <c r="AK26" s="780"/>
      <c r="AL26" s="780"/>
      <c r="AM26" s="780"/>
      <c r="AN26" s="780"/>
    </row>
    <row r="27" spans="3:43" ht="15.95" customHeight="1" x14ac:dyDescent="0.25">
      <c r="F27" s="780" t="s">
        <v>73</v>
      </c>
      <c r="G27" s="780"/>
      <c r="H27" s="780"/>
      <c r="I27" s="780"/>
      <c r="J27" s="780"/>
      <c r="K27" s="780"/>
      <c r="L27" s="780"/>
      <c r="M27" s="780"/>
      <c r="N27" s="780"/>
      <c r="O27" s="780"/>
      <c r="P27" s="780"/>
      <c r="Q27" s="780"/>
      <c r="R27" s="780"/>
      <c r="S27" s="780"/>
      <c r="T27" s="780"/>
      <c r="U27" s="780"/>
      <c r="V27" s="780"/>
      <c r="W27" s="780"/>
      <c r="X27" s="780"/>
      <c r="Y27" s="780"/>
      <c r="Z27" s="780"/>
      <c r="AA27" s="780"/>
      <c r="AB27" s="780"/>
      <c r="AC27" s="780"/>
      <c r="AD27" s="780"/>
      <c r="AE27" s="780"/>
      <c r="AF27" s="780"/>
      <c r="AG27" s="780"/>
      <c r="AH27" s="780"/>
      <c r="AI27" s="780"/>
      <c r="AJ27" s="780"/>
      <c r="AK27" s="780"/>
      <c r="AL27" s="780"/>
      <c r="AM27" s="780"/>
      <c r="AN27" s="780"/>
    </row>
    <row r="28" spans="3:43" ht="15.95" customHeight="1" x14ac:dyDescent="0.25"/>
    <row r="29" spans="3:43" ht="15.95" customHeight="1" x14ac:dyDescent="0.25">
      <c r="C29" s="780"/>
      <c r="D29" s="780"/>
      <c r="E29" s="780"/>
      <c r="F29" s="780"/>
      <c r="G29" s="780"/>
      <c r="H29" s="780"/>
      <c r="J29" s="780"/>
      <c r="K29" s="780"/>
      <c r="L29" s="780"/>
      <c r="M29" s="780"/>
      <c r="N29" s="780"/>
      <c r="O29" s="780"/>
      <c r="Q29" s="780"/>
      <c r="R29" s="780"/>
      <c r="S29" s="780"/>
      <c r="T29" s="780"/>
      <c r="U29" s="780"/>
      <c r="V29" s="780"/>
      <c r="X29" s="780"/>
      <c r="Y29" s="780"/>
      <c r="Z29" s="780"/>
      <c r="AA29" s="780"/>
      <c r="AB29" s="780"/>
      <c r="AC29" s="780"/>
      <c r="AE29" s="780"/>
      <c r="AF29" s="780"/>
      <c r="AG29" s="780"/>
      <c r="AH29" s="780"/>
      <c r="AI29" s="780"/>
      <c r="AJ29" s="780"/>
      <c r="AL29" s="780"/>
      <c r="AM29" s="780"/>
      <c r="AN29" s="780"/>
      <c r="AO29" s="780"/>
      <c r="AP29" s="780"/>
      <c r="AQ29" s="780"/>
    </row>
    <row r="30" spans="3:43" ht="15.95" customHeight="1" x14ac:dyDescent="0.25">
      <c r="C30" s="780"/>
      <c r="D30" s="780"/>
      <c r="E30" s="780"/>
      <c r="F30" s="780"/>
      <c r="G30" s="780"/>
      <c r="H30" s="780"/>
      <c r="J30" s="780"/>
      <c r="K30" s="780"/>
      <c r="L30" s="780"/>
      <c r="M30" s="780"/>
      <c r="N30" s="780"/>
      <c r="O30" s="780"/>
      <c r="Q30" s="780"/>
      <c r="R30" s="780"/>
      <c r="S30" s="780"/>
      <c r="T30" s="780"/>
      <c r="U30" s="780"/>
      <c r="V30" s="780"/>
      <c r="X30" s="780"/>
      <c r="Y30" s="780"/>
      <c r="Z30" s="780"/>
      <c r="AA30" s="780"/>
      <c r="AB30" s="780"/>
      <c r="AC30" s="780"/>
      <c r="AE30" s="780"/>
      <c r="AF30" s="780"/>
      <c r="AG30" s="780"/>
      <c r="AH30" s="780"/>
      <c r="AI30" s="780"/>
      <c r="AJ30" s="780"/>
      <c r="AL30" s="780"/>
      <c r="AM30" s="780"/>
      <c r="AN30" s="780"/>
      <c r="AO30" s="780"/>
      <c r="AP30" s="780"/>
      <c r="AQ30" s="780"/>
    </row>
    <row r="31" spans="3:43" ht="15.95" customHeight="1" x14ac:dyDescent="0.25"/>
    <row r="32" spans="3:43" ht="15.95" customHeight="1" x14ac:dyDescent="0.25">
      <c r="C32" s="780"/>
      <c r="D32" s="780"/>
      <c r="E32" s="780"/>
      <c r="F32" s="780"/>
      <c r="G32" s="780"/>
      <c r="H32" s="780"/>
      <c r="J32" s="780"/>
      <c r="K32" s="780"/>
      <c r="L32" s="780"/>
      <c r="M32" s="780"/>
      <c r="N32" s="780"/>
      <c r="O32" s="780"/>
      <c r="Q32" s="780"/>
      <c r="R32" s="780"/>
      <c r="S32" s="780"/>
      <c r="T32" s="780"/>
      <c r="U32" s="780"/>
      <c r="V32" s="780"/>
      <c r="X32" s="780"/>
      <c r="Y32" s="780"/>
      <c r="Z32" s="780"/>
      <c r="AA32" s="780"/>
      <c r="AB32" s="780"/>
      <c r="AC32" s="780"/>
      <c r="AE32" s="780"/>
      <c r="AF32" s="780"/>
      <c r="AG32" s="780"/>
      <c r="AH32" s="780"/>
      <c r="AI32" s="780"/>
      <c r="AJ32" s="780"/>
      <c r="AL32" s="780"/>
      <c r="AM32" s="780"/>
      <c r="AN32" s="780"/>
      <c r="AO32" s="780"/>
      <c r="AP32" s="780"/>
      <c r="AQ32" s="780"/>
    </row>
    <row r="33" spans="3:43" ht="15.95" customHeight="1" x14ac:dyDescent="0.25">
      <c r="C33" s="780"/>
      <c r="D33" s="780"/>
      <c r="E33" s="780"/>
      <c r="F33" s="780"/>
      <c r="G33" s="780"/>
      <c r="H33" s="780"/>
      <c r="J33" s="780"/>
      <c r="K33" s="780"/>
      <c r="L33" s="780"/>
      <c r="M33" s="780"/>
      <c r="N33" s="780"/>
      <c r="O33" s="780"/>
      <c r="Q33" s="780"/>
      <c r="R33" s="780"/>
      <c r="S33" s="780"/>
      <c r="T33" s="780"/>
      <c r="U33" s="780"/>
      <c r="V33" s="780"/>
      <c r="X33" s="780"/>
      <c r="Y33" s="780"/>
      <c r="Z33" s="780"/>
      <c r="AA33" s="780"/>
      <c r="AB33" s="780"/>
      <c r="AC33" s="780"/>
      <c r="AE33" s="780"/>
      <c r="AF33" s="780"/>
      <c r="AG33" s="780"/>
      <c r="AH33" s="780"/>
      <c r="AI33" s="780"/>
      <c r="AJ33" s="780"/>
      <c r="AL33" s="780"/>
      <c r="AM33" s="780"/>
      <c r="AN33" s="780"/>
      <c r="AO33" s="780"/>
      <c r="AP33" s="780"/>
      <c r="AQ33" s="780"/>
    </row>
    <row r="34" spans="3:43" ht="15.95" customHeight="1" x14ac:dyDescent="0.25"/>
    <row r="35" spans="3:43" ht="15.95" customHeight="1" x14ac:dyDescent="0.25">
      <c r="C35" s="780"/>
      <c r="D35" s="780"/>
      <c r="E35" s="780"/>
      <c r="F35" s="780"/>
      <c r="G35" s="780"/>
      <c r="H35" s="780"/>
      <c r="J35" s="780"/>
      <c r="K35" s="780"/>
      <c r="L35" s="780"/>
      <c r="M35" s="780"/>
      <c r="N35" s="780"/>
      <c r="O35" s="780"/>
      <c r="Q35" s="780"/>
      <c r="R35" s="780"/>
      <c r="S35" s="780"/>
      <c r="T35" s="780"/>
      <c r="U35" s="780"/>
      <c r="V35" s="780"/>
      <c r="X35" s="780"/>
      <c r="Y35" s="780"/>
      <c r="Z35" s="780"/>
      <c r="AA35" s="780"/>
      <c r="AB35" s="780"/>
      <c r="AC35" s="780"/>
      <c r="AE35" s="780"/>
      <c r="AF35" s="780"/>
      <c r="AG35" s="780"/>
      <c r="AH35" s="780"/>
      <c r="AI35" s="780"/>
      <c r="AJ35" s="780"/>
      <c r="AL35" s="780"/>
      <c r="AM35" s="780"/>
      <c r="AN35" s="780"/>
      <c r="AO35" s="780"/>
      <c r="AP35" s="780"/>
      <c r="AQ35" s="780"/>
    </row>
    <row r="36" spans="3:43" ht="15.95" customHeight="1" x14ac:dyDescent="0.25">
      <c r="C36" s="780"/>
      <c r="D36" s="780"/>
      <c r="E36" s="780"/>
      <c r="F36" s="780"/>
      <c r="G36" s="780"/>
      <c r="H36" s="780"/>
      <c r="J36" s="780"/>
      <c r="K36" s="780"/>
      <c r="L36" s="780"/>
      <c r="M36" s="780"/>
      <c r="N36" s="780"/>
      <c r="O36" s="780"/>
      <c r="Q36" s="780"/>
      <c r="R36" s="780"/>
      <c r="S36" s="780"/>
      <c r="T36" s="780"/>
      <c r="U36" s="780"/>
      <c r="V36" s="780"/>
      <c r="X36" s="780"/>
      <c r="Y36" s="780"/>
      <c r="Z36" s="780"/>
      <c r="AA36" s="780"/>
      <c r="AB36" s="780"/>
      <c r="AC36" s="780"/>
      <c r="AE36" s="780"/>
      <c r="AF36" s="780"/>
      <c r="AG36" s="780"/>
      <c r="AH36" s="780"/>
      <c r="AI36" s="780"/>
      <c r="AJ36" s="780"/>
      <c r="AL36" s="780"/>
      <c r="AM36" s="780"/>
      <c r="AN36" s="780"/>
      <c r="AO36" s="780"/>
      <c r="AP36" s="780"/>
      <c r="AQ36" s="780"/>
    </row>
    <row r="37" spans="3:43" ht="15.95" customHeight="1" x14ac:dyDescent="0.25"/>
    <row r="38" spans="3:43" ht="15.95" customHeight="1" x14ac:dyDescent="0.25">
      <c r="C38" s="780"/>
      <c r="D38" s="780"/>
      <c r="E38" s="780"/>
      <c r="F38" s="780"/>
      <c r="G38" s="780"/>
      <c r="H38" s="780"/>
      <c r="J38" s="780"/>
      <c r="K38" s="780"/>
      <c r="L38" s="780"/>
      <c r="M38" s="780"/>
      <c r="N38" s="780"/>
      <c r="O38" s="780"/>
      <c r="Q38" s="780"/>
      <c r="R38" s="780"/>
      <c r="S38" s="780"/>
      <c r="T38" s="780"/>
      <c r="U38" s="780"/>
      <c r="V38" s="780"/>
      <c r="X38" s="780"/>
      <c r="Y38" s="780"/>
      <c r="Z38" s="780"/>
      <c r="AA38" s="780"/>
      <c r="AB38" s="780"/>
      <c r="AC38" s="780"/>
      <c r="AE38" s="780"/>
      <c r="AF38" s="780"/>
      <c r="AG38" s="780"/>
      <c r="AH38" s="780"/>
      <c r="AI38" s="780"/>
      <c r="AJ38" s="780"/>
      <c r="AL38" s="780"/>
      <c r="AM38" s="780"/>
      <c r="AN38" s="780"/>
      <c r="AO38" s="780"/>
      <c r="AP38" s="780"/>
      <c r="AQ38" s="780"/>
    </row>
    <row r="39" spans="3:43" ht="15.95" customHeight="1" x14ac:dyDescent="0.25">
      <c r="C39" s="780"/>
      <c r="D39" s="780"/>
      <c r="E39" s="780"/>
      <c r="F39" s="780"/>
      <c r="G39" s="780"/>
      <c r="H39" s="780"/>
      <c r="J39" s="780"/>
      <c r="K39" s="780"/>
      <c r="L39" s="780"/>
      <c r="M39" s="780"/>
      <c r="N39" s="780"/>
      <c r="O39" s="780"/>
      <c r="Q39" s="780"/>
      <c r="R39" s="780"/>
      <c r="S39" s="780"/>
      <c r="T39" s="780"/>
      <c r="U39" s="780"/>
      <c r="V39" s="780"/>
      <c r="X39" s="780"/>
      <c r="Y39" s="780"/>
      <c r="Z39" s="780"/>
      <c r="AA39" s="780"/>
      <c r="AB39" s="780"/>
      <c r="AC39" s="780"/>
      <c r="AE39" s="780"/>
      <c r="AF39" s="780"/>
      <c r="AG39" s="780"/>
      <c r="AH39" s="780"/>
      <c r="AI39" s="780"/>
      <c r="AJ39" s="780"/>
      <c r="AL39" s="780"/>
      <c r="AM39" s="780"/>
      <c r="AN39" s="780"/>
      <c r="AO39" s="780"/>
      <c r="AP39" s="780"/>
      <c r="AQ39" s="780"/>
    </row>
    <row r="40" spans="3:43" ht="15.95" customHeight="1" x14ac:dyDescent="0.25"/>
    <row r="41" spans="3:43" ht="15.95" customHeight="1" x14ac:dyDescent="0.25"/>
    <row r="42" spans="3:43" ht="15.95" customHeight="1" x14ac:dyDescent="0.25"/>
    <row r="43" spans="3:43" ht="15.95" customHeight="1" x14ac:dyDescent="0.25"/>
    <row r="44" spans="3:43" ht="15.95" customHeight="1" x14ac:dyDescent="0.25"/>
    <row r="45" spans="3:43" ht="15.95" customHeight="1" x14ac:dyDescent="0.25"/>
    <row r="46" spans="3:43" ht="15.95" customHeight="1" x14ac:dyDescent="0.25"/>
    <row r="47" spans="3:43" ht="15.95" customHeight="1" x14ac:dyDescent="0.25"/>
    <row r="48" spans="3:43" ht="15.95" customHeight="1" x14ac:dyDescent="0.25"/>
    <row r="49" ht="15.95" customHeight="1" x14ac:dyDescent="0.25"/>
    <row r="50" ht="15.95" customHeight="1" x14ac:dyDescent="0.25"/>
    <row r="51" ht="15.95" customHeight="1" x14ac:dyDescent="0.25"/>
    <row r="52" ht="15.95" customHeight="1" x14ac:dyDescent="0.25"/>
    <row r="53" ht="15.95" customHeight="1" x14ac:dyDescent="0.25"/>
    <row r="54" ht="15.95" customHeight="1" x14ac:dyDescent="0.25"/>
    <row r="55" ht="15.95" customHeight="1" x14ac:dyDescent="0.25"/>
    <row r="56" s="63" customFormat="1" ht="15.95" customHeight="1" x14ac:dyDescent="0.25"/>
    <row r="57" ht="15.95" customHeight="1" x14ac:dyDescent="0.25"/>
    <row r="58" ht="15.95" customHeight="1" x14ac:dyDescent="0.25"/>
    <row r="59" ht="15.95" customHeight="1" x14ac:dyDescent="0.25"/>
    <row r="60" ht="15.95" customHeight="1" x14ac:dyDescent="0.25"/>
    <row r="61" ht="15.95" customHeight="1" x14ac:dyDescent="0.25"/>
    <row r="62" ht="15.95" customHeight="1" x14ac:dyDescent="0.25"/>
    <row r="63" ht="15.95" customHeight="1" x14ac:dyDescent="0.25"/>
    <row r="64" ht="15.95" customHeight="1" x14ac:dyDescent="0.25"/>
    <row r="65" ht="15.95" customHeight="1" x14ac:dyDescent="0.25"/>
    <row r="66" ht="15.95" customHeight="1" x14ac:dyDescent="0.25"/>
    <row r="67" ht="15.95" customHeight="1" x14ac:dyDescent="0.25"/>
    <row r="68" ht="15.95" customHeight="1" x14ac:dyDescent="0.25"/>
    <row r="69" ht="15.95" customHeight="1" x14ac:dyDescent="0.25"/>
    <row r="70" ht="15.95" customHeight="1" x14ac:dyDescent="0.25"/>
    <row r="71" ht="15.95" customHeight="1" x14ac:dyDescent="0.25"/>
    <row r="72" ht="15.95" customHeight="1" x14ac:dyDescent="0.25"/>
    <row r="73" ht="15.95" customHeight="1" x14ac:dyDescent="0.25"/>
    <row r="74" ht="15.95" customHeight="1" x14ac:dyDescent="0.25"/>
    <row r="75" ht="15.95" customHeight="1" x14ac:dyDescent="0.25"/>
    <row r="76" ht="15.95" customHeight="1" x14ac:dyDescent="0.25"/>
    <row r="77" ht="15.95" customHeight="1" x14ac:dyDescent="0.25"/>
    <row r="78" ht="15.95" customHeight="1" x14ac:dyDescent="0.25"/>
    <row r="79" ht="15.95" customHeight="1" x14ac:dyDescent="0.25"/>
    <row r="8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row r="105" ht="15.95" customHeight="1" x14ac:dyDescent="0.25"/>
    <row r="106" ht="15.95" customHeight="1" x14ac:dyDescent="0.25"/>
    <row r="107" ht="15.95" customHeight="1" x14ac:dyDescent="0.25"/>
    <row r="108" ht="15.95" customHeight="1" x14ac:dyDescent="0.25"/>
    <row r="109" ht="15.95" customHeight="1" x14ac:dyDescent="0.25"/>
    <row r="110" ht="15.95" customHeight="1" x14ac:dyDescent="0.25"/>
    <row r="111" ht="15.95" customHeight="1" x14ac:dyDescent="0.25"/>
    <row r="112" ht="15.95" customHeight="1" x14ac:dyDescent="0.25"/>
    <row r="113" ht="15.95" customHeight="1" x14ac:dyDescent="0.25"/>
    <row r="114" ht="15.95" customHeight="1" x14ac:dyDescent="0.25"/>
    <row r="115" ht="15.95" customHeight="1" x14ac:dyDescent="0.25"/>
    <row r="116" ht="15.95" customHeight="1" x14ac:dyDescent="0.25"/>
    <row r="117" ht="15.95" customHeight="1" x14ac:dyDescent="0.25"/>
    <row r="118" ht="15.95" customHeight="1" x14ac:dyDescent="0.25"/>
    <row r="119" ht="15.95" customHeight="1" x14ac:dyDescent="0.25"/>
    <row r="120" ht="15.95" customHeight="1" x14ac:dyDescent="0.25"/>
    <row r="121" ht="15.95" customHeight="1" x14ac:dyDescent="0.25"/>
    <row r="122" ht="15.95" customHeight="1" x14ac:dyDescent="0.25"/>
    <row r="123" ht="15.95" customHeight="1" x14ac:dyDescent="0.25"/>
    <row r="124" ht="15.95" customHeight="1" x14ac:dyDescent="0.25"/>
    <row r="125" ht="15.95" customHeight="1" x14ac:dyDescent="0.25"/>
    <row r="126" ht="15.95" customHeight="1" x14ac:dyDescent="0.25"/>
    <row r="127" ht="15.95" customHeight="1" x14ac:dyDescent="0.25"/>
    <row r="128" ht="15.95" customHeight="1" x14ac:dyDescent="0.25"/>
    <row r="129" ht="15.95" customHeight="1" x14ac:dyDescent="0.25"/>
    <row r="130" ht="15.95" customHeight="1" x14ac:dyDescent="0.25"/>
    <row r="131" ht="15.95" customHeight="1" x14ac:dyDescent="0.25"/>
    <row r="132" ht="15.95" customHeight="1" x14ac:dyDescent="0.25"/>
    <row r="133" ht="15.95" customHeight="1" x14ac:dyDescent="0.25"/>
    <row r="134" ht="15.95" customHeight="1" x14ac:dyDescent="0.25"/>
    <row r="135" ht="15.95" customHeight="1" x14ac:dyDescent="0.25"/>
    <row r="136" ht="15.95" customHeight="1" x14ac:dyDescent="0.25"/>
    <row r="137" ht="15.95" customHeight="1" x14ac:dyDescent="0.25"/>
    <row r="138" ht="15.95" customHeight="1" x14ac:dyDescent="0.25"/>
    <row r="139" ht="15.95" customHeight="1" x14ac:dyDescent="0.25"/>
    <row r="140" ht="15.95" customHeight="1" x14ac:dyDescent="0.25"/>
    <row r="141" ht="15.95" customHeight="1" x14ac:dyDescent="0.25"/>
    <row r="142" ht="15.95" customHeight="1" x14ac:dyDescent="0.25"/>
    <row r="143" ht="15.95" customHeight="1" x14ac:dyDescent="0.25"/>
    <row r="144" ht="15.95" customHeight="1" x14ac:dyDescent="0.25"/>
    <row r="145" ht="15.95" customHeight="1" x14ac:dyDescent="0.25"/>
    <row r="146" ht="15.95" customHeight="1" x14ac:dyDescent="0.25"/>
    <row r="147" ht="15.95" customHeight="1" x14ac:dyDescent="0.25"/>
    <row r="148" ht="15.95" customHeight="1" x14ac:dyDescent="0.25"/>
    <row r="149" ht="15.95" customHeight="1" x14ac:dyDescent="0.25"/>
    <row r="150" ht="15.95" customHeight="1" x14ac:dyDescent="0.25"/>
    <row r="151" ht="15.95" customHeight="1" x14ac:dyDescent="0.25"/>
    <row r="152" ht="15.95" customHeight="1" x14ac:dyDescent="0.25"/>
    <row r="153" ht="15.95" customHeight="1" x14ac:dyDescent="0.25"/>
    <row r="154" ht="15.95" customHeight="1" x14ac:dyDescent="0.25"/>
    <row r="155" ht="15.95" customHeight="1" x14ac:dyDescent="0.25"/>
    <row r="156" ht="15.95" customHeight="1" x14ac:dyDescent="0.25"/>
    <row r="157" ht="15.95" customHeight="1" x14ac:dyDescent="0.25"/>
    <row r="158" ht="15.95" customHeight="1" x14ac:dyDescent="0.25"/>
    <row r="159" ht="15.95" customHeight="1" x14ac:dyDescent="0.25"/>
    <row r="160" ht="15.95" customHeight="1" x14ac:dyDescent="0.25"/>
    <row r="161" ht="15.95" customHeight="1" x14ac:dyDescent="0.25"/>
    <row r="162" ht="15.95" customHeight="1" x14ac:dyDescent="0.25"/>
    <row r="163" ht="15.95" customHeight="1" x14ac:dyDescent="0.25"/>
    <row r="164" ht="15.95" customHeight="1" x14ac:dyDescent="0.25"/>
    <row r="165" ht="15.95" customHeight="1" x14ac:dyDescent="0.25"/>
    <row r="166" ht="15.95" customHeight="1" x14ac:dyDescent="0.25"/>
    <row r="167" ht="15.95" customHeight="1" x14ac:dyDescent="0.25"/>
    <row r="168" ht="15.95" customHeight="1" x14ac:dyDescent="0.25"/>
    <row r="169" ht="15.95" customHeight="1" x14ac:dyDescent="0.25"/>
    <row r="170" ht="15.95" customHeight="1" x14ac:dyDescent="0.25"/>
    <row r="171" ht="15.95" customHeight="1" x14ac:dyDescent="0.25"/>
    <row r="172" ht="15.95" customHeight="1" x14ac:dyDescent="0.25"/>
    <row r="173" ht="15.95" customHeight="1" x14ac:dyDescent="0.25"/>
    <row r="174" ht="15.95" customHeight="1" x14ac:dyDescent="0.25"/>
    <row r="175" ht="15.95" customHeight="1" x14ac:dyDescent="0.25"/>
    <row r="176" ht="15.95" customHeight="1" x14ac:dyDescent="0.25"/>
    <row r="177" ht="15.95" customHeight="1" x14ac:dyDescent="0.25"/>
    <row r="178" ht="15.95" customHeight="1" x14ac:dyDescent="0.25"/>
    <row r="179" ht="15.95" customHeight="1" x14ac:dyDescent="0.25"/>
    <row r="180" ht="15.95" customHeight="1" x14ac:dyDescent="0.25"/>
    <row r="181" ht="15.95" customHeight="1" x14ac:dyDescent="0.25"/>
    <row r="182" ht="15.95" customHeight="1" x14ac:dyDescent="0.25"/>
    <row r="183" ht="15.95" customHeight="1" x14ac:dyDescent="0.25"/>
    <row r="184" ht="15.95" customHeight="1" x14ac:dyDescent="0.25"/>
    <row r="185" ht="15.95" customHeight="1" x14ac:dyDescent="0.25"/>
    <row r="186" ht="15.95" customHeight="1" x14ac:dyDescent="0.25"/>
    <row r="187" ht="15.95" customHeight="1" x14ac:dyDescent="0.25"/>
    <row r="188" ht="15.95" customHeight="1" x14ac:dyDescent="0.25"/>
    <row r="189" ht="15.95" customHeight="1" x14ac:dyDescent="0.25"/>
    <row r="190" ht="15.95" customHeight="1" x14ac:dyDescent="0.25"/>
    <row r="191" ht="15.95" customHeight="1" x14ac:dyDescent="0.25"/>
    <row r="192" ht="15.95" customHeight="1" x14ac:dyDescent="0.25"/>
    <row r="193" spans="2:44" ht="15.95" customHeight="1" x14ac:dyDescent="0.25"/>
    <row r="194" spans="2:44" ht="15.95" customHeight="1" x14ac:dyDescent="0.25"/>
    <row r="195" spans="2:44" ht="15.95" customHeight="1" x14ac:dyDescent="0.25"/>
    <row r="196" spans="2:44" ht="15.95" customHeight="1" x14ac:dyDescent="0.25"/>
    <row r="197" spans="2:44" ht="15.95" customHeight="1" x14ac:dyDescent="0.25"/>
    <row r="198" spans="2:44" s="63" customFormat="1" ht="15.95" customHeight="1" x14ac:dyDescent="0.25"/>
    <row r="199" spans="2:44" ht="15.95" customHeight="1" x14ac:dyDescent="0.25"/>
    <row r="200" spans="2:44" ht="15.95" customHeight="1" x14ac:dyDescent="0.25">
      <c r="B200" t="str">
        <f>FOOT1</f>
        <v>Ameren Missouri BizSavers program</v>
      </c>
      <c r="M200" s="805" t="str">
        <f>FOOTDISCLAIM</f>
        <v/>
      </c>
      <c r="N200" s="805"/>
      <c r="O200" s="805"/>
      <c r="P200" s="805"/>
      <c r="Q200" s="805"/>
      <c r="R200" s="805"/>
      <c r="S200" s="805"/>
      <c r="T200" s="805"/>
      <c r="U200" s="805"/>
      <c r="V200" s="805"/>
      <c r="W200" s="805"/>
      <c r="X200" s="805"/>
      <c r="Y200" s="805"/>
      <c r="Z200" s="805"/>
      <c r="AA200" s="805"/>
      <c r="AB200" s="805"/>
      <c r="AC200" s="805"/>
      <c r="AD200" s="805"/>
      <c r="AE200" s="805"/>
      <c r="AF200" s="805"/>
      <c r="AG200" s="805"/>
      <c r="AR200" s="300" t="str">
        <f>FOOT4</f>
        <v/>
      </c>
    </row>
    <row r="201" spans="2:44" ht="15.95" customHeight="1" x14ac:dyDescent="0.25">
      <c r="B201" t="str">
        <f>FOOT2</f>
        <v>Toll-Free 866-941-7299</v>
      </c>
      <c r="M201" s="805"/>
      <c r="N201" s="805"/>
      <c r="O201" s="805"/>
      <c r="P201" s="805"/>
      <c r="Q201" s="805"/>
      <c r="R201" s="805"/>
      <c r="S201" s="805"/>
      <c r="T201" s="805"/>
      <c r="U201" s="805"/>
      <c r="V201" s="805"/>
      <c r="W201" s="805"/>
      <c r="X201" s="805"/>
      <c r="Y201" s="805"/>
      <c r="Z201" s="805"/>
      <c r="AA201" s="805"/>
      <c r="AB201" s="805"/>
      <c r="AC201" s="805"/>
      <c r="AD201" s="805"/>
      <c r="AE201" s="805"/>
      <c r="AF201" s="805"/>
      <c r="AG201" s="805"/>
      <c r="AR201" s="300" t="str">
        <f>FOOT5</f>
        <v/>
      </c>
    </row>
    <row r="202" spans="2:44" ht="15.95" customHeight="1" x14ac:dyDescent="0.25">
      <c r="B202" s="19" t="str">
        <f>FOOT3</f>
        <v>BizSavers@ameren.com</v>
      </c>
      <c r="M202" s="20"/>
      <c r="P202" s="20"/>
      <c r="Q202" s="20"/>
      <c r="R202" s="20"/>
      <c r="S202" s="20"/>
      <c r="T202" s="20"/>
      <c r="U202" s="20"/>
      <c r="V202" s="20"/>
      <c r="W202" s="21" t="str">
        <f>VERSION</f>
        <v>New Construction v3.8.0</v>
      </c>
      <c r="X202" s="20"/>
      <c r="Y202" s="20"/>
      <c r="Z202" s="20"/>
      <c r="AA202" s="20"/>
      <c r="AB202" s="20"/>
      <c r="AC202" s="20"/>
      <c r="AD202" s="20"/>
      <c r="AR202" s="300" t="str">
        <f>FOOT6</f>
        <v>Product of TRC Companies</v>
      </c>
    </row>
  </sheetData>
  <sheetProtection algorithmName="SHA-512" hashValue="Y2N3i/n+fhrqceBqOotHQ6aZqiaPIiTnKNyNYtTFnxUOHq1CA1DbPwYj1t6Zrz27yRtfHNn4L6RiFSQMYLcUBg==" saltValue="3Tqp4kq8M6QEBvzGGP84vA==" spinCount="100000" sheet="1" objects="1" scenarios="1" selectLockedCells="1"/>
  <mergeCells count="101">
    <mergeCell ref="AL39:AQ39"/>
    <mergeCell ref="C38:H38"/>
    <mergeCell ref="J38:O38"/>
    <mergeCell ref="Q38:V38"/>
    <mergeCell ref="X38:AC38"/>
    <mergeCell ref="AE38:AJ38"/>
    <mergeCell ref="AL38:AQ38"/>
    <mergeCell ref="C39:H39"/>
    <mergeCell ref="J39:O39"/>
    <mergeCell ref="Q39:V39"/>
    <mergeCell ref="X39:AC39"/>
    <mergeCell ref="AE39:AJ39"/>
    <mergeCell ref="AL36:AQ36"/>
    <mergeCell ref="C35:H35"/>
    <mergeCell ref="J35:O35"/>
    <mergeCell ref="Q35:V35"/>
    <mergeCell ref="X35:AC35"/>
    <mergeCell ref="AE35:AJ35"/>
    <mergeCell ref="AL35:AQ35"/>
    <mergeCell ref="C36:H36"/>
    <mergeCell ref="J36:O36"/>
    <mergeCell ref="Q36:V36"/>
    <mergeCell ref="X36:AC36"/>
    <mergeCell ref="AE36:AJ36"/>
    <mergeCell ref="AL33:AQ33"/>
    <mergeCell ref="C32:H32"/>
    <mergeCell ref="J32:O32"/>
    <mergeCell ref="Q32:V32"/>
    <mergeCell ref="X32:AC32"/>
    <mergeCell ref="AE32:AJ32"/>
    <mergeCell ref="AL32:AQ32"/>
    <mergeCell ref="C33:H33"/>
    <mergeCell ref="J33:O33"/>
    <mergeCell ref="Q33:V33"/>
    <mergeCell ref="X33:AC33"/>
    <mergeCell ref="AE33:AJ33"/>
    <mergeCell ref="AL30:AQ30"/>
    <mergeCell ref="F26:AN26"/>
    <mergeCell ref="F27:AN27"/>
    <mergeCell ref="C29:H29"/>
    <mergeCell ref="J29:O29"/>
    <mergeCell ref="Q29:V29"/>
    <mergeCell ref="X29:AC29"/>
    <mergeCell ref="AE29:AJ29"/>
    <mergeCell ref="AL29:AQ29"/>
    <mergeCell ref="C30:H30"/>
    <mergeCell ref="J30:O30"/>
    <mergeCell ref="Q30:V30"/>
    <mergeCell ref="X30:AC30"/>
    <mergeCell ref="AE30:AJ30"/>
    <mergeCell ref="AL23:AQ23"/>
    <mergeCell ref="C22:H22"/>
    <mergeCell ref="J22:O22"/>
    <mergeCell ref="Q22:V22"/>
    <mergeCell ref="X22:AC22"/>
    <mergeCell ref="AE22:AJ22"/>
    <mergeCell ref="AL22:AQ22"/>
    <mergeCell ref="C23:H23"/>
    <mergeCell ref="J23:O23"/>
    <mergeCell ref="Q23:V23"/>
    <mergeCell ref="X23:AC23"/>
    <mergeCell ref="AE23:AJ23"/>
    <mergeCell ref="Q17:V17"/>
    <mergeCell ref="X17:AC17"/>
    <mergeCell ref="AE17:AJ17"/>
    <mergeCell ref="AL20:AQ20"/>
    <mergeCell ref="C19:H19"/>
    <mergeCell ref="J19:O19"/>
    <mergeCell ref="Q19:V19"/>
    <mergeCell ref="X19:AC19"/>
    <mergeCell ref="AE19:AJ19"/>
    <mergeCell ref="AL19:AQ19"/>
    <mergeCell ref="C20:H20"/>
    <mergeCell ref="J20:O20"/>
    <mergeCell ref="Q20:V20"/>
    <mergeCell ref="X20:AC20"/>
    <mergeCell ref="AE20:AJ20"/>
    <mergeCell ref="M200:AG201"/>
    <mergeCell ref="AL14:AQ14"/>
    <mergeCell ref="F10:AN10"/>
    <mergeCell ref="F11:AN11"/>
    <mergeCell ref="C13:H13"/>
    <mergeCell ref="J13:O13"/>
    <mergeCell ref="Q13:V13"/>
    <mergeCell ref="X13:AC13"/>
    <mergeCell ref="AE13:AJ13"/>
    <mergeCell ref="AL13:AQ13"/>
    <mergeCell ref="C14:H14"/>
    <mergeCell ref="J14:O14"/>
    <mergeCell ref="Q14:V14"/>
    <mergeCell ref="X14:AC14"/>
    <mergeCell ref="AE14:AJ14"/>
    <mergeCell ref="AL17:AQ17"/>
    <mergeCell ref="C16:H16"/>
    <mergeCell ref="J16:O16"/>
    <mergeCell ref="Q16:V16"/>
    <mergeCell ref="X16:AC16"/>
    <mergeCell ref="AE16:AJ16"/>
    <mergeCell ref="AL16:AQ16"/>
    <mergeCell ref="C17:H17"/>
    <mergeCell ref="J17:O17"/>
  </mergeCells>
  <hyperlinks>
    <hyperlink ref="B202" r:id="rId1" display="NIPSCO.Savings@LMCO.com" xr:uid="{00000000-0004-0000-0E00-000000000000}"/>
  </hyperlinks>
  <pageMargins left="0.25" right="0.25" top="0.25" bottom="0.25" header="0.25" footer="0.25"/>
  <pageSetup scale="64" fitToHeight="0" orientation="landscape"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pageSetUpPr fitToPage="1"/>
  </sheetPr>
  <dimension ref="A1:AS550"/>
  <sheetViews>
    <sheetView showGridLines="0" showRowColHeaders="0" zoomScale="85" zoomScaleNormal="85" workbookViewId="0">
      <selection activeCell="C34" sqref="C34:V34"/>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AH1" s="711" t="s">
        <v>494</v>
      </c>
      <c r="AI1" s="712"/>
      <c r="AJ1" s="712"/>
      <c r="AK1" s="712"/>
      <c r="AL1" s="723" t="s">
        <v>911</v>
      </c>
      <c r="AM1" s="723"/>
      <c r="AN1" s="723"/>
      <c r="AO1" s="723"/>
      <c r="AP1" s="723"/>
      <c r="AQ1" s="717" t="s">
        <v>499</v>
      </c>
      <c r="AR1" s="718"/>
    </row>
    <row r="2" spans="3:44" ht="15.95" customHeight="1" x14ac:dyDescent="0.25">
      <c r="AH2" s="713" t="str">
        <f ca="1">INCENSTATUS</f>
        <v>---</v>
      </c>
      <c r="AI2" s="714"/>
      <c r="AJ2" s="714"/>
      <c r="AK2" s="714"/>
      <c r="AL2" s="724" t="str">
        <f ca="1">PROJSTATUS</f>
        <v>Please Complete Initial Application</v>
      </c>
      <c r="AM2" s="724"/>
      <c r="AN2" s="724"/>
      <c r="AO2" s="724"/>
      <c r="AP2" s="724"/>
      <c r="AQ2" s="719">
        <f ca="1">PROGRESSSTATUS</f>
        <v>0</v>
      </c>
      <c r="AR2" s="720"/>
    </row>
    <row r="3" spans="3:44" ht="15.95" customHeight="1" x14ac:dyDescent="0.25">
      <c r="AH3" s="715"/>
      <c r="AI3" s="716"/>
      <c r="AJ3" s="716"/>
      <c r="AK3" s="716"/>
      <c r="AL3" s="725"/>
      <c r="AM3" s="725"/>
      <c r="AN3" s="725"/>
      <c r="AO3" s="725"/>
      <c r="AP3" s="725"/>
      <c r="AQ3" s="721"/>
      <c r="AR3" s="722"/>
    </row>
    <row r="4" spans="3:44" ht="15.95" customHeight="1" x14ac:dyDescent="0.25"/>
    <row r="5" spans="3:44" ht="15.95" customHeight="1" x14ac:dyDescent="0.25"/>
    <row r="6" spans="3:44" ht="15.95" customHeight="1" x14ac:dyDescent="0.25"/>
    <row r="7" spans="3:44" ht="15.95" customHeight="1" x14ac:dyDescent="0.25"/>
    <row r="8" spans="3:44" ht="15.95" customHeight="1" x14ac:dyDescent="0.25"/>
    <row r="9" spans="3:44" ht="15.95" customHeight="1" x14ac:dyDescent="0.25"/>
    <row r="10" spans="3:44" ht="15.95" customHeight="1" x14ac:dyDescent="0.3">
      <c r="F10" s="732" t="s">
        <v>1163</v>
      </c>
      <c r="G10" s="732"/>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row>
    <row r="11" spans="3:44" ht="15.95" customHeight="1" x14ac:dyDescent="0.25">
      <c r="F11" s="808" t="s">
        <v>2307</v>
      </c>
      <c r="G11" s="808"/>
      <c r="H11" s="808"/>
      <c r="I11" s="808"/>
      <c r="J11" s="808"/>
      <c r="K11" s="808"/>
      <c r="L11" s="808"/>
      <c r="M11" s="808"/>
      <c r="N11" s="808"/>
      <c r="O11" s="808"/>
      <c r="P11" s="808"/>
      <c r="Q11" s="808"/>
      <c r="R11" s="808"/>
      <c r="S11" s="808"/>
      <c r="T11" s="808"/>
      <c r="U11" s="808"/>
      <c r="V11" s="808"/>
      <c r="W11" s="808"/>
      <c r="X11" s="808"/>
      <c r="Y11" s="808"/>
      <c r="Z11" s="808"/>
      <c r="AA11" s="808"/>
      <c r="AB11" s="808"/>
      <c r="AC11" s="808"/>
      <c r="AD11" s="808"/>
      <c r="AE11" s="808"/>
      <c r="AF11" s="808"/>
      <c r="AG11" s="808"/>
      <c r="AH11" s="808"/>
      <c r="AI11" s="808"/>
      <c r="AJ11" s="808"/>
      <c r="AK11" s="808"/>
      <c r="AL11" s="808"/>
      <c r="AM11" s="808"/>
      <c r="AN11" s="808"/>
    </row>
    <row r="12" spans="3:44" s="63" customFormat="1" ht="15.95" customHeight="1" x14ac:dyDescent="0.25">
      <c r="F12" s="808"/>
      <c r="G12" s="808"/>
      <c r="H12" s="808"/>
      <c r="I12" s="808"/>
      <c r="J12" s="808"/>
      <c r="K12" s="808"/>
      <c r="L12" s="808"/>
      <c r="M12" s="808"/>
      <c r="N12" s="808"/>
      <c r="O12" s="808"/>
      <c r="P12" s="808"/>
      <c r="Q12" s="808"/>
      <c r="R12" s="808"/>
      <c r="S12" s="808"/>
      <c r="T12" s="808"/>
      <c r="U12" s="808"/>
      <c r="V12" s="808"/>
      <c r="W12" s="808"/>
      <c r="X12" s="808"/>
      <c r="Y12" s="808"/>
      <c r="Z12" s="808"/>
      <c r="AA12" s="808"/>
      <c r="AB12" s="808"/>
      <c r="AC12" s="808"/>
      <c r="AD12" s="808"/>
      <c r="AE12" s="808"/>
      <c r="AF12" s="808"/>
      <c r="AG12" s="808"/>
      <c r="AH12" s="808"/>
      <c r="AI12" s="808"/>
      <c r="AJ12" s="808"/>
      <c r="AK12" s="808"/>
      <c r="AL12" s="808"/>
      <c r="AM12" s="808"/>
      <c r="AN12" s="808"/>
    </row>
    <row r="13" spans="3:44" ht="15.95" customHeight="1" x14ac:dyDescent="0.25">
      <c r="F13" s="808"/>
      <c r="G13" s="808"/>
      <c r="H13" s="808"/>
      <c r="I13" s="808"/>
      <c r="J13" s="808"/>
      <c r="K13" s="808"/>
      <c r="L13" s="808"/>
      <c r="M13" s="808"/>
      <c r="N13" s="808"/>
      <c r="O13" s="808"/>
      <c r="P13" s="808"/>
      <c r="Q13" s="808"/>
      <c r="R13" s="808"/>
      <c r="S13" s="808"/>
      <c r="T13" s="808"/>
      <c r="U13" s="808"/>
      <c r="V13" s="808"/>
      <c r="W13" s="808"/>
      <c r="X13" s="808"/>
      <c r="Y13" s="808"/>
      <c r="Z13" s="808"/>
      <c r="AA13" s="808"/>
      <c r="AB13" s="808"/>
      <c r="AC13" s="808"/>
      <c r="AD13" s="808"/>
      <c r="AE13" s="808"/>
      <c r="AF13" s="808"/>
      <c r="AG13" s="808"/>
      <c r="AH13" s="808"/>
      <c r="AI13" s="808"/>
      <c r="AJ13" s="808"/>
      <c r="AK13" s="808"/>
      <c r="AL13" s="808"/>
      <c r="AM13" s="808"/>
      <c r="AN13" s="808"/>
    </row>
    <row r="14" spans="3:44" ht="15.95" customHeight="1" x14ac:dyDescent="0.25">
      <c r="C14" s="697" t="s">
        <v>2316</v>
      </c>
      <c r="D14" s="691"/>
      <c r="E14" s="691"/>
      <c r="F14" s="691"/>
      <c r="G14" s="691"/>
      <c r="H14" s="691"/>
      <c r="I14" s="691"/>
      <c r="J14" s="691"/>
      <c r="K14" s="691"/>
      <c r="L14" s="691"/>
      <c r="M14" s="691"/>
      <c r="N14" s="691"/>
      <c r="O14" s="691"/>
      <c r="P14" s="691"/>
      <c r="Q14" s="691"/>
      <c r="R14" s="691"/>
      <c r="S14" s="691"/>
      <c r="T14" s="691"/>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2"/>
    </row>
    <row r="15" spans="3:44" ht="15.95" customHeight="1" x14ac:dyDescent="0.25">
      <c r="C15" s="698"/>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N15" s="693"/>
      <c r="AO15" s="693"/>
      <c r="AP15" s="693"/>
      <c r="AQ15" s="694"/>
    </row>
    <row r="16" spans="3:44" ht="15.95" customHeight="1" x14ac:dyDescent="0.25">
      <c r="C16" s="699" t="s">
        <v>2317</v>
      </c>
      <c r="D16" s="695"/>
      <c r="E16" s="695"/>
      <c r="F16" s="695"/>
      <c r="G16" s="695"/>
      <c r="H16" s="695"/>
      <c r="I16" s="695"/>
      <c r="J16" s="695"/>
      <c r="K16" s="695"/>
      <c r="L16" s="695"/>
      <c r="M16" s="695"/>
      <c r="N16" s="695"/>
      <c r="O16" s="695"/>
      <c r="P16" s="695"/>
      <c r="Q16" s="695"/>
      <c r="R16" s="695"/>
      <c r="S16" s="695"/>
      <c r="T16" s="695"/>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6"/>
    </row>
    <row r="17" spans="3:43" ht="15.95" customHeight="1" x14ac:dyDescent="0.25"/>
    <row r="18" spans="3:43" ht="15.95" customHeight="1" x14ac:dyDescent="0.25"/>
    <row r="19" spans="3:43" ht="15.95" customHeight="1" x14ac:dyDescent="0.25">
      <c r="C19" s="679"/>
      <c r="D19" s="680"/>
      <c r="E19" s="680"/>
      <c r="F19" s="680"/>
      <c r="G19" s="680"/>
      <c r="H19" s="680"/>
      <c r="I19" s="680"/>
      <c r="J19" s="680"/>
      <c r="K19" s="680"/>
      <c r="L19" s="680"/>
      <c r="M19" s="680"/>
      <c r="N19" s="680"/>
      <c r="O19" s="680"/>
      <c r="P19" s="680"/>
      <c r="Q19" s="680"/>
      <c r="R19" s="680"/>
      <c r="S19" s="680"/>
      <c r="T19" s="680"/>
      <c r="U19" s="680"/>
      <c r="V19" s="680"/>
      <c r="W19" s="680"/>
      <c r="X19" s="680"/>
      <c r="Y19" s="680"/>
      <c r="Z19" s="680"/>
      <c r="AA19" s="680"/>
      <c r="AB19" s="680"/>
      <c r="AC19" s="680"/>
      <c r="AD19" s="680"/>
      <c r="AE19" s="680"/>
      <c r="AF19" s="680"/>
      <c r="AG19" s="680"/>
      <c r="AH19" s="680"/>
      <c r="AI19" s="680"/>
      <c r="AJ19" s="680"/>
      <c r="AK19" s="680"/>
      <c r="AL19" s="680"/>
      <c r="AM19" s="680"/>
      <c r="AN19" s="680"/>
      <c r="AO19" s="680"/>
      <c r="AP19" s="680"/>
      <c r="AQ19" s="681"/>
    </row>
    <row r="20" spans="3:43" ht="15.95" customHeight="1" x14ac:dyDescent="0.25">
      <c r="C20" s="682" t="s">
        <v>2291</v>
      </c>
      <c r="D20" s="683"/>
      <c r="E20" s="683"/>
      <c r="F20" s="683"/>
      <c r="G20" s="683"/>
      <c r="H20" s="683"/>
      <c r="I20" s="683"/>
      <c r="J20" s="683"/>
      <c r="K20" s="683"/>
      <c r="L20" s="683"/>
      <c r="M20" s="683"/>
      <c r="N20" s="683"/>
      <c r="O20" s="683"/>
      <c r="P20" s="683"/>
      <c r="Q20" s="683"/>
      <c r="R20" s="683"/>
      <c r="S20" s="683"/>
      <c r="T20" s="683"/>
      <c r="U20" s="683"/>
      <c r="V20" s="683"/>
      <c r="W20" s="683"/>
      <c r="X20" s="683"/>
      <c r="Y20" s="683"/>
      <c r="Z20" s="683"/>
      <c r="AA20" s="683"/>
      <c r="AB20" s="683"/>
      <c r="AC20" s="683"/>
      <c r="AD20" s="683"/>
      <c r="AE20" s="683"/>
      <c r="AF20" s="683"/>
      <c r="AG20" s="683"/>
      <c r="AH20" s="683"/>
      <c r="AI20" s="683"/>
      <c r="AJ20" s="683"/>
      <c r="AK20" s="683"/>
      <c r="AL20" s="683"/>
      <c r="AM20" s="683"/>
      <c r="AN20" s="683"/>
      <c r="AO20" s="683"/>
      <c r="AP20" s="683"/>
      <c r="AQ20" s="684"/>
    </row>
    <row r="21" spans="3:43" ht="15.95" customHeight="1" x14ac:dyDescent="0.25">
      <c r="C21" s="685"/>
      <c r="D21" s="683"/>
      <c r="E21" s="683"/>
      <c r="F21" s="683"/>
      <c r="G21" s="683"/>
      <c r="H21" s="683"/>
      <c r="I21" s="683"/>
      <c r="J21" s="683"/>
      <c r="K21" s="683"/>
      <c r="L21" s="683"/>
      <c r="M21" s="683"/>
      <c r="N21" s="683"/>
      <c r="O21" s="683"/>
      <c r="P21" s="683"/>
      <c r="Q21" s="683"/>
      <c r="R21" s="683"/>
      <c r="S21" s="683"/>
      <c r="T21" s="683"/>
      <c r="U21" s="683"/>
      <c r="V21" s="683"/>
      <c r="W21" s="683"/>
      <c r="X21" s="683"/>
      <c r="Y21" s="683"/>
      <c r="Z21" s="683"/>
      <c r="AA21" s="683"/>
      <c r="AB21" s="683"/>
      <c r="AC21" s="683"/>
      <c r="AD21" s="683"/>
      <c r="AE21" s="683"/>
      <c r="AF21" s="683"/>
      <c r="AG21" s="683"/>
      <c r="AH21" s="683"/>
      <c r="AI21" s="683"/>
      <c r="AJ21" s="683"/>
      <c r="AK21" s="683"/>
      <c r="AL21" s="683"/>
      <c r="AM21" s="683"/>
      <c r="AN21" s="683"/>
      <c r="AO21" s="683"/>
      <c r="AP21" s="683"/>
      <c r="AQ21" s="684"/>
    </row>
    <row r="22" spans="3:43" ht="15.95" customHeight="1" x14ac:dyDescent="0.25">
      <c r="C22" s="685" t="s">
        <v>2292</v>
      </c>
      <c r="D22" s="683" t="s">
        <v>2293</v>
      </c>
      <c r="E22" s="683"/>
      <c r="F22" s="683"/>
      <c r="G22" s="683"/>
      <c r="H22" s="683"/>
      <c r="I22" s="683"/>
      <c r="J22" s="683"/>
      <c r="K22" s="683"/>
      <c r="L22" s="683"/>
      <c r="M22" s="683"/>
      <c r="N22" s="683"/>
      <c r="O22" s="683"/>
      <c r="P22" s="683"/>
      <c r="Q22" s="683"/>
      <c r="R22" s="683"/>
      <c r="S22" s="683"/>
      <c r="T22" s="683"/>
      <c r="U22" s="683"/>
      <c r="V22" s="683"/>
      <c r="W22" s="683"/>
      <c r="X22" s="683"/>
      <c r="Y22" s="683"/>
      <c r="Z22" s="683"/>
      <c r="AA22" s="683"/>
      <c r="AB22" s="683"/>
      <c r="AC22" s="683"/>
      <c r="AD22" s="683"/>
      <c r="AE22" s="683"/>
      <c r="AF22" s="683"/>
      <c r="AG22" s="683"/>
      <c r="AH22" s="683"/>
      <c r="AI22" s="683"/>
      <c r="AJ22" s="683"/>
      <c r="AK22" s="683"/>
      <c r="AL22" s="683"/>
      <c r="AM22" s="683"/>
      <c r="AN22" s="683"/>
      <c r="AO22" s="683"/>
      <c r="AP22" s="683"/>
      <c r="AQ22" s="684"/>
    </row>
    <row r="23" spans="3:43" ht="15.95" customHeight="1" x14ac:dyDescent="0.25">
      <c r="C23" s="685" t="s">
        <v>2294</v>
      </c>
      <c r="D23" s="683" t="s">
        <v>2295</v>
      </c>
      <c r="E23" s="683"/>
      <c r="F23" s="683"/>
      <c r="G23" s="683"/>
      <c r="H23" s="683"/>
      <c r="I23" s="683"/>
      <c r="J23" s="683"/>
      <c r="K23" s="683"/>
      <c r="L23" s="683"/>
      <c r="M23" s="683"/>
      <c r="N23" s="683"/>
      <c r="O23" s="683"/>
      <c r="P23" s="683"/>
      <c r="Q23" s="683"/>
      <c r="R23" s="683"/>
      <c r="S23" s="683"/>
      <c r="T23" s="683"/>
      <c r="U23" s="683"/>
      <c r="V23" s="683"/>
      <c r="W23" s="683"/>
      <c r="X23" s="683"/>
      <c r="Y23" s="683"/>
      <c r="Z23" s="683"/>
      <c r="AA23" s="683"/>
      <c r="AB23" s="683"/>
      <c r="AC23" s="683"/>
      <c r="AD23" s="683"/>
      <c r="AE23" s="683"/>
      <c r="AF23" s="683"/>
      <c r="AG23" s="683"/>
      <c r="AH23" s="683"/>
      <c r="AI23" s="683"/>
      <c r="AJ23" s="683"/>
      <c r="AK23" s="683"/>
      <c r="AL23" s="683"/>
      <c r="AM23" s="683"/>
      <c r="AN23" s="683"/>
      <c r="AO23" s="683"/>
      <c r="AP23" s="683"/>
      <c r="AQ23" s="684"/>
    </row>
    <row r="24" spans="3:43" ht="15.95" customHeight="1" x14ac:dyDescent="0.25">
      <c r="C24" s="685" t="s">
        <v>2296</v>
      </c>
      <c r="D24" s="683" t="s">
        <v>2297</v>
      </c>
      <c r="E24" s="683"/>
      <c r="F24" s="683"/>
      <c r="G24" s="683"/>
      <c r="H24" s="683"/>
      <c r="I24" s="683"/>
      <c r="J24" s="683"/>
      <c r="K24" s="683"/>
      <c r="L24" s="683"/>
      <c r="M24" s="683"/>
      <c r="N24" s="683"/>
      <c r="O24" s="683"/>
      <c r="P24" s="683"/>
      <c r="Q24" s="683"/>
      <c r="R24" s="683"/>
      <c r="S24" s="683"/>
      <c r="T24" s="683"/>
      <c r="U24" s="683"/>
      <c r="V24" s="683"/>
      <c r="W24" s="683"/>
      <c r="X24" s="683"/>
      <c r="Y24" s="683"/>
      <c r="Z24" s="683"/>
      <c r="AA24" s="683"/>
      <c r="AB24" s="683"/>
      <c r="AC24" s="683"/>
      <c r="AD24" s="683"/>
      <c r="AE24" s="683"/>
      <c r="AF24" s="683"/>
      <c r="AG24" s="683"/>
      <c r="AH24" s="683"/>
      <c r="AI24" s="683"/>
      <c r="AJ24" s="683"/>
      <c r="AK24" s="683"/>
      <c r="AL24" s="683"/>
      <c r="AM24" s="683"/>
      <c r="AN24" s="683"/>
      <c r="AO24" s="683"/>
      <c r="AP24" s="683"/>
      <c r="AQ24" s="684"/>
    </row>
    <row r="25" spans="3:43" ht="15.95" customHeight="1" x14ac:dyDescent="0.25">
      <c r="C25" s="685"/>
      <c r="D25" s="683" t="s">
        <v>2298</v>
      </c>
      <c r="E25" s="683"/>
      <c r="F25" s="683"/>
      <c r="G25" s="683"/>
      <c r="H25" s="683"/>
      <c r="I25" s="683"/>
      <c r="J25" s="683"/>
      <c r="K25" s="683"/>
      <c r="L25" s="683"/>
      <c r="M25" s="683"/>
      <c r="N25" s="683"/>
      <c r="O25" s="683"/>
      <c r="P25" s="683"/>
      <c r="Q25" s="683"/>
      <c r="R25" s="683"/>
      <c r="S25" s="683"/>
      <c r="T25" s="683"/>
      <c r="U25" s="683"/>
      <c r="V25" s="683"/>
      <c r="W25" s="683"/>
      <c r="X25" s="683"/>
      <c r="Y25" s="683"/>
      <c r="Z25" s="683"/>
      <c r="AA25" s="683"/>
      <c r="AB25" s="683"/>
      <c r="AC25" s="683"/>
      <c r="AD25" s="683"/>
      <c r="AE25" s="683"/>
      <c r="AF25" s="683"/>
      <c r="AG25" s="683"/>
      <c r="AH25" s="683"/>
      <c r="AI25" s="683"/>
      <c r="AJ25" s="683"/>
      <c r="AK25" s="683"/>
      <c r="AL25" s="683"/>
      <c r="AM25" s="683"/>
      <c r="AN25" s="683"/>
      <c r="AO25" s="683"/>
      <c r="AP25" s="683"/>
      <c r="AQ25" s="684"/>
    </row>
    <row r="26" spans="3:43" ht="15.95" customHeight="1" x14ac:dyDescent="0.25">
      <c r="C26" s="685" t="s">
        <v>2299</v>
      </c>
      <c r="D26" s="683" t="s">
        <v>2318</v>
      </c>
      <c r="E26" s="683"/>
      <c r="F26" s="683"/>
      <c r="G26" s="683"/>
      <c r="H26" s="683"/>
      <c r="I26" s="683"/>
      <c r="J26" s="683"/>
      <c r="K26" s="683"/>
      <c r="L26" s="683"/>
      <c r="M26" s="683"/>
      <c r="N26" s="683"/>
      <c r="O26" s="683"/>
      <c r="P26" s="683"/>
      <c r="Q26" s="683"/>
      <c r="R26" s="683"/>
      <c r="S26" s="683"/>
      <c r="T26" s="683"/>
      <c r="U26" s="683"/>
      <c r="V26" s="683"/>
      <c r="W26" s="683"/>
      <c r="X26" s="683"/>
      <c r="Y26" s="683"/>
      <c r="Z26" s="683"/>
      <c r="AA26" s="683"/>
      <c r="AB26" s="683"/>
      <c r="AC26" s="683"/>
      <c r="AD26" s="683"/>
      <c r="AE26" s="683"/>
      <c r="AF26" s="683"/>
      <c r="AG26" s="683"/>
      <c r="AH26" s="683"/>
      <c r="AI26" s="683"/>
      <c r="AJ26" s="683"/>
      <c r="AK26" s="683"/>
      <c r="AL26" s="683"/>
      <c r="AM26" s="683"/>
      <c r="AN26" s="683"/>
      <c r="AO26" s="683"/>
      <c r="AP26" s="683"/>
      <c r="AQ26" s="684"/>
    </row>
    <row r="27" spans="3:43" ht="15.95" customHeight="1" x14ac:dyDescent="0.25">
      <c r="C27" s="685" t="s">
        <v>2300</v>
      </c>
      <c r="D27" s="683" t="s">
        <v>2301</v>
      </c>
      <c r="E27" s="683"/>
      <c r="F27" s="683"/>
      <c r="G27" s="683"/>
      <c r="H27" s="683"/>
      <c r="I27" s="683"/>
      <c r="J27" s="683"/>
      <c r="K27" s="683"/>
      <c r="L27" s="683"/>
      <c r="M27" s="683"/>
      <c r="N27" s="683"/>
      <c r="O27" s="683"/>
      <c r="P27" s="683"/>
      <c r="Q27" s="683"/>
      <c r="R27" s="683"/>
      <c r="S27" s="683"/>
      <c r="T27" s="683"/>
      <c r="U27" s="683"/>
      <c r="V27" s="683"/>
      <c r="W27" s="683"/>
      <c r="X27" s="683"/>
      <c r="Y27" s="683"/>
      <c r="Z27" s="683"/>
      <c r="AA27" s="683"/>
      <c r="AB27" s="683"/>
      <c r="AC27" s="683"/>
      <c r="AD27" s="683"/>
      <c r="AE27" s="683"/>
      <c r="AF27" s="683"/>
      <c r="AG27" s="683"/>
      <c r="AH27" s="683"/>
      <c r="AI27" s="683"/>
      <c r="AJ27" s="683"/>
      <c r="AK27" s="683"/>
      <c r="AL27" s="683"/>
      <c r="AM27" s="683"/>
      <c r="AN27" s="683"/>
      <c r="AO27" s="683"/>
      <c r="AP27" s="683"/>
      <c r="AQ27" s="684"/>
    </row>
    <row r="28" spans="3:43" s="63" customFormat="1" ht="15.95" customHeight="1" x14ac:dyDescent="0.25">
      <c r="C28" s="685"/>
      <c r="D28" s="683" t="s">
        <v>2302</v>
      </c>
      <c r="E28" s="683"/>
      <c r="F28" s="683"/>
      <c r="G28" s="683"/>
      <c r="H28" s="683"/>
      <c r="I28" s="683"/>
      <c r="J28" s="683"/>
      <c r="K28" s="683"/>
      <c r="L28" s="683"/>
      <c r="M28" s="683"/>
      <c r="N28" s="683"/>
      <c r="O28" s="683"/>
      <c r="P28" s="683"/>
      <c r="Q28" s="683"/>
      <c r="R28" s="683"/>
      <c r="S28" s="683"/>
      <c r="T28" s="683"/>
      <c r="U28" s="683"/>
      <c r="V28" s="683"/>
      <c r="W28" s="683"/>
      <c r="X28" s="683"/>
      <c r="Y28" s="683"/>
      <c r="Z28" s="683"/>
      <c r="AA28" s="683"/>
      <c r="AB28" s="683"/>
      <c r="AC28" s="683"/>
      <c r="AD28" s="683"/>
      <c r="AE28" s="683"/>
      <c r="AF28" s="683"/>
      <c r="AG28" s="683"/>
      <c r="AH28" s="683"/>
      <c r="AI28" s="683"/>
      <c r="AJ28" s="683"/>
      <c r="AK28" s="683"/>
      <c r="AL28" s="683"/>
      <c r="AM28" s="683"/>
      <c r="AN28" s="683"/>
      <c r="AO28" s="683"/>
      <c r="AP28" s="683"/>
      <c r="AQ28" s="684"/>
    </row>
    <row r="29" spans="3:43" s="63" customFormat="1" ht="15.95" customHeight="1" x14ac:dyDescent="0.25">
      <c r="C29" s="685" t="s">
        <v>2303</v>
      </c>
      <c r="D29" s="683" t="s">
        <v>2304</v>
      </c>
      <c r="E29" s="683"/>
      <c r="F29" s="683"/>
      <c r="G29" s="683"/>
      <c r="H29" s="683"/>
      <c r="I29" s="683"/>
      <c r="J29" s="683"/>
      <c r="K29" s="683"/>
      <c r="L29" s="683"/>
      <c r="M29" s="683"/>
      <c r="N29" s="683"/>
      <c r="O29" s="683"/>
      <c r="P29" s="683"/>
      <c r="Q29" s="683"/>
      <c r="R29" s="683"/>
      <c r="S29" s="683"/>
      <c r="T29" s="683"/>
      <c r="U29" s="683"/>
      <c r="V29" s="683"/>
      <c r="W29" s="683"/>
      <c r="X29" s="683"/>
      <c r="Y29" s="683"/>
      <c r="Z29" s="683"/>
      <c r="AA29" s="683"/>
      <c r="AB29" s="683"/>
      <c r="AC29" s="683"/>
      <c r="AD29" s="683"/>
      <c r="AE29" s="683"/>
      <c r="AF29" s="683"/>
      <c r="AG29" s="683"/>
      <c r="AH29" s="683"/>
      <c r="AI29" s="683"/>
      <c r="AJ29" s="683"/>
      <c r="AK29" s="683"/>
      <c r="AL29" s="683"/>
      <c r="AM29" s="683"/>
      <c r="AN29" s="683"/>
      <c r="AO29" s="683"/>
      <c r="AP29" s="683"/>
      <c r="AQ29" s="684"/>
    </row>
    <row r="30" spans="3:43" s="63" customFormat="1" ht="15.95" customHeight="1" x14ac:dyDescent="0.25">
      <c r="C30" s="685" t="s">
        <v>2305</v>
      </c>
      <c r="D30" s="683" t="s">
        <v>2306</v>
      </c>
      <c r="E30" s="683"/>
      <c r="F30" s="683"/>
      <c r="G30" s="683"/>
      <c r="H30" s="683"/>
      <c r="I30" s="683"/>
      <c r="J30" s="683"/>
      <c r="K30" s="683"/>
      <c r="L30" s="683"/>
      <c r="M30" s="683"/>
      <c r="N30" s="683"/>
      <c r="O30" s="683"/>
      <c r="P30" s="683"/>
      <c r="Q30" s="683"/>
      <c r="R30" s="683"/>
      <c r="S30" s="683"/>
      <c r="T30" s="683"/>
      <c r="U30" s="683"/>
      <c r="V30" s="683"/>
      <c r="W30" s="683"/>
      <c r="X30" s="683"/>
      <c r="Y30" s="683"/>
      <c r="Z30" s="683"/>
      <c r="AA30" s="683"/>
      <c r="AB30" s="683"/>
      <c r="AC30" s="683"/>
      <c r="AD30" s="683"/>
      <c r="AE30" s="683"/>
      <c r="AF30" s="683"/>
      <c r="AG30" s="683"/>
      <c r="AH30" s="683"/>
      <c r="AI30" s="683"/>
      <c r="AJ30" s="683"/>
      <c r="AK30" s="683"/>
      <c r="AL30" s="683"/>
      <c r="AM30" s="683"/>
      <c r="AN30" s="683"/>
      <c r="AO30" s="683"/>
      <c r="AP30" s="683"/>
      <c r="AQ30" s="684"/>
    </row>
    <row r="31" spans="3:43" s="63" customFormat="1" ht="15.95" customHeight="1" x14ac:dyDescent="0.25">
      <c r="C31" s="686"/>
      <c r="D31" s="687"/>
      <c r="E31" s="687"/>
      <c r="F31" s="687"/>
      <c r="G31" s="687"/>
      <c r="H31" s="687"/>
      <c r="I31" s="687"/>
      <c r="J31" s="687"/>
      <c r="K31" s="687"/>
      <c r="L31" s="687"/>
      <c r="M31" s="687"/>
      <c r="N31" s="687"/>
      <c r="O31" s="687"/>
      <c r="P31" s="687"/>
      <c r="Q31" s="687"/>
      <c r="R31" s="687"/>
      <c r="S31" s="687"/>
      <c r="T31" s="687"/>
      <c r="U31" s="687"/>
      <c r="V31" s="687"/>
      <c r="W31" s="687"/>
      <c r="X31" s="687"/>
      <c r="Y31" s="687"/>
      <c r="Z31" s="687"/>
      <c r="AA31" s="687"/>
      <c r="AB31" s="687"/>
      <c r="AC31" s="687"/>
      <c r="AD31" s="687"/>
      <c r="AE31" s="687"/>
      <c r="AF31" s="687"/>
      <c r="AG31" s="687"/>
      <c r="AH31" s="687"/>
      <c r="AI31" s="687"/>
      <c r="AJ31" s="687"/>
      <c r="AK31" s="687"/>
      <c r="AL31" s="687"/>
      <c r="AM31" s="687"/>
      <c r="AN31" s="687"/>
      <c r="AO31" s="687"/>
      <c r="AP31" s="687"/>
      <c r="AQ31" s="688"/>
    </row>
    <row r="32" spans="3:43" s="63" customFormat="1" ht="15.95" customHeight="1" x14ac:dyDescent="0.25"/>
    <row r="33" spans="3:43" s="63" customFormat="1" ht="15.95" customHeight="1" thickBot="1" x14ac:dyDescent="0.3">
      <c r="C33" s="807" t="s">
        <v>938</v>
      </c>
      <c r="D33" s="807"/>
      <c r="E33" s="807"/>
      <c r="F33" s="807"/>
      <c r="G33" s="807"/>
      <c r="H33" s="807"/>
      <c r="I33" s="807"/>
      <c r="J33" s="807"/>
      <c r="K33" s="807"/>
      <c r="L33" s="807"/>
      <c r="M33" s="807"/>
      <c r="N33" s="807"/>
      <c r="O33" s="807"/>
      <c r="P33" s="807"/>
      <c r="Q33" s="807"/>
      <c r="R33" s="807"/>
      <c r="S33" s="807"/>
      <c r="T33" s="807"/>
      <c r="U33" s="807"/>
      <c r="V33" s="807"/>
      <c r="W33" s="213"/>
      <c r="X33" s="807" t="s">
        <v>939</v>
      </c>
      <c r="Y33" s="807"/>
      <c r="Z33" s="807"/>
      <c r="AA33" s="807"/>
      <c r="AB33" s="807"/>
      <c r="AC33" s="807"/>
      <c r="AD33" s="807"/>
      <c r="AE33" s="807"/>
      <c r="AF33" s="807"/>
      <c r="AG33" s="807"/>
      <c r="AH33" s="807"/>
      <c r="AI33" s="807"/>
      <c r="AJ33" s="807"/>
      <c r="AK33" s="213"/>
      <c r="AL33" s="807" t="s">
        <v>940</v>
      </c>
      <c r="AM33" s="807"/>
      <c r="AN33" s="807"/>
      <c r="AO33" s="807"/>
      <c r="AP33" s="807"/>
      <c r="AQ33" s="807"/>
    </row>
    <row r="34" spans="3:43" s="63" customFormat="1" ht="15.95" customHeight="1" thickBot="1" x14ac:dyDescent="0.3">
      <c r="C34" s="809"/>
      <c r="D34" s="810"/>
      <c r="E34" s="810"/>
      <c r="F34" s="810"/>
      <c r="G34" s="810"/>
      <c r="H34" s="810"/>
      <c r="I34" s="810"/>
      <c r="J34" s="810"/>
      <c r="K34" s="810"/>
      <c r="L34" s="810"/>
      <c r="M34" s="810"/>
      <c r="N34" s="810"/>
      <c r="O34" s="810"/>
      <c r="P34" s="810"/>
      <c r="Q34" s="810"/>
      <c r="R34" s="810"/>
      <c r="S34" s="810"/>
      <c r="T34" s="810"/>
      <c r="U34" s="810"/>
      <c r="V34" s="811"/>
      <c r="W34" s="135"/>
      <c r="X34" s="809"/>
      <c r="Y34" s="810"/>
      <c r="Z34" s="810"/>
      <c r="AA34" s="810"/>
      <c r="AB34" s="810"/>
      <c r="AC34" s="810"/>
      <c r="AD34" s="810"/>
      <c r="AE34" s="810"/>
      <c r="AF34" s="810"/>
      <c r="AG34" s="810"/>
      <c r="AH34" s="810"/>
      <c r="AI34" s="810"/>
      <c r="AJ34" s="811"/>
      <c r="AK34" s="135"/>
      <c r="AL34" s="812"/>
      <c r="AM34" s="813"/>
      <c r="AN34" s="813"/>
      <c r="AO34" s="813"/>
      <c r="AP34" s="813"/>
      <c r="AQ34" s="814"/>
    </row>
    <row r="35" spans="3:43" s="63" customFormat="1" ht="15.95" customHeight="1" x14ac:dyDescent="0.25"/>
    <row r="36" spans="3:43" s="63" customFormat="1" ht="15.95" customHeight="1" thickBot="1" x14ac:dyDescent="0.3">
      <c r="M36" s="815" t="s">
        <v>2359</v>
      </c>
      <c r="N36" s="815"/>
      <c r="O36" s="815"/>
      <c r="P36" s="815"/>
      <c r="Q36" s="815"/>
      <c r="R36" s="815"/>
      <c r="S36" s="815"/>
      <c r="T36" s="815"/>
      <c r="U36" s="815"/>
      <c r="V36" s="815"/>
      <c r="W36" s="815"/>
      <c r="X36" s="815"/>
      <c r="Y36" s="815"/>
      <c r="Z36" s="815"/>
      <c r="AA36" s="815"/>
      <c r="AB36" s="815"/>
      <c r="AC36" s="815"/>
      <c r="AD36" s="815"/>
      <c r="AE36" s="815"/>
      <c r="AF36" s="815"/>
      <c r="AG36" s="815"/>
    </row>
    <row r="37" spans="3:43" s="63" customFormat="1" ht="15.95" customHeight="1" thickBot="1" x14ac:dyDescent="0.3">
      <c r="X37" s="816" t="str">
        <f>IF(ISNUMBER(SEARCH("Other",M02S01F04)),"Please Describe if 'Other'","")</f>
        <v/>
      </c>
      <c r="Y37" s="817"/>
      <c r="Z37" s="817"/>
      <c r="AA37" s="817"/>
      <c r="AB37" s="817"/>
      <c r="AC37" s="817"/>
      <c r="AD37" s="817"/>
      <c r="AE37" s="817"/>
      <c r="AF37" s="817"/>
      <c r="AG37" s="818"/>
    </row>
    <row r="38" spans="3:43" s="63" customFormat="1" ht="15.95" customHeight="1" thickBot="1" x14ac:dyDescent="0.3">
      <c r="M38" s="822"/>
      <c r="N38" s="823"/>
      <c r="O38" s="823"/>
      <c r="P38" s="823"/>
      <c r="Q38" s="823"/>
      <c r="R38" s="823"/>
      <c r="S38" s="823"/>
      <c r="T38" s="823"/>
      <c r="U38" s="823"/>
      <c r="V38" s="824"/>
      <c r="X38" s="819"/>
      <c r="Y38" s="820"/>
      <c r="Z38" s="820"/>
      <c r="AA38" s="820"/>
      <c r="AB38" s="820"/>
      <c r="AC38" s="820"/>
      <c r="AD38" s="820"/>
      <c r="AE38" s="820"/>
      <c r="AF38" s="820"/>
      <c r="AG38" s="821"/>
    </row>
    <row r="39" spans="3:43" s="63" customFormat="1" ht="15.95" customHeight="1" x14ac:dyDescent="0.25"/>
    <row r="40" spans="3:43" s="63" customFormat="1" ht="15.95" hidden="1" customHeight="1" x14ac:dyDescent="0.25"/>
    <row r="41" spans="3:43" s="63" customFormat="1" ht="15.95" hidden="1" customHeight="1" x14ac:dyDescent="0.25"/>
    <row r="42" spans="3:43" s="63" customFormat="1" ht="15.95" hidden="1" customHeight="1" x14ac:dyDescent="0.25"/>
    <row r="43" spans="3:43" s="63" customFormat="1" ht="15.95" hidden="1" customHeight="1" x14ac:dyDescent="0.25"/>
    <row r="44" spans="3:43" s="63" customFormat="1" ht="15.95" hidden="1" customHeight="1" x14ac:dyDescent="0.25"/>
    <row r="45" spans="3:43" s="63" customFormat="1" ht="15.95" hidden="1" customHeight="1" x14ac:dyDescent="0.25"/>
    <row r="46" spans="3:43" s="63" customFormat="1" ht="15.95" hidden="1" customHeight="1" x14ac:dyDescent="0.25"/>
    <row r="47" spans="3:43" s="63" customFormat="1" ht="15.95" hidden="1" customHeight="1" x14ac:dyDescent="0.25"/>
    <row r="48" spans="3:43" s="63" customFormat="1" ht="15.95" hidden="1" customHeight="1" x14ac:dyDescent="0.25"/>
    <row r="49" s="63" customFormat="1" ht="15.95" hidden="1" customHeight="1" x14ac:dyDescent="0.25"/>
    <row r="50" s="63" customFormat="1" ht="15.95" hidden="1" customHeight="1" x14ac:dyDescent="0.25"/>
    <row r="51" s="63" customFormat="1" ht="15.95" hidden="1" customHeight="1" x14ac:dyDescent="0.25"/>
    <row r="52" s="63" customFormat="1" ht="15.95" hidden="1" customHeight="1" x14ac:dyDescent="0.25"/>
    <row r="53" s="63" customFormat="1" ht="15.95" hidden="1" customHeight="1" x14ac:dyDescent="0.25"/>
    <row r="54" s="63" customFormat="1" ht="15.95" hidden="1" customHeight="1" x14ac:dyDescent="0.25"/>
    <row r="55" s="63" customFormat="1" ht="15.95" hidden="1" customHeight="1" x14ac:dyDescent="0.25"/>
    <row r="56" s="63" customFormat="1" ht="15.95" hidden="1" customHeight="1" x14ac:dyDescent="0.25"/>
    <row r="57" s="63" customFormat="1" ht="15.95" hidden="1" customHeight="1" x14ac:dyDescent="0.25"/>
    <row r="58" s="63" customFormat="1" ht="15.95" hidden="1" customHeight="1" x14ac:dyDescent="0.25"/>
    <row r="59" s="63" customFormat="1" ht="15.95" hidden="1" customHeight="1" x14ac:dyDescent="0.25"/>
    <row r="60" s="63" customFormat="1" ht="15.95" hidden="1" customHeight="1" x14ac:dyDescent="0.25"/>
    <row r="61" s="63" customFormat="1" ht="15.95" hidden="1" customHeight="1" x14ac:dyDescent="0.25"/>
    <row r="62" s="63" customFormat="1" ht="15.95" hidden="1" customHeight="1" x14ac:dyDescent="0.25"/>
    <row r="63" s="63" customFormat="1" ht="15.95" hidden="1" customHeight="1" x14ac:dyDescent="0.25"/>
    <row r="64" s="63" customFormat="1" ht="15.95" hidden="1" customHeight="1" x14ac:dyDescent="0.25"/>
    <row r="65" s="63" customFormat="1" ht="15.95" hidden="1" customHeight="1" x14ac:dyDescent="0.25"/>
    <row r="66" s="63" customFormat="1" ht="15.95" hidden="1" customHeight="1" x14ac:dyDescent="0.25"/>
    <row r="67" s="63" customFormat="1" ht="15.95" hidden="1" customHeight="1" x14ac:dyDescent="0.25"/>
    <row r="68" s="63" customFormat="1" ht="15.95" hidden="1" customHeight="1" x14ac:dyDescent="0.25"/>
    <row r="69" s="63" customFormat="1" ht="15.95" hidden="1" customHeight="1" x14ac:dyDescent="0.25"/>
    <row r="70" s="63" customFormat="1" ht="15.95" hidden="1" customHeight="1" x14ac:dyDescent="0.25"/>
    <row r="71" s="63" customFormat="1" ht="15.95" hidden="1" customHeight="1" x14ac:dyDescent="0.25"/>
    <row r="72" s="63" customFormat="1" ht="15.95" hidden="1" customHeight="1" x14ac:dyDescent="0.25"/>
    <row r="73" s="63" customFormat="1" ht="15.95" hidden="1" customHeight="1" x14ac:dyDescent="0.25"/>
    <row r="74" s="63" customFormat="1" ht="15.95" hidden="1" customHeight="1" x14ac:dyDescent="0.25"/>
    <row r="75" s="63" customFormat="1" ht="15.95" hidden="1" customHeight="1" x14ac:dyDescent="0.25"/>
    <row r="76" s="63" customFormat="1" ht="15.95" hidden="1" customHeight="1" x14ac:dyDescent="0.25"/>
    <row r="77" s="63" customFormat="1" ht="15.95" hidden="1" customHeight="1" x14ac:dyDescent="0.25"/>
    <row r="78" s="63" customFormat="1" ht="15.95" hidden="1" customHeight="1" x14ac:dyDescent="0.25"/>
    <row r="79" s="63" customFormat="1" ht="15.95" hidden="1" customHeight="1" x14ac:dyDescent="0.25"/>
    <row r="80" s="63" customFormat="1" ht="15.95" hidden="1" customHeight="1" x14ac:dyDescent="0.25"/>
    <row r="81" s="63" customFormat="1" ht="15.95" hidden="1" customHeight="1" x14ac:dyDescent="0.25"/>
    <row r="82" s="63" customFormat="1" ht="15.95" hidden="1" customHeight="1" x14ac:dyDescent="0.25"/>
    <row r="83" s="63" customFormat="1" ht="15.95" hidden="1" customHeight="1" x14ac:dyDescent="0.25"/>
    <row r="84" s="63" customFormat="1" ht="15.95" hidden="1" customHeight="1" x14ac:dyDescent="0.25"/>
    <row r="85" s="63" customFormat="1" ht="15.95" hidden="1" customHeight="1" x14ac:dyDescent="0.25"/>
    <row r="86" s="63" customFormat="1" ht="15.95" hidden="1" customHeight="1" x14ac:dyDescent="0.25"/>
    <row r="87" s="63" customFormat="1" ht="15.95" hidden="1" customHeight="1" x14ac:dyDescent="0.25"/>
    <row r="88" s="63" customFormat="1" ht="15.95" hidden="1" customHeight="1" x14ac:dyDescent="0.25"/>
    <row r="89" s="63" customFormat="1" ht="15.95" hidden="1" customHeight="1" x14ac:dyDescent="0.25"/>
    <row r="90" s="63" customFormat="1" ht="15.95" hidden="1" customHeight="1" x14ac:dyDescent="0.25"/>
    <row r="91" s="63" customFormat="1" ht="15.95" hidden="1" customHeight="1" x14ac:dyDescent="0.25"/>
    <row r="92" s="63" customFormat="1" ht="15.95" hidden="1" customHeight="1" x14ac:dyDescent="0.25"/>
    <row r="93" s="63" customFormat="1" ht="15.95" hidden="1" customHeight="1" x14ac:dyDescent="0.25"/>
    <row r="94" s="63" customFormat="1" ht="15.95" hidden="1" customHeight="1" x14ac:dyDescent="0.25"/>
    <row r="95" s="63" customFormat="1" ht="15.95" hidden="1" customHeight="1" x14ac:dyDescent="0.25"/>
    <row r="96" s="63" customFormat="1" ht="15.95" hidden="1" customHeight="1" x14ac:dyDescent="0.25"/>
    <row r="97" s="63" customFormat="1" ht="15.95" hidden="1" customHeight="1" x14ac:dyDescent="0.25"/>
    <row r="98" s="63" customFormat="1" ht="15.95" hidden="1" customHeight="1" x14ac:dyDescent="0.25"/>
    <row r="99" s="63" customFormat="1" ht="15.95" hidden="1" customHeight="1" x14ac:dyDescent="0.25"/>
    <row r="100" s="63" customFormat="1" ht="15.95" hidden="1" customHeight="1" x14ac:dyDescent="0.25"/>
    <row r="101" s="63" customFormat="1" ht="15.95" hidden="1" customHeight="1" x14ac:dyDescent="0.25"/>
    <row r="102" s="63" customFormat="1" ht="15.95" hidden="1" customHeight="1" x14ac:dyDescent="0.25"/>
    <row r="103" s="63" customFormat="1" ht="15.95" hidden="1" customHeight="1" x14ac:dyDescent="0.25"/>
    <row r="104" s="63" customFormat="1" ht="15.95" hidden="1" customHeight="1" x14ac:dyDescent="0.25"/>
    <row r="105" s="63" customFormat="1" ht="15.95" hidden="1" customHeight="1" x14ac:dyDescent="0.25"/>
    <row r="106" s="63" customFormat="1" ht="15.95" hidden="1" customHeight="1" x14ac:dyDescent="0.25"/>
    <row r="107" s="63" customFormat="1" ht="15.95" hidden="1" customHeight="1" x14ac:dyDescent="0.25"/>
    <row r="108" s="63" customFormat="1" ht="15.95" hidden="1" customHeight="1" x14ac:dyDescent="0.25"/>
    <row r="109" s="63" customFormat="1" ht="15.95" hidden="1" customHeight="1" x14ac:dyDescent="0.25"/>
    <row r="110" s="63" customFormat="1" ht="15.95" hidden="1" customHeight="1" x14ac:dyDescent="0.25"/>
    <row r="111" s="63" customFormat="1" ht="15.95" hidden="1" customHeight="1" x14ac:dyDescent="0.25"/>
    <row r="112" s="63" customFormat="1" ht="15.95" hidden="1" customHeight="1" x14ac:dyDescent="0.25"/>
    <row r="113" s="63" customFormat="1" ht="15.95" hidden="1" customHeight="1" x14ac:dyDescent="0.25"/>
    <row r="114" s="63" customFormat="1" ht="15.95" hidden="1" customHeight="1" x14ac:dyDescent="0.25"/>
    <row r="115" s="63" customFormat="1" ht="15.95" hidden="1" customHeight="1" x14ac:dyDescent="0.25"/>
    <row r="116" s="63" customFormat="1" ht="15.95" hidden="1" customHeight="1" x14ac:dyDescent="0.25"/>
    <row r="117" s="63" customFormat="1" ht="15.95" hidden="1" customHeight="1" x14ac:dyDescent="0.25"/>
    <row r="118" s="63" customFormat="1" ht="15.95" hidden="1" customHeight="1" x14ac:dyDescent="0.25"/>
    <row r="119" s="63" customFormat="1" ht="15.95" hidden="1" customHeight="1" x14ac:dyDescent="0.25"/>
    <row r="120" s="63" customFormat="1" ht="15.95" hidden="1" customHeight="1" x14ac:dyDescent="0.25"/>
    <row r="121" s="63" customFormat="1" ht="15.95" hidden="1" customHeight="1" x14ac:dyDescent="0.25"/>
    <row r="122" s="63" customFormat="1" ht="15.95" hidden="1" customHeight="1" x14ac:dyDescent="0.25"/>
    <row r="123" s="63" customFormat="1" ht="15.95" hidden="1" customHeight="1" x14ac:dyDescent="0.25"/>
    <row r="124" s="63" customFormat="1" ht="15.95" hidden="1" customHeight="1" x14ac:dyDescent="0.25"/>
    <row r="125" s="63" customFormat="1" ht="15.95" hidden="1" customHeight="1" x14ac:dyDescent="0.25"/>
    <row r="126" s="63" customFormat="1" ht="15.95" hidden="1" customHeight="1" x14ac:dyDescent="0.25"/>
    <row r="127" s="63" customFormat="1" ht="15.95" hidden="1" customHeight="1" x14ac:dyDescent="0.25"/>
    <row r="128" s="63" customFormat="1" ht="15.95" hidden="1" customHeight="1" x14ac:dyDescent="0.25"/>
    <row r="129" s="63" customFormat="1" ht="15.95" hidden="1" customHeight="1" x14ac:dyDescent="0.25"/>
    <row r="130" s="63" customFormat="1" ht="15.95" hidden="1" customHeight="1" x14ac:dyDescent="0.25"/>
    <row r="131" s="63" customFormat="1" ht="15.95" hidden="1" customHeight="1" x14ac:dyDescent="0.25"/>
    <row r="132" s="63" customFormat="1" ht="15.95" hidden="1" customHeight="1" x14ac:dyDescent="0.25"/>
    <row r="133" s="63" customFormat="1" ht="15.95" hidden="1" customHeight="1" x14ac:dyDescent="0.25"/>
    <row r="134" s="63" customFormat="1" ht="15.95" hidden="1" customHeight="1" x14ac:dyDescent="0.25"/>
    <row r="135" s="63" customFormat="1" ht="15.95" hidden="1" customHeight="1" x14ac:dyDescent="0.25"/>
    <row r="136" s="63" customFormat="1" ht="15.95" hidden="1" customHeight="1" x14ac:dyDescent="0.25"/>
    <row r="137" s="63" customFormat="1" ht="15.95" hidden="1" customHeight="1" x14ac:dyDescent="0.25"/>
    <row r="138" s="63" customFormat="1" ht="15.95" hidden="1" customHeight="1" x14ac:dyDescent="0.25"/>
    <row r="139" s="63" customFormat="1" ht="15.95" hidden="1" customHeight="1" x14ac:dyDescent="0.25"/>
    <row r="140" s="63" customFormat="1" ht="15.95" hidden="1" customHeight="1" x14ac:dyDescent="0.25"/>
    <row r="141" s="63" customFormat="1" ht="15.95" hidden="1" customHeight="1" x14ac:dyDescent="0.25"/>
    <row r="142" s="63" customFormat="1" ht="15.95" hidden="1" customHeight="1" x14ac:dyDescent="0.25"/>
    <row r="143" s="63" customFormat="1" ht="15.95" hidden="1" customHeight="1" x14ac:dyDescent="0.25"/>
    <row r="144" s="63" customFormat="1" ht="15.95" hidden="1" customHeight="1" x14ac:dyDescent="0.25"/>
    <row r="145" s="63" customFormat="1" ht="15.95" hidden="1" customHeight="1" x14ac:dyDescent="0.25"/>
    <row r="146" s="63" customFormat="1" ht="15.95" hidden="1" customHeight="1" x14ac:dyDescent="0.25"/>
    <row r="147" s="63" customFormat="1" ht="15.95" hidden="1" customHeight="1" x14ac:dyDescent="0.25"/>
    <row r="148" s="63" customFormat="1" ht="15.95" hidden="1" customHeight="1" x14ac:dyDescent="0.25"/>
    <row r="149" s="63" customFormat="1" ht="15.95" hidden="1" customHeight="1" x14ac:dyDescent="0.25"/>
    <row r="150" s="63" customFormat="1" ht="15.95" hidden="1" customHeight="1" x14ac:dyDescent="0.25"/>
    <row r="151" s="63" customFormat="1" ht="15.95" hidden="1" customHeight="1" x14ac:dyDescent="0.25"/>
    <row r="152" s="63" customFormat="1" ht="15.95" hidden="1" customHeight="1" x14ac:dyDescent="0.25"/>
    <row r="153" s="63" customFormat="1" ht="15.95" hidden="1" customHeight="1" x14ac:dyDescent="0.25"/>
    <row r="154" s="63" customFormat="1" ht="15.95" hidden="1" customHeight="1" x14ac:dyDescent="0.25"/>
    <row r="155" s="63" customFormat="1" ht="15.95" hidden="1" customHeight="1" x14ac:dyDescent="0.25"/>
    <row r="156" s="63" customFormat="1" ht="15.95" hidden="1" customHeight="1" x14ac:dyDescent="0.25"/>
    <row r="157" s="63" customFormat="1" ht="15.95" hidden="1" customHeight="1" x14ac:dyDescent="0.25"/>
    <row r="158" s="63" customFormat="1" ht="15.95" hidden="1" customHeight="1" x14ac:dyDescent="0.25"/>
    <row r="159" s="63" customFormat="1" ht="15.95" hidden="1" customHeight="1" x14ac:dyDescent="0.25"/>
    <row r="160" s="63" customFormat="1" ht="15.95" hidden="1" customHeight="1" x14ac:dyDescent="0.25"/>
    <row r="161" s="63" customFormat="1" ht="15.95" hidden="1" customHeight="1" x14ac:dyDescent="0.25"/>
    <row r="162" s="63" customFormat="1" ht="15.95" hidden="1" customHeight="1" x14ac:dyDescent="0.25"/>
    <row r="163" s="63" customFormat="1" ht="15.95" hidden="1" customHeight="1" x14ac:dyDescent="0.25"/>
    <row r="164" s="63" customFormat="1" ht="15.95" hidden="1" customHeight="1" x14ac:dyDescent="0.25"/>
    <row r="165" s="63" customFormat="1" ht="15.95" hidden="1" customHeight="1" x14ac:dyDescent="0.25"/>
    <row r="166" s="63" customFormat="1" ht="15.95" hidden="1" customHeight="1" x14ac:dyDescent="0.25"/>
    <row r="167" s="63" customFormat="1" ht="15.95" hidden="1" customHeight="1" x14ac:dyDescent="0.25"/>
    <row r="168" s="63" customFormat="1" ht="15.95" hidden="1" customHeight="1" x14ac:dyDescent="0.25"/>
    <row r="169" s="63" customFormat="1" ht="15.95" hidden="1" customHeight="1" x14ac:dyDescent="0.25"/>
    <row r="170" s="63" customFormat="1" ht="15.95" hidden="1" customHeight="1" x14ac:dyDescent="0.25"/>
    <row r="171" s="63" customFormat="1" ht="15.95" hidden="1" customHeight="1" x14ac:dyDescent="0.25"/>
    <row r="172" s="63" customFormat="1" ht="15.95" hidden="1" customHeight="1" x14ac:dyDescent="0.25"/>
    <row r="173" s="63" customFormat="1" ht="15.95" hidden="1" customHeight="1" x14ac:dyDescent="0.25"/>
    <row r="174" s="63" customFormat="1" ht="15.95" hidden="1" customHeight="1" x14ac:dyDescent="0.25"/>
    <row r="175" s="63" customFormat="1" ht="15.95" hidden="1" customHeight="1" x14ac:dyDescent="0.25"/>
    <row r="176" s="63" customFormat="1" ht="15.95" hidden="1" customHeight="1" x14ac:dyDescent="0.25"/>
    <row r="177" s="63" customFormat="1" ht="15.95" hidden="1" customHeight="1" x14ac:dyDescent="0.25"/>
    <row r="178" s="63" customFormat="1" ht="15.95" hidden="1" customHeight="1" x14ac:dyDescent="0.25"/>
    <row r="179" s="63" customFormat="1" ht="15.95" hidden="1" customHeight="1" x14ac:dyDescent="0.25"/>
    <row r="180" s="63" customFormat="1" ht="15.95" hidden="1" customHeight="1" x14ac:dyDescent="0.25"/>
    <row r="181" s="63" customFormat="1" ht="15.95" hidden="1" customHeight="1" x14ac:dyDescent="0.25"/>
    <row r="182" s="63" customFormat="1" ht="15.95" hidden="1" customHeight="1" x14ac:dyDescent="0.25"/>
    <row r="183" s="63" customFormat="1" ht="15.95" hidden="1" customHeight="1" x14ac:dyDescent="0.25"/>
    <row r="184" s="63" customFormat="1" ht="15.95" hidden="1" customHeight="1" x14ac:dyDescent="0.25"/>
    <row r="185" s="63" customFormat="1" ht="15.95" hidden="1" customHeight="1" x14ac:dyDescent="0.25"/>
    <row r="186" s="63" customFormat="1" ht="15.95" hidden="1" customHeight="1" x14ac:dyDescent="0.25"/>
    <row r="187" s="63" customFormat="1" ht="15.95" hidden="1" customHeight="1" x14ac:dyDescent="0.25"/>
    <row r="188" s="63" customFormat="1" ht="15.95" hidden="1" customHeight="1" x14ac:dyDescent="0.25"/>
    <row r="189" s="63" customFormat="1" ht="15.95" hidden="1" customHeight="1" x14ac:dyDescent="0.25"/>
    <row r="190" s="63" customFormat="1" ht="15.95" hidden="1" customHeight="1" x14ac:dyDescent="0.25"/>
    <row r="191" s="63" customFormat="1" ht="15.95" hidden="1" customHeight="1" x14ac:dyDescent="0.25"/>
    <row r="192" s="63" customFormat="1" ht="15.95" hidden="1" customHeight="1" x14ac:dyDescent="0.25"/>
    <row r="193" spans="2:44" s="63" customFormat="1" ht="15.95" hidden="1" customHeight="1" x14ac:dyDescent="0.25"/>
    <row r="194" spans="2:44" s="63" customFormat="1" ht="15.95" hidden="1" customHeight="1" x14ac:dyDescent="0.25"/>
    <row r="195" spans="2:44" s="63" customFormat="1" ht="15.95" hidden="1" customHeight="1" x14ac:dyDescent="0.25"/>
    <row r="196" spans="2:44" s="63" customFormat="1" ht="15.95" hidden="1" customHeight="1" x14ac:dyDescent="0.25"/>
    <row r="197" spans="2:44" s="63" customFormat="1" ht="15.95" hidden="1" customHeight="1" x14ac:dyDescent="0.25"/>
    <row r="198" spans="2:44" s="63" customFormat="1" ht="15.95" hidden="1" customHeight="1" x14ac:dyDescent="0.25"/>
    <row r="199" spans="2:44" s="63" customFormat="1" ht="15.95" hidden="1" customHeight="1" x14ac:dyDescent="0.25"/>
    <row r="200" spans="2:44" ht="15.95" customHeight="1" x14ac:dyDescent="0.25">
      <c r="B200" s="136" t="str">
        <f>FOOT1</f>
        <v>Ameren Missouri BizSavers program</v>
      </c>
      <c r="C200" s="136"/>
      <c r="D200" s="136"/>
      <c r="E200" s="136"/>
      <c r="F200" s="136"/>
      <c r="G200" s="136"/>
      <c r="H200" s="136"/>
      <c r="I200" s="136"/>
      <c r="J200" s="136"/>
      <c r="K200" s="136"/>
      <c r="L200" s="136"/>
      <c r="M200" s="729" t="str">
        <f>FOOTDISCLAIM</f>
        <v/>
      </c>
      <c r="N200" s="729"/>
      <c r="O200" s="729"/>
      <c r="P200" s="729"/>
      <c r="Q200" s="729"/>
      <c r="R200" s="729"/>
      <c r="S200" s="729"/>
      <c r="T200" s="729"/>
      <c r="U200" s="729"/>
      <c r="V200" s="729"/>
      <c r="W200" s="729"/>
      <c r="X200" s="729"/>
      <c r="Y200" s="729"/>
      <c r="Z200" s="729"/>
      <c r="AA200" s="729"/>
      <c r="AB200" s="729"/>
      <c r="AC200" s="729"/>
      <c r="AD200" s="729"/>
      <c r="AE200" s="729"/>
      <c r="AF200" s="729"/>
      <c r="AG200" s="729"/>
      <c r="AH200" s="136"/>
      <c r="AI200" s="136"/>
      <c r="AJ200" s="136"/>
      <c r="AK200" s="136"/>
      <c r="AL200" s="136"/>
      <c r="AM200" s="136"/>
      <c r="AN200" s="136"/>
      <c r="AO200" s="136"/>
      <c r="AP200" s="136"/>
      <c r="AQ200" s="136"/>
      <c r="AR200" s="300" t="str">
        <f>FOOT4</f>
        <v/>
      </c>
    </row>
    <row r="201" spans="2:44" ht="15.95" customHeight="1" x14ac:dyDescent="0.25">
      <c r="B201" s="136" t="str">
        <f>FOOT2</f>
        <v>Toll-Free 866-941-7299</v>
      </c>
      <c r="C201" s="136"/>
      <c r="D201" s="136"/>
      <c r="E201" s="136"/>
      <c r="F201" s="136"/>
      <c r="G201" s="136"/>
      <c r="H201" s="136"/>
      <c r="I201" s="136"/>
      <c r="J201" s="136"/>
      <c r="K201" s="136"/>
      <c r="L201" s="136"/>
      <c r="M201" s="729"/>
      <c r="N201" s="729"/>
      <c r="O201" s="729"/>
      <c r="P201" s="729"/>
      <c r="Q201" s="729"/>
      <c r="R201" s="729"/>
      <c r="S201" s="729"/>
      <c r="T201" s="729"/>
      <c r="U201" s="729"/>
      <c r="V201" s="729"/>
      <c r="W201" s="729"/>
      <c r="X201" s="729"/>
      <c r="Y201" s="729"/>
      <c r="Z201" s="729"/>
      <c r="AA201" s="729"/>
      <c r="AB201" s="729"/>
      <c r="AC201" s="729"/>
      <c r="AD201" s="729"/>
      <c r="AE201" s="729"/>
      <c r="AF201" s="729"/>
      <c r="AG201" s="729"/>
      <c r="AH201" s="136"/>
      <c r="AI201" s="136"/>
      <c r="AJ201" s="136"/>
      <c r="AK201" s="136"/>
      <c r="AL201" s="136"/>
      <c r="AM201" s="136"/>
      <c r="AN201" s="136"/>
      <c r="AO201" s="136"/>
      <c r="AP201" s="136"/>
      <c r="AQ201" s="136"/>
      <c r="AR201" s="300" t="str">
        <f>FOOT5</f>
        <v/>
      </c>
    </row>
    <row r="202" spans="2:44" ht="15.95" customHeight="1" x14ac:dyDescent="0.25">
      <c r="B202" s="138" t="str">
        <f>FOOT3</f>
        <v>BizSavers@ameren.com</v>
      </c>
      <c r="C202" s="136"/>
      <c r="D202" s="136"/>
      <c r="E202" s="136"/>
      <c r="F202" s="136"/>
      <c r="G202" s="136"/>
      <c r="H202" s="136"/>
      <c r="I202" s="136"/>
      <c r="J202" s="136"/>
      <c r="K202" s="136"/>
      <c r="L202" s="136"/>
      <c r="M202" s="139"/>
      <c r="N202" s="136"/>
      <c r="O202" s="136"/>
      <c r="P202" s="139"/>
      <c r="Q202" s="139"/>
      <c r="R202" s="139"/>
      <c r="S202" s="139"/>
      <c r="T202" s="139"/>
      <c r="U202" s="139"/>
      <c r="V202" s="139"/>
      <c r="W202" s="140" t="str">
        <f>VERSION</f>
        <v>New Construction v3.8.0</v>
      </c>
      <c r="X202" s="139"/>
      <c r="Y202" s="139"/>
      <c r="Z202" s="139"/>
      <c r="AA202" s="139"/>
      <c r="AB202" s="139"/>
      <c r="AC202" s="139"/>
      <c r="AD202" s="139"/>
      <c r="AE202" s="136"/>
      <c r="AF202" s="136"/>
      <c r="AG202" s="136"/>
      <c r="AH202" s="136"/>
      <c r="AI202" s="136"/>
      <c r="AJ202" s="136"/>
      <c r="AK202" s="136"/>
      <c r="AL202" s="136"/>
      <c r="AM202" s="136"/>
      <c r="AN202" s="136"/>
      <c r="AO202" s="136"/>
      <c r="AP202" s="136"/>
      <c r="AQ202" s="136"/>
      <c r="AR202" s="300" t="str">
        <f>FOOT6</f>
        <v>Product of TRC Companies</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sheetData>
  <sheetProtection algorithmName="SHA-512" hashValue="taWbfK6M/8wxp/FTGXP49L0+Y18sk+EroAPy6190Eww/zpNvVFqdCu1TVvLZWGSWbBQ4UrfBTKKZfjIw/h2rDg==" saltValue="OBzJbEulBCwHKYs1Wg47qA==" spinCount="100000" sheet="1" objects="1" scenarios="1" selectLockedCells="1"/>
  <mergeCells count="18">
    <mergeCell ref="C34:V34"/>
    <mergeCell ref="X34:AJ34"/>
    <mergeCell ref="AL34:AQ34"/>
    <mergeCell ref="AL2:AP3"/>
    <mergeCell ref="M200:AG201"/>
    <mergeCell ref="M36:AG36"/>
    <mergeCell ref="X37:AG38"/>
    <mergeCell ref="M38:V38"/>
    <mergeCell ref="AQ1:AR1"/>
    <mergeCell ref="AQ2:AR3"/>
    <mergeCell ref="C33:V33"/>
    <mergeCell ref="X33:AJ33"/>
    <mergeCell ref="F10:AN10"/>
    <mergeCell ref="AH1:AK1"/>
    <mergeCell ref="AL1:AP1"/>
    <mergeCell ref="AH2:AK3"/>
    <mergeCell ref="AL33:AQ33"/>
    <mergeCell ref="F11:AN13"/>
  </mergeCells>
  <conditionalFormatting sqref="AQ2:AR3">
    <cfRule type="cellIs" dxfId="315" priority="4" operator="equal">
      <formula>1</formula>
    </cfRule>
    <cfRule type="cellIs" dxfId="314" priority="5" operator="between">
      <formula>0.51</formula>
      <formula>0.99</formula>
    </cfRule>
    <cfRule type="cellIs" dxfId="313" priority="6" operator="lessThanOrEqual">
      <formula>0.5</formula>
    </cfRule>
  </conditionalFormatting>
  <conditionalFormatting sqref="AH2 AL2">
    <cfRule type="expression" dxfId="312" priority="2">
      <formula>OR(PROJSTATUS=PROJSTATELI,PROJSTATUS=PROJSTATEXP,PROJSTATUS=PROJSTATUNDER)</formula>
    </cfRule>
    <cfRule type="expression" dxfId="311" priority="3">
      <formula>PROJSTATUS=PROJSTATFILLINITIAL</formula>
    </cfRule>
    <cfRule type="expression" dxfId="310" priority="7">
      <formula>PROJSTATUS=PROJSTATPREAPPROVE</formula>
    </cfRule>
    <cfRule type="expression" dxfId="309" priority="8">
      <formula>OR(PROJSTATUS=PROJSTATSSUBMITINITIAL,PROJSTATUS=PROJSTATREVIEW)</formula>
    </cfRule>
  </conditionalFormatting>
  <conditionalFormatting sqref="X37:AG38">
    <cfRule type="expression" dxfId="308" priority="1">
      <formula>NOT(ISNUMBER(SEARCH("Other",$M$38)))</formula>
    </cfRule>
  </conditionalFormatting>
  <dataValidations count="3">
    <dataValidation allowBlank="1" showInputMessage="1" showErrorMessage="1" prompt="The authorized representative is an individual that has the legal accountability for the site associated with the Ameren Missouri account provided either through ownership, positional, or written authority from the company." sqref="C34:V34" xr:uid="{00000000-0002-0000-0F00-000000000000}"/>
    <dataValidation type="date" operator="greaterThan" allowBlank="1" showInputMessage="1" showErrorMessage="1" error="Please enter date in format MM/DD/YYYY" sqref="AL34:AQ34" xr:uid="{00000000-0002-0000-0F00-000001000000}">
      <formula1>42370</formula1>
    </dataValidation>
    <dataValidation type="list" allowBlank="1" showInputMessage="1" showErrorMessage="1" sqref="M38:V38" xr:uid="{86059BC6-BB7C-49AF-A4B9-32BA1AAA8BF9}">
      <formula1>HEARABOUT</formula1>
    </dataValidation>
  </dataValidations>
  <hyperlinks>
    <hyperlink ref="B202" r:id="rId1" display="NIPSCO.Savings@LMCO.com" xr:uid="{00000000-0004-0000-0F00-000000000000}"/>
  </hyperlinks>
  <pageMargins left="0.25" right="0.25" top="0.25" bottom="0.25" header="0.25" footer="0.25"/>
  <pageSetup scale="50" fitToHeight="0"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AS369"/>
  <sheetViews>
    <sheetView showGridLines="0" showRowColHeaders="0" zoomScale="85" zoomScaleNormal="85" workbookViewId="0">
      <selection activeCell="C15" sqref="C15:H15"/>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AH1" s="711" t="s">
        <v>494</v>
      </c>
      <c r="AI1" s="712"/>
      <c r="AJ1" s="712"/>
      <c r="AK1" s="712"/>
      <c r="AL1" s="723" t="s">
        <v>911</v>
      </c>
      <c r="AM1" s="723"/>
      <c r="AN1" s="723"/>
      <c r="AO1" s="723"/>
      <c r="AP1" s="723"/>
      <c r="AQ1" s="717" t="s">
        <v>499</v>
      </c>
      <c r="AR1" s="718"/>
    </row>
    <row r="2" spans="3:44" ht="15.95" customHeight="1" x14ac:dyDescent="0.25">
      <c r="AH2" s="713" t="str">
        <f ca="1">INCENSTATUS</f>
        <v>---</v>
      </c>
      <c r="AI2" s="714"/>
      <c r="AJ2" s="714"/>
      <c r="AK2" s="714"/>
      <c r="AL2" s="724" t="str">
        <f ca="1">PROJSTATUS</f>
        <v>Please Complete Initial Application</v>
      </c>
      <c r="AM2" s="724"/>
      <c r="AN2" s="724"/>
      <c r="AO2" s="724"/>
      <c r="AP2" s="724"/>
      <c r="AQ2" s="719">
        <f ca="1">PROGRESSSTATUS</f>
        <v>0</v>
      </c>
      <c r="AR2" s="720"/>
    </row>
    <row r="3" spans="3:44" ht="15.95" customHeight="1" x14ac:dyDescent="0.25">
      <c r="AH3" s="715"/>
      <c r="AI3" s="716"/>
      <c r="AJ3" s="716"/>
      <c r="AK3" s="716"/>
      <c r="AL3" s="725"/>
      <c r="AM3" s="725"/>
      <c r="AN3" s="725"/>
      <c r="AO3" s="725"/>
      <c r="AP3" s="725"/>
      <c r="AQ3" s="721"/>
      <c r="AR3" s="722"/>
    </row>
    <row r="4" spans="3:44" ht="15.95" customHeight="1" x14ac:dyDescent="0.25"/>
    <row r="5" spans="3:44" ht="15.95" customHeight="1" x14ac:dyDescent="0.25"/>
    <row r="6" spans="3:44" ht="15.95" customHeight="1" x14ac:dyDescent="0.25"/>
    <row r="7" spans="3:44" ht="15.95" customHeight="1" x14ac:dyDescent="0.25"/>
    <row r="8" spans="3:44" ht="15.95" customHeight="1" x14ac:dyDescent="0.25"/>
    <row r="9" spans="3:44" ht="15.95" customHeight="1" x14ac:dyDescent="0.25"/>
    <row r="10" spans="3:44" ht="15.95" customHeight="1" x14ac:dyDescent="0.3">
      <c r="C10" s="135"/>
      <c r="D10" s="135"/>
      <c r="E10" s="135"/>
      <c r="F10" s="732" t="s">
        <v>1937</v>
      </c>
      <c r="G10" s="732"/>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c r="AO10" s="135"/>
      <c r="AP10" s="135"/>
      <c r="AQ10" s="135"/>
    </row>
    <row r="11" spans="3:44" ht="15.95" customHeight="1" x14ac:dyDescent="0.25">
      <c r="C11" s="135"/>
      <c r="D11" s="135"/>
      <c r="E11" s="135"/>
      <c r="F11" s="888" t="s">
        <v>475</v>
      </c>
      <c r="G11" s="888"/>
      <c r="H11" s="888"/>
      <c r="I11" s="888"/>
      <c r="J11" s="888"/>
      <c r="K11" s="888"/>
      <c r="L11" s="888"/>
      <c r="M11" s="888"/>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135"/>
      <c r="AP11" s="135"/>
      <c r="AQ11" s="135"/>
    </row>
    <row r="12" spans="3:44" ht="15.95" customHeight="1" x14ac:dyDescent="0.25">
      <c r="C12" s="135"/>
      <c r="D12" s="135"/>
      <c r="E12" s="135"/>
      <c r="F12" s="888"/>
      <c r="G12" s="888"/>
      <c r="H12" s="888"/>
      <c r="I12" s="888"/>
      <c r="J12" s="888"/>
      <c r="K12" s="888"/>
      <c r="L12" s="888"/>
      <c r="M12" s="888"/>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135"/>
      <c r="AP12" s="135"/>
      <c r="AQ12" s="135"/>
    </row>
    <row r="13" spans="3:44" ht="15.95" customHeight="1" x14ac:dyDescent="0.25">
      <c r="C13" s="135"/>
      <c r="D13" s="135"/>
      <c r="E13" s="135"/>
      <c r="F13" s="141"/>
      <c r="G13" s="141"/>
      <c r="H13" s="141"/>
      <c r="I13" s="141"/>
      <c r="J13" s="141"/>
      <c r="K13" s="141"/>
      <c r="L13" s="141"/>
      <c r="M13" s="141"/>
      <c r="N13" s="141"/>
      <c r="O13" s="141"/>
      <c r="P13" s="141"/>
      <c r="Q13" s="141"/>
      <c r="R13" s="141"/>
      <c r="S13" s="141"/>
      <c r="T13" s="141"/>
      <c r="U13" s="141"/>
      <c r="V13" s="141"/>
      <c r="W13" s="141"/>
      <c r="X13" s="141"/>
      <c r="Y13" s="141"/>
      <c r="Z13" s="141"/>
      <c r="AA13" s="141"/>
      <c r="AB13" s="141"/>
      <c r="AC13" s="141"/>
      <c r="AD13" s="141"/>
      <c r="AE13" s="141"/>
      <c r="AF13" s="141"/>
      <c r="AG13" s="141"/>
      <c r="AH13" s="141"/>
      <c r="AI13" s="141"/>
      <c r="AJ13" s="141"/>
      <c r="AK13" s="141"/>
      <c r="AL13" s="141"/>
      <c r="AM13" s="141"/>
      <c r="AN13" s="141"/>
      <c r="AO13" s="135"/>
      <c r="AP13" s="135"/>
      <c r="AQ13" s="135"/>
    </row>
    <row r="14" spans="3:44" ht="15.95" customHeight="1" thickBot="1" x14ac:dyDescent="0.3">
      <c r="C14" s="807" t="s">
        <v>913</v>
      </c>
      <c r="D14" s="807"/>
      <c r="E14" s="807"/>
      <c r="F14" s="807"/>
      <c r="G14" s="807"/>
      <c r="H14" s="807"/>
      <c r="I14" s="142"/>
      <c r="J14" s="807" t="s">
        <v>914</v>
      </c>
      <c r="K14" s="807"/>
      <c r="L14" s="807"/>
      <c r="M14" s="807"/>
      <c r="N14" s="807"/>
      <c r="O14" s="807"/>
      <c r="P14" s="142"/>
      <c r="Q14" s="807" t="s">
        <v>915</v>
      </c>
      <c r="R14" s="807"/>
      <c r="S14" s="807"/>
      <c r="T14" s="807"/>
      <c r="U14" s="807"/>
      <c r="V14" s="807"/>
      <c r="W14" s="142"/>
      <c r="X14" s="807" t="s">
        <v>916</v>
      </c>
      <c r="Y14" s="807"/>
      <c r="Z14" s="807"/>
      <c r="AA14" s="807"/>
      <c r="AB14" s="807"/>
      <c r="AC14" s="807"/>
      <c r="AD14" s="142"/>
      <c r="AE14" s="807" t="s">
        <v>917</v>
      </c>
      <c r="AF14" s="807"/>
      <c r="AG14" s="807"/>
      <c r="AH14" s="807"/>
      <c r="AI14" s="807"/>
      <c r="AJ14" s="807"/>
      <c r="AK14" s="142"/>
      <c r="AL14" s="807" t="s">
        <v>84</v>
      </c>
      <c r="AM14" s="807"/>
      <c r="AN14" s="807"/>
      <c r="AO14" s="807"/>
      <c r="AP14" s="807"/>
      <c r="AQ14" s="807"/>
    </row>
    <row r="15" spans="3:44" ht="15.95" customHeight="1" thickBot="1" x14ac:dyDescent="0.3">
      <c r="C15" s="809"/>
      <c r="D15" s="810"/>
      <c r="E15" s="810"/>
      <c r="F15" s="810"/>
      <c r="G15" s="810"/>
      <c r="H15" s="811"/>
      <c r="I15" s="142"/>
      <c r="J15" s="809"/>
      <c r="K15" s="810"/>
      <c r="L15" s="810"/>
      <c r="M15" s="810"/>
      <c r="N15" s="810"/>
      <c r="O15" s="811"/>
      <c r="P15" s="142"/>
      <c r="Q15" s="809"/>
      <c r="R15" s="810"/>
      <c r="S15" s="810"/>
      <c r="T15" s="810"/>
      <c r="U15" s="810"/>
      <c r="V15" s="811"/>
      <c r="W15" s="142"/>
      <c r="X15" s="809"/>
      <c r="Y15" s="810"/>
      <c r="Z15" s="810"/>
      <c r="AA15" s="810"/>
      <c r="AB15" s="810"/>
      <c r="AC15" s="811"/>
      <c r="AD15" s="142"/>
      <c r="AE15" s="879"/>
      <c r="AF15" s="880"/>
      <c r="AG15" s="880"/>
      <c r="AH15" s="880"/>
      <c r="AI15" s="880"/>
      <c r="AJ15" s="881"/>
      <c r="AK15" s="142"/>
      <c r="AL15" s="882"/>
      <c r="AM15" s="883"/>
      <c r="AN15" s="883"/>
      <c r="AO15" s="883"/>
      <c r="AP15" s="883"/>
      <c r="AQ15" s="884"/>
    </row>
    <row r="16" spans="3:44" ht="15.95" customHeight="1" x14ac:dyDescent="0.25">
      <c r="C16" s="142"/>
      <c r="D16" s="142"/>
      <c r="E16" s="142"/>
      <c r="F16" s="142"/>
      <c r="G16" s="142"/>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c r="AE16" s="142"/>
      <c r="AF16" s="142"/>
      <c r="AG16" s="142"/>
      <c r="AH16" s="142"/>
      <c r="AI16" s="142"/>
      <c r="AJ16" s="142"/>
      <c r="AK16" s="142"/>
      <c r="AL16" s="142"/>
      <c r="AM16" s="142"/>
      <c r="AN16" s="142"/>
      <c r="AO16" s="142"/>
      <c r="AP16" s="142"/>
      <c r="AQ16" s="142"/>
    </row>
    <row r="17" spans="3:43" ht="15.95" customHeight="1" thickBot="1" x14ac:dyDescent="0.3">
      <c r="C17" s="807" t="s">
        <v>918</v>
      </c>
      <c r="D17" s="807"/>
      <c r="E17" s="807"/>
      <c r="F17" s="807"/>
      <c r="G17" s="807"/>
      <c r="H17" s="807"/>
      <c r="I17" s="142"/>
      <c r="J17" s="807" t="s">
        <v>919</v>
      </c>
      <c r="K17" s="807"/>
      <c r="L17" s="807"/>
      <c r="M17" s="807"/>
      <c r="N17" s="807"/>
      <c r="O17" s="807"/>
      <c r="P17" s="142"/>
      <c r="Q17" s="807" t="s">
        <v>920</v>
      </c>
      <c r="R17" s="807"/>
      <c r="S17" s="807"/>
      <c r="T17" s="807"/>
      <c r="U17" s="807"/>
      <c r="V17" s="807"/>
      <c r="W17" s="142"/>
      <c r="X17" s="815" t="s">
        <v>2352</v>
      </c>
      <c r="Y17" s="807"/>
      <c r="Z17" s="807"/>
      <c r="AA17" s="807"/>
      <c r="AB17" s="807"/>
      <c r="AC17" s="807"/>
      <c r="AD17" s="142"/>
      <c r="AE17" s="815" t="s">
        <v>2353</v>
      </c>
      <c r="AF17" s="807"/>
      <c r="AG17" s="807"/>
      <c r="AH17" s="807"/>
      <c r="AI17" s="807"/>
      <c r="AJ17" s="807"/>
      <c r="AK17" s="142"/>
      <c r="AL17" s="807"/>
      <c r="AM17" s="807"/>
      <c r="AN17" s="807"/>
      <c r="AO17" s="807"/>
      <c r="AP17" s="807"/>
      <c r="AQ17" s="807"/>
    </row>
    <row r="18" spans="3:43" ht="15.95" customHeight="1" thickBot="1" x14ac:dyDescent="0.3">
      <c r="C18" s="871"/>
      <c r="D18" s="810"/>
      <c r="E18" s="810"/>
      <c r="F18" s="810"/>
      <c r="G18" s="810"/>
      <c r="H18" s="811"/>
      <c r="I18" s="142"/>
      <c r="J18" s="825"/>
      <c r="K18" s="810"/>
      <c r="L18" s="810"/>
      <c r="M18" s="810"/>
      <c r="N18" s="810"/>
      <c r="O18" s="811"/>
      <c r="P18" s="142"/>
      <c r="Q18" s="809"/>
      <c r="R18" s="810"/>
      <c r="S18" s="810"/>
      <c r="T18" s="810"/>
      <c r="U18" s="810"/>
      <c r="V18" s="811"/>
      <c r="W18" s="142"/>
      <c r="X18" s="809"/>
      <c r="Y18" s="810"/>
      <c r="Z18" s="810"/>
      <c r="AA18" s="810"/>
      <c r="AB18" s="810"/>
      <c r="AC18" s="811"/>
      <c r="AD18" s="142"/>
      <c r="AE18" s="868"/>
      <c r="AF18" s="869"/>
      <c r="AG18" s="869"/>
      <c r="AH18" s="869"/>
      <c r="AI18" s="869"/>
      <c r="AJ18" s="870"/>
      <c r="AK18" s="142"/>
      <c r="AL18" s="807"/>
      <c r="AM18" s="807"/>
      <c r="AN18" s="807"/>
      <c r="AO18" s="807"/>
      <c r="AP18" s="807"/>
      <c r="AQ18" s="807"/>
    </row>
    <row r="19" spans="3:43" s="63" customFormat="1" ht="15.95" customHeight="1" x14ac:dyDescent="0.25">
      <c r="C19" s="242"/>
      <c r="D19" s="243"/>
      <c r="E19" s="243"/>
      <c r="F19" s="243"/>
      <c r="G19" s="243"/>
      <c r="H19" s="243"/>
      <c r="I19" s="244"/>
      <c r="J19" s="243"/>
      <c r="K19" s="243"/>
      <c r="L19" s="243"/>
      <c r="M19" s="243"/>
      <c r="N19" s="243"/>
      <c r="O19" s="243"/>
      <c r="P19" s="244"/>
      <c r="Q19" s="243"/>
      <c r="R19" s="243"/>
      <c r="S19" s="243"/>
      <c r="T19" s="243"/>
      <c r="U19" s="243"/>
      <c r="V19" s="243"/>
      <c r="W19" s="244"/>
      <c r="X19" s="243"/>
      <c r="Y19" s="243"/>
      <c r="Z19" s="243"/>
      <c r="AA19" s="243"/>
      <c r="AB19" s="243"/>
      <c r="AC19" s="243"/>
      <c r="AD19" s="244"/>
      <c r="AE19" s="245"/>
      <c r="AF19" s="245"/>
      <c r="AG19" s="245"/>
      <c r="AH19" s="245"/>
      <c r="AI19" s="245"/>
      <c r="AJ19" s="245"/>
      <c r="AK19" s="244"/>
      <c r="AL19" s="244"/>
      <c r="AM19" s="244"/>
      <c r="AN19" s="244"/>
      <c r="AO19" s="244"/>
      <c r="AP19" s="244"/>
      <c r="AQ19" s="244"/>
    </row>
    <row r="20" spans="3:43" s="63" customFormat="1" ht="15.95" customHeight="1" x14ac:dyDescent="0.25">
      <c r="C20" s="242"/>
      <c r="D20" s="243"/>
      <c r="E20" s="243"/>
      <c r="F20" s="243"/>
      <c r="G20" s="243"/>
      <c r="H20" s="243"/>
      <c r="I20" s="244"/>
      <c r="J20" s="243"/>
      <c r="K20" s="243"/>
      <c r="L20" s="243"/>
      <c r="M20" s="243"/>
      <c r="N20" s="243"/>
      <c r="O20" s="243"/>
      <c r="P20" s="244"/>
      <c r="Q20" s="243"/>
      <c r="R20" s="243"/>
      <c r="S20" s="243"/>
      <c r="T20" s="243"/>
      <c r="U20" s="243"/>
      <c r="V20" s="243"/>
      <c r="W20" s="244"/>
      <c r="X20" s="243"/>
      <c r="Y20" s="243"/>
      <c r="Z20" s="243"/>
      <c r="AA20" s="243"/>
      <c r="AB20" s="243"/>
      <c r="AC20" s="243"/>
      <c r="AD20" s="244"/>
      <c r="AE20" s="245"/>
      <c r="AF20" s="245"/>
      <c r="AG20" s="245"/>
      <c r="AH20" s="245"/>
      <c r="AI20" s="245"/>
      <c r="AJ20" s="245"/>
      <c r="AK20" s="244"/>
      <c r="AL20" s="244"/>
      <c r="AM20" s="244"/>
      <c r="AN20" s="244"/>
      <c r="AO20" s="244"/>
      <c r="AP20" s="244"/>
      <c r="AQ20" s="244"/>
    </row>
    <row r="21" spans="3:43" s="63" customFormat="1" ht="15.95" customHeight="1" x14ac:dyDescent="0.25">
      <c r="C21" s="242"/>
      <c r="D21" s="243"/>
      <c r="E21" s="243"/>
      <c r="F21" s="832" t="s">
        <v>1166</v>
      </c>
      <c r="G21" s="832"/>
      <c r="H21" s="832"/>
      <c r="I21" s="832"/>
      <c r="J21" s="832"/>
      <c r="K21" s="832"/>
      <c r="L21" s="832"/>
      <c r="M21" s="832"/>
      <c r="N21" s="832"/>
      <c r="O21" s="832"/>
      <c r="P21" s="832"/>
      <c r="Q21" s="832"/>
      <c r="R21" s="832"/>
      <c r="S21" s="832"/>
      <c r="T21" s="832"/>
      <c r="U21" s="832"/>
      <c r="V21" s="832"/>
      <c r="W21" s="832"/>
      <c r="X21" s="832"/>
      <c r="Y21" s="832"/>
      <c r="Z21" s="832"/>
      <c r="AA21" s="832"/>
      <c r="AB21" s="832"/>
      <c r="AC21" s="832"/>
      <c r="AD21" s="832"/>
      <c r="AE21" s="832"/>
      <c r="AF21" s="832"/>
      <c r="AG21" s="832"/>
      <c r="AH21" s="832"/>
      <c r="AI21" s="832"/>
      <c r="AJ21" s="832"/>
      <c r="AK21" s="832"/>
      <c r="AL21" s="832"/>
      <c r="AM21" s="832"/>
      <c r="AN21" s="832"/>
      <c r="AO21" s="244"/>
      <c r="AP21" s="244"/>
      <c r="AQ21" s="244"/>
    </row>
    <row r="22" spans="3:43" s="63" customFormat="1" ht="15.95" customHeight="1" x14ac:dyDescent="0.25">
      <c r="C22" s="242"/>
      <c r="D22" s="243"/>
      <c r="E22" s="243"/>
      <c r="F22" s="874" t="s">
        <v>932</v>
      </c>
      <c r="G22" s="874"/>
      <c r="H22" s="874"/>
      <c r="I22" s="874"/>
      <c r="J22" s="874"/>
      <c r="K22" s="874"/>
      <c r="L22" s="874"/>
      <c r="M22" s="874"/>
      <c r="N22" s="874"/>
      <c r="O22" s="874"/>
      <c r="P22" s="874"/>
      <c r="Q22" s="874"/>
      <c r="R22" s="874"/>
      <c r="S22" s="874"/>
      <c r="T22" s="874"/>
      <c r="U22" s="874"/>
      <c r="V22" s="874"/>
      <c r="W22" s="874"/>
      <c r="X22" s="874"/>
      <c r="Y22" s="874"/>
      <c r="Z22" s="874"/>
      <c r="AA22" s="874"/>
      <c r="AB22" s="874"/>
      <c r="AC22" s="874"/>
      <c r="AD22" s="874"/>
      <c r="AE22" s="874"/>
      <c r="AF22" s="874"/>
      <c r="AG22" s="874"/>
      <c r="AH22" s="874"/>
      <c r="AI22" s="874"/>
      <c r="AJ22" s="874"/>
      <c r="AK22" s="874"/>
      <c r="AL22" s="874"/>
      <c r="AM22" s="874"/>
      <c r="AN22" s="874"/>
      <c r="AO22" s="244"/>
      <c r="AP22" s="244"/>
      <c r="AQ22" s="244"/>
    </row>
    <row r="23" spans="3:43" s="63" customFormat="1" ht="15.95" customHeight="1" x14ac:dyDescent="0.25">
      <c r="C23" s="242"/>
      <c r="D23" s="243"/>
      <c r="E23" s="243"/>
      <c r="F23" s="246"/>
      <c r="G23" s="246"/>
      <c r="H23" s="246"/>
      <c r="I23" s="246"/>
      <c r="J23" s="246"/>
      <c r="K23" s="246"/>
      <c r="L23" s="246"/>
      <c r="M23" s="246"/>
      <c r="N23" s="246"/>
      <c r="O23" s="246"/>
      <c r="P23" s="246"/>
      <c r="Q23" s="246"/>
      <c r="R23" s="246"/>
      <c r="S23" s="246"/>
      <c r="T23" s="246"/>
      <c r="U23" s="246"/>
      <c r="V23" s="246"/>
      <c r="W23" s="246"/>
      <c r="X23" s="246"/>
      <c r="Y23" s="246"/>
      <c r="Z23" s="246"/>
      <c r="AA23" s="246"/>
      <c r="AB23" s="246"/>
      <c r="AC23" s="246"/>
      <c r="AD23" s="246"/>
      <c r="AE23" s="246"/>
      <c r="AF23" s="246"/>
      <c r="AG23" s="246"/>
      <c r="AH23" s="246"/>
      <c r="AI23" s="246"/>
      <c r="AJ23" s="246"/>
      <c r="AK23" s="246"/>
      <c r="AL23" s="246"/>
      <c r="AM23" s="246"/>
      <c r="AN23" s="246"/>
      <c r="AO23" s="244"/>
      <c r="AP23" s="244"/>
      <c r="AQ23" s="244"/>
    </row>
    <row r="24" spans="3:43" s="63" customFormat="1" ht="15.95" customHeight="1" thickBot="1" x14ac:dyDescent="0.3">
      <c r="C24" s="807" t="s">
        <v>981</v>
      </c>
      <c r="D24" s="807"/>
      <c r="E24" s="807"/>
      <c r="F24" s="807"/>
      <c r="G24" s="807"/>
      <c r="H24" s="807"/>
      <c r="I24" s="144"/>
      <c r="P24" s="144"/>
      <c r="Q24" s="807" t="s">
        <v>933</v>
      </c>
      <c r="R24" s="807"/>
      <c r="S24" s="807"/>
      <c r="T24" s="807"/>
      <c r="U24" s="807"/>
      <c r="V24" s="807"/>
      <c r="W24" s="144"/>
      <c r="X24" s="807" t="s">
        <v>934</v>
      </c>
      <c r="Y24" s="807"/>
      <c r="Z24" s="807"/>
      <c r="AA24" s="807"/>
      <c r="AB24" s="807"/>
      <c r="AC24" s="807"/>
      <c r="AD24" s="144"/>
      <c r="AE24" s="807" t="s">
        <v>935</v>
      </c>
      <c r="AF24" s="807"/>
      <c r="AG24" s="807"/>
      <c r="AH24" s="807"/>
      <c r="AI24" s="807"/>
      <c r="AJ24" s="807"/>
      <c r="AK24" s="144"/>
      <c r="AL24" s="807" t="s">
        <v>936</v>
      </c>
      <c r="AM24" s="807"/>
      <c r="AN24" s="807"/>
      <c r="AO24" s="807"/>
      <c r="AP24" s="807"/>
      <c r="AQ24" s="807"/>
    </row>
    <row r="25" spans="3:43" s="63" customFormat="1" ht="15.95" customHeight="1" thickBot="1" x14ac:dyDescent="0.3">
      <c r="C25" s="829"/>
      <c r="D25" s="830"/>
      <c r="E25" s="830"/>
      <c r="F25" s="830"/>
      <c r="G25" s="830"/>
      <c r="H25" s="830"/>
      <c r="I25" s="830"/>
      <c r="J25" s="830"/>
      <c r="K25" s="830"/>
      <c r="L25" s="830"/>
      <c r="M25" s="830"/>
      <c r="N25" s="830"/>
      <c r="O25" s="831"/>
      <c r="P25" s="144"/>
      <c r="Q25" s="825"/>
      <c r="R25" s="810"/>
      <c r="S25" s="810"/>
      <c r="T25" s="810"/>
      <c r="U25" s="810"/>
      <c r="V25" s="811"/>
      <c r="W25" s="144"/>
      <c r="X25" s="826"/>
      <c r="Y25" s="827"/>
      <c r="Z25" s="827"/>
      <c r="AA25" s="827"/>
      <c r="AB25" s="827"/>
      <c r="AC25" s="828"/>
      <c r="AD25" s="144"/>
      <c r="AE25" s="812"/>
      <c r="AF25" s="813"/>
      <c r="AG25" s="813"/>
      <c r="AH25" s="813"/>
      <c r="AI25" s="813"/>
      <c r="AJ25" s="814"/>
      <c r="AK25" s="144"/>
      <c r="AL25" s="812"/>
      <c r="AM25" s="813"/>
      <c r="AN25" s="813"/>
      <c r="AO25" s="813"/>
      <c r="AP25" s="813"/>
      <c r="AQ25" s="814"/>
    </row>
    <row r="26" spans="3:43" ht="15.95" customHeight="1" x14ac:dyDescent="0.25">
      <c r="C26" s="65"/>
      <c r="D26" s="65"/>
      <c r="E26" s="65"/>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row>
    <row r="27" spans="3:43" ht="15.95" customHeight="1" x14ac:dyDescent="0.25">
      <c r="C27" s="65"/>
      <c r="D27" s="65"/>
      <c r="E27" s="65"/>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row>
    <row r="28" spans="3:43" ht="15.95" customHeight="1" x14ac:dyDescent="0.25">
      <c r="C28" s="145"/>
      <c r="D28" s="145"/>
      <c r="E28" s="145"/>
      <c r="F28" s="832" t="s">
        <v>1164</v>
      </c>
      <c r="G28" s="832"/>
      <c r="H28" s="832"/>
      <c r="I28" s="832"/>
      <c r="J28" s="832"/>
      <c r="K28" s="832"/>
      <c r="L28" s="832"/>
      <c r="M28" s="832"/>
      <c r="N28" s="832"/>
      <c r="O28" s="832"/>
      <c r="P28" s="832"/>
      <c r="Q28" s="832"/>
      <c r="R28" s="832"/>
      <c r="S28" s="832"/>
      <c r="T28" s="832"/>
      <c r="U28" s="832"/>
      <c r="V28" s="832"/>
      <c r="W28" s="832"/>
      <c r="X28" s="832"/>
      <c r="Y28" s="832"/>
      <c r="Z28" s="832"/>
      <c r="AA28" s="832"/>
      <c r="AB28" s="832"/>
      <c r="AC28" s="832"/>
      <c r="AD28" s="832"/>
      <c r="AE28" s="832"/>
      <c r="AF28" s="832"/>
      <c r="AG28" s="832"/>
      <c r="AH28" s="832"/>
      <c r="AI28" s="832"/>
      <c r="AJ28" s="832"/>
      <c r="AK28" s="832"/>
      <c r="AL28" s="832"/>
      <c r="AM28" s="832"/>
      <c r="AN28" s="832"/>
      <c r="AO28" s="145"/>
      <c r="AP28" s="145"/>
      <c r="AQ28" s="145"/>
    </row>
    <row r="29" spans="3:43" ht="15.95" customHeight="1" x14ac:dyDescent="0.25">
      <c r="C29" s="145"/>
      <c r="D29" s="145"/>
      <c r="E29" s="145"/>
      <c r="F29" s="873" t="s">
        <v>476</v>
      </c>
      <c r="G29" s="873"/>
      <c r="H29" s="873"/>
      <c r="I29" s="873"/>
      <c r="J29" s="873"/>
      <c r="K29" s="873"/>
      <c r="L29" s="873"/>
      <c r="M29" s="873"/>
      <c r="N29" s="873"/>
      <c r="O29" s="873"/>
      <c r="P29" s="873"/>
      <c r="Q29" s="873"/>
      <c r="R29" s="873"/>
      <c r="S29" s="873"/>
      <c r="T29" s="873"/>
      <c r="U29" s="873"/>
      <c r="V29" s="873"/>
      <c r="W29" s="873"/>
      <c r="X29" s="873"/>
      <c r="Y29" s="873"/>
      <c r="Z29" s="873"/>
      <c r="AA29" s="873"/>
      <c r="AB29" s="873"/>
      <c r="AC29" s="873"/>
      <c r="AD29" s="873"/>
      <c r="AE29" s="873"/>
      <c r="AF29" s="873"/>
      <c r="AG29" s="873"/>
      <c r="AH29" s="873"/>
      <c r="AI29" s="873"/>
      <c r="AJ29" s="873"/>
      <c r="AK29" s="873"/>
      <c r="AL29" s="873"/>
      <c r="AM29" s="873"/>
      <c r="AN29" s="873"/>
      <c r="AO29" s="145"/>
      <c r="AP29" s="145"/>
      <c r="AQ29" s="145"/>
    </row>
    <row r="30" spans="3:43" ht="15.95" customHeight="1" x14ac:dyDescent="0.25">
      <c r="C30" s="145"/>
      <c r="D30" s="145"/>
      <c r="E30" s="145"/>
      <c r="F30" s="873"/>
      <c r="G30" s="873"/>
      <c r="H30" s="873"/>
      <c r="I30" s="873"/>
      <c r="J30" s="873"/>
      <c r="K30" s="873"/>
      <c r="L30" s="873"/>
      <c r="M30" s="873"/>
      <c r="N30" s="873"/>
      <c r="O30" s="873"/>
      <c r="P30" s="873"/>
      <c r="Q30" s="873"/>
      <c r="R30" s="873"/>
      <c r="S30" s="873"/>
      <c r="T30" s="873"/>
      <c r="U30" s="873"/>
      <c r="V30" s="873"/>
      <c r="W30" s="873"/>
      <c r="X30" s="873"/>
      <c r="Y30" s="873"/>
      <c r="Z30" s="873"/>
      <c r="AA30" s="873"/>
      <c r="AB30" s="873"/>
      <c r="AC30" s="873"/>
      <c r="AD30" s="873"/>
      <c r="AE30" s="873"/>
      <c r="AF30" s="873"/>
      <c r="AG30" s="873"/>
      <c r="AH30" s="873"/>
      <c r="AI30" s="873"/>
      <c r="AJ30" s="873"/>
      <c r="AK30" s="873"/>
      <c r="AL30" s="873"/>
      <c r="AM30" s="873"/>
      <c r="AN30" s="873"/>
      <c r="AO30" s="145"/>
      <c r="AP30" s="145"/>
      <c r="AQ30" s="145"/>
    </row>
    <row r="31" spans="3:43" ht="15.95" customHeight="1" x14ac:dyDescent="0.25">
      <c r="C31" s="145"/>
      <c r="D31" s="145"/>
      <c r="E31" s="145"/>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row>
    <row r="32" spans="3:43" ht="15.95" customHeight="1" thickBot="1" x14ac:dyDescent="0.3">
      <c r="C32" s="807" t="s">
        <v>923</v>
      </c>
      <c r="D32" s="807"/>
      <c r="E32" s="807"/>
      <c r="F32" s="807"/>
      <c r="G32" s="807"/>
      <c r="H32" s="807"/>
      <c r="I32" s="419"/>
      <c r="J32" s="807" t="s">
        <v>924</v>
      </c>
      <c r="K32" s="807"/>
      <c r="L32" s="807"/>
      <c r="M32" s="807"/>
      <c r="N32" s="807"/>
      <c r="O32" s="807"/>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c r="AO32" s="135"/>
      <c r="AP32" s="135"/>
      <c r="AQ32" s="135"/>
    </row>
    <row r="33" spans="3:43" ht="15.95" customHeight="1" thickBot="1" x14ac:dyDescent="0.3">
      <c r="C33" s="833" t="s">
        <v>215</v>
      </c>
      <c r="D33" s="834"/>
      <c r="E33" s="834"/>
      <c r="F33" s="834"/>
      <c r="G33" s="834"/>
      <c r="H33" s="835"/>
      <c r="I33" s="419"/>
      <c r="J33" s="809"/>
      <c r="K33" s="810"/>
      <c r="L33" s="810"/>
      <c r="M33" s="810"/>
      <c r="N33" s="810"/>
      <c r="O33" s="811"/>
      <c r="P33" s="135"/>
      <c r="Q33" s="135"/>
      <c r="R33" s="135"/>
      <c r="S33" s="143"/>
      <c r="T33" s="419"/>
      <c r="U33" s="419"/>
      <c r="V33" s="419"/>
      <c r="W33" s="419"/>
      <c r="X33" s="419"/>
      <c r="Y33" s="419"/>
      <c r="Z33" s="419"/>
      <c r="AA33" s="419"/>
      <c r="AB33" s="872"/>
      <c r="AC33" s="872"/>
      <c r="AD33" s="135"/>
      <c r="AE33" s="135"/>
      <c r="AF33" s="143"/>
      <c r="AG33" s="63"/>
      <c r="AH33" s="419"/>
      <c r="AI33" s="419"/>
      <c r="AJ33" s="419"/>
      <c r="AK33" s="419"/>
      <c r="AL33" s="419"/>
      <c r="AM33" s="419"/>
      <c r="AN33" s="419"/>
      <c r="AO33" s="419"/>
      <c r="AP33" s="780"/>
      <c r="AQ33" s="780"/>
    </row>
    <row r="34" spans="3:43" ht="15.95" customHeight="1" x14ac:dyDescent="0.25">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c r="AF34" s="419"/>
      <c r="AG34" s="419"/>
      <c r="AH34" s="419"/>
      <c r="AI34" s="419"/>
      <c r="AJ34" s="419"/>
      <c r="AK34" s="419"/>
      <c r="AL34" s="419"/>
      <c r="AM34" s="419"/>
      <c r="AN34" s="419"/>
      <c r="AO34" s="419"/>
      <c r="AP34" s="419"/>
      <c r="AQ34" s="419"/>
    </row>
    <row r="35" spans="3:43" ht="15.95" customHeight="1" thickBot="1" x14ac:dyDescent="0.3">
      <c r="C35" s="807" t="s">
        <v>1639</v>
      </c>
      <c r="D35" s="807"/>
      <c r="E35" s="807"/>
      <c r="F35" s="807"/>
      <c r="G35" s="807"/>
      <c r="H35" s="807"/>
      <c r="I35" s="419"/>
      <c r="J35" s="807" t="s">
        <v>1640</v>
      </c>
      <c r="K35" s="807"/>
      <c r="L35" s="807"/>
      <c r="M35" s="807"/>
      <c r="N35" s="807"/>
      <c r="O35" s="807"/>
      <c r="P35" s="419"/>
      <c r="Q35" s="807" t="s">
        <v>1641</v>
      </c>
      <c r="R35" s="807"/>
      <c r="S35" s="807"/>
      <c r="T35" s="807"/>
      <c r="U35" s="807"/>
      <c r="V35" s="807"/>
      <c r="W35" s="419"/>
      <c r="X35" s="807" t="s">
        <v>1642</v>
      </c>
      <c r="Y35" s="807"/>
      <c r="Z35" s="807"/>
      <c r="AA35" s="807"/>
      <c r="AB35" s="807"/>
      <c r="AC35" s="807"/>
      <c r="AD35" s="419"/>
      <c r="AE35" s="807" t="s">
        <v>1643</v>
      </c>
      <c r="AF35" s="807"/>
      <c r="AG35" s="807"/>
      <c r="AH35" s="807"/>
      <c r="AI35" s="807"/>
      <c r="AJ35" s="807"/>
      <c r="AK35" s="419"/>
      <c r="AL35" s="807" t="s">
        <v>1644</v>
      </c>
      <c r="AM35" s="807"/>
      <c r="AN35" s="807"/>
      <c r="AO35" s="807"/>
      <c r="AP35" s="807"/>
      <c r="AQ35" s="807"/>
    </row>
    <row r="36" spans="3:43" ht="15.95" customHeight="1" thickBot="1" x14ac:dyDescent="0.3">
      <c r="C36" s="825"/>
      <c r="D36" s="810"/>
      <c r="E36" s="810"/>
      <c r="F36" s="810"/>
      <c r="G36" s="810"/>
      <c r="H36" s="811"/>
      <c r="I36" s="419"/>
      <c r="J36" s="865"/>
      <c r="K36" s="866"/>
      <c r="L36" s="866"/>
      <c r="M36" s="866"/>
      <c r="N36" s="866"/>
      <c r="O36" s="867"/>
      <c r="P36" s="419"/>
      <c r="Q36" s="865"/>
      <c r="R36" s="866"/>
      <c r="S36" s="866"/>
      <c r="T36" s="866"/>
      <c r="U36" s="866"/>
      <c r="V36" s="867"/>
      <c r="W36" s="419"/>
      <c r="X36" s="865"/>
      <c r="Y36" s="866"/>
      <c r="Z36" s="866"/>
      <c r="AA36" s="866"/>
      <c r="AB36" s="866"/>
      <c r="AC36" s="867"/>
      <c r="AD36" s="419"/>
      <c r="AE36" s="865"/>
      <c r="AF36" s="866"/>
      <c r="AG36" s="866"/>
      <c r="AH36" s="866"/>
      <c r="AI36" s="866"/>
      <c r="AJ36" s="867"/>
      <c r="AK36" s="419"/>
      <c r="AL36" s="885"/>
      <c r="AM36" s="886"/>
      <c r="AN36" s="886"/>
      <c r="AO36" s="886"/>
      <c r="AP36" s="886"/>
      <c r="AQ36" s="887"/>
    </row>
    <row r="37" spans="3:43" ht="15.95" customHeight="1" x14ac:dyDescent="0.25">
      <c r="C37" s="419"/>
      <c r="D37" s="419"/>
      <c r="E37" s="419"/>
      <c r="F37" s="419"/>
      <c r="G37" s="419"/>
      <c r="H37" s="419"/>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c r="AJ37" s="419"/>
      <c r="AK37" s="419"/>
      <c r="AL37" s="419"/>
      <c r="AM37" s="419"/>
      <c r="AN37" s="419"/>
      <c r="AO37" s="419"/>
      <c r="AP37" s="419"/>
      <c r="AQ37" s="419"/>
    </row>
    <row r="38" spans="3:43" ht="15.95" customHeight="1" thickBot="1" x14ac:dyDescent="0.3">
      <c r="C38" s="836" t="s">
        <v>585</v>
      </c>
      <c r="D38" s="836"/>
      <c r="E38" s="836"/>
      <c r="F38" s="836"/>
      <c r="G38" s="836"/>
      <c r="H38" s="836"/>
      <c r="I38" s="419"/>
      <c r="J38" s="807" t="s">
        <v>925</v>
      </c>
      <c r="K38" s="807"/>
      <c r="L38" s="807"/>
      <c r="M38" s="807"/>
      <c r="N38" s="807"/>
      <c r="O38" s="807"/>
      <c r="P38" s="419"/>
      <c r="Q38" s="807" t="s">
        <v>920</v>
      </c>
      <c r="R38" s="807"/>
      <c r="S38" s="807"/>
      <c r="T38" s="807"/>
      <c r="U38" s="807"/>
      <c r="V38" s="807"/>
      <c r="W38" s="419"/>
      <c r="X38" s="807" t="s">
        <v>921</v>
      </c>
      <c r="Y38" s="807"/>
      <c r="Z38" s="807"/>
      <c r="AA38" s="807"/>
      <c r="AB38" s="807"/>
      <c r="AC38" s="807"/>
      <c r="AD38" s="419"/>
      <c r="AE38" s="807" t="s">
        <v>922</v>
      </c>
      <c r="AF38" s="807"/>
      <c r="AG38" s="807"/>
      <c r="AH38" s="807"/>
      <c r="AI38" s="807"/>
      <c r="AJ38" s="807"/>
      <c r="AK38" s="419"/>
      <c r="AL38" s="807"/>
      <c r="AM38" s="807"/>
      <c r="AN38" s="807"/>
      <c r="AO38" s="807"/>
      <c r="AP38" s="807"/>
      <c r="AQ38" s="807"/>
    </row>
    <row r="39" spans="3:43" ht="15.95" customHeight="1" thickBot="1" x14ac:dyDescent="0.3">
      <c r="C39" s="809"/>
      <c r="D39" s="810"/>
      <c r="E39" s="810"/>
      <c r="F39" s="810"/>
      <c r="G39" s="810"/>
      <c r="H39" s="811"/>
      <c r="I39" s="419"/>
      <c r="J39" s="843"/>
      <c r="K39" s="844"/>
      <c r="L39" s="844"/>
      <c r="M39" s="844"/>
      <c r="N39" s="844"/>
      <c r="O39" s="845"/>
      <c r="P39" s="419"/>
      <c r="Q39" s="846"/>
      <c r="R39" s="844"/>
      <c r="S39" s="844"/>
      <c r="T39" s="844"/>
      <c r="U39" s="844"/>
      <c r="V39" s="845"/>
      <c r="W39" s="419"/>
      <c r="X39" s="847" t="s">
        <v>453</v>
      </c>
      <c r="Y39" s="848"/>
      <c r="Z39" s="848"/>
      <c r="AA39" s="848"/>
      <c r="AB39" s="848"/>
      <c r="AC39" s="849"/>
      <c r="AD39" s="419"/>
      <c r="AE39" s="875"/>
      <c r="AF39" s="876"/>
      <c r="AG39" s="876"/>
      <c r="AH39" s="876"/>
      <c r="AI39" s="876"/>
      <c r="AJ39" s="877"/>
      <c r="AK39" s="419"/>
      <c r="AL39" s="807"/>
      <c r="AM39" s="807"/>
      <c r="AN39" s="807"/>
      <c r="AO39" s="807"/>
      <c r="AP39" s="807"/>
      <c r="AQ39" s="807"/>
    </row>
    <row r="40" spans="3:43" ht="15.95" customHeight="1" x14ac:dyDescent="0.25">
      <c r="C40" s="419"/>
      <c r="D40" s="419"/>
      <c r="E40" s="419"/>
      <c r="F40" s="419"/>
      <c r="G40" s="419"/>
      <c r="H40" s="419"/>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c r="AJ40" s="419"/>
      <c r="AK40" s="419"/>
      <c r="AL40" s="419"/>
      <c r="AM40" s="419"/>
      <c r="AN40" s="419"/>
      <c r="AO40" s="419"/>
      <c r="AP40" s="419"/>
      <c r="AQ40" s="419"/>
    </row>
    <row r="41" spans="3:43" ht="15.95" customHeight="1" thickBot="1" x14ac:dyDescent="0.3">
      <c r="C41" s="807" t="s">
        <v>926</v>
      </c>
      <c r="D41" s="807"/>
      <c r="E41" s="807"/>
      <c r="F41" s="807"/>
      <c r="G41" s="807"/>
      <c r="H41" s="807"/>
      <c r="I41" s="419"/>
      <c r="J41" s="807" t="s">
        <v>927</v>
      </c>
      <c r="K41" s="807"/>
      <c r="L41" s="807"/>
      <c r="M41" s="807"/>
      <c r="N41" s="807"/>
      <c r="O41" s="807"/>
      <c r="P41" s="419"/>
      <c r="Q41" s="807" t="s">
        <v>928</v>
      </c>
      <c r="R41" s="807"/>
      <c r="S41" s="807"/>
      <c r="T41" s="807"/>
      <c r="U41" s="807"/>
      <c r="V41" s="807"/>
      <c r="W41" s="419"/>
      <c r="X41" s="807" t="s">
        <v>1645</v>
      </c>
      <c r="Y41" s="807"/>
      <c r="Z41" s="807"/>
      <c r="AA41" s="807"/>
      <c r="AB41" s="807"/>
      <c r="AC41" s="807"/>
      <c r="AD41" s="419"/>
      <c r="AE41" s="807" t="s">
        <v>88</v>
      </c>
      <c r="AF41" s="807"/>
      <c r="AG41" s="807"/>
      <c r="AH41" s="807"/>
      <c r="AI41" s="807"/>
      <c r="AJ41" s="807"/>
      <c r="AK41" s="419"/>
      <c r="AL41" s="807"/>
      <c r="AM41" s="807"/>
      <c r="AN41" s="807"/>
      <c r="AO41" s="807"/>
      <c r="AP41" s="807"/>
      <c r="AQ41" s="807"/>
    </row>
    <row r="42" spans="3:43" ht="15.95" customHeight="1" thickBot="1" x14ac:dyDescent="0.3">
      <c r="C42" s="825"/>
      <c r="D42" s="810"/>
      <c r="E42" s="810"/>
      <c r="F42" s="810"/>
      <c r="G42" s="810"/>
      <c r="H42" s="811"/>
      <c r="I42" s="419"/>
      <c r="J42" s="825"/>
      <c r="K42" s="810"/>
      <c r="L42" s="810"/>
      <c r="M42" s="810"/>
      <c r="N42" s="810"/>
      <c r="O42" s="811"/>
      <c r="P42" s="419"/>
      <c r="Q42" s="851"/>
      <c r="R42" s="844"/>
      <c r="S42" s="844"/>
      <c r="T42" s="844"/>
      <c r="U42" s="844"/>
      <c r="V42" s="845"/>
      <c r="W42" s="419"/>
      <c r="X42" s="852"/>
      <c r="Y42" s="853"/>
      <c r="Z42" s="853"/>
      <c r="AA42" s="853"/>
      <c r="AB42" s="853"/>
      <c r="AC42" s="854"/>
      <c r="AD42" s="419"/>
      <c r="AE42" s="852"/>
      <c r="AF42" s="853"/>
      <c r="AG42" s="853"/>
      <c r="AH42" s="853"/>
      <c r="AI42" s="853"/>
      <c r="AJ42" s="854"/>
      <c r="AK42" s="419"/>
      <c r="AL42" s="850"/>
      <c r="AM42" s="850"/>
      <c r="AN42" s="850"/>
      <c r="AO42" s="850"/>
      <c r="AP42" s="850"/>
      <c r="AQ42" s="850"/>
    </row>
    <row r="43" spans="3:43" ht="15.95" customHeight="1" x14ac:dyDescent="0.25">
      <c r="C43" s="419"/>
      <c r="D43" s="419"/>
      <c r="E43" s="419"/>
      <c r="F43" s="419"/>
      <c r="G43" s="419"/>
      <c r="H43" s="419"/>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19"/>
      <c r="AJ43" s="419"/>
      <c r="AK43" s="419"/>
      <c r="AL43" s="419"/>
      <c r="AM43" s="419"/>
      <c r="AN43" s="419"/>
      <c r="AO43" s="419"/>
      <c r="AP43" s="419"/>
      <c r="AQ43" s="419"/>
    </row>
    <row r="44" spans="3:43" ht="15.95" customHeight="1" thickBot="1" x14ac:dyDescent="0.3">
      <c r="C44" s="807" t="s">
        <v>929</v>
      </c>
      <c r="D44" s="807"/>
      <c r="E44" s="807"/>
      <c r="F44" s="807"/>
      <c r="G44" s="807"/>
      <c r="H44" s="807"/>
      <c r="I44" s="419"/>
      <c r="J44" s="807" t="s">
        <v>930</v>
      </c>
      <c r="K44" s="807"/>
      <c r="L44" s="807"/>
      <c r="M44" s="807"/>
      <c r="N44" s="807"/>
      <c r="O44" s="807"/>
      <c r="P44" s="419"/>
      <c r="Q44" s="807" t="s">
        <v>1111</v>
      </c>
      <c r="R44" s="807"/>
      <c r="S44" s="807"/>
      <c r="T44" s="807"/>
      <c r="U44" s="807"/>
      <c r="V44" s="807"/>
      <c r="W44" s="419"/>
      <c r="X44" s="807" t="s">
        <v>931</v>
      </c>
      <c r="Y44" s="807"/>
      <c r="Z44" s="807"/>
      <c r="AA44" s="807"/>
      <c r="AB44" s="807"/>
      <c r="AC44" s="807"/>
      <c r="AD44" s="419"/>
      <c r="AE44" s="63"/>
      <c r="AF44" s="63"/>
      <c r="AG44" s="63"/>
      <c r="AH44" s="63"/>
      <c r="AI44" s="63"/>
      <c r="AJ44" s="63"/>
      <c r="AK44" s="419"/>
      <c r="AL44" s="807"/>
      <c r="AM44" s="807"/>
      <c r="AN44" s="807"/>
      <c r="AO44" s="807"/>
      <c r="AP44" s="807"/>
      <c r="AQ44" s="807"/>
    </row>
    <row r="45" spans="3:43" ht="15.95" customHeight="1" thickBot="1" x14ac:dyDescent="0.3">
      <c r="C45" s="825"/>
      <c r="D45" s="810"/>
      <c r="E45" s="810"/>
      <c r="F45" s="810"/>
      <c r="G45" s="810"/>
      <c r="H45" s="811"/>
      <c r="I45" s="419"/>
      <c r="J45" s="825"/>
      <c r="K45" s="810"/>
      <c r="L45" s="810"/>
      <c r="M45" s="810"/>
      <c r="N45" s="810"/>
      <c r="O45" s="811"/>
      <c r="P45" s="419"/>
      <c r="Q45" s="826"/>
      <c r="R45" s="827"/>
      <c r="S45" s="827"/>
      <c r="T45" s="827"/>
      <c r="U45" s="827"/>
      <c r="V45" s="828"/>
      <c r="W45" s="419"/>
      <c r="X45" s="837" t="str">
        <f>IF(M02S02F36="","",INDEX(RATECLASS[Rate],MATCH(M02S02F36,RATECLASS[Rate Schedules],0)))</f>
        <v/>
      </c>
      <c r="Y45" s="838"/>
      <c r="Z45" s="838"/>
      <c r="AA45" s="838"/>
      <c r="AB45" s="838"/>
      <c r="AC45" s="839"/>
      <c r="AD45" s="419"/>
      <c r="AE45" s="63"/>
      <c r="AF45" s="63"/>
      <c r="AG45" s="63"/>
      <c r="AH45" s="63"/>
      <c r="AI45" s="63"/>
      <c r="AJ45" s="63"/>
      <c r="AK45" s="419"/>
      <c r="AL45" s="807"/>
      <c r="AM45" s="807"/>
      <c r="AN45" s="807"/>
      <c r="AO45" s="807"/>
      <c r="AP45" s="807"/>
      <c r="AQ45" s="807"/>
    </row>
    <row r="46" spans="3:43" ht="15.95" customHeight="1" x14ac:dyDescent="0.25">
      <c r="C46" s="419"/>
      <c r="D46" s="419"/>
      <c r="E46" s="419"/>
      <c r="F46" s="419"/>
      <c r="G46" s="419"/>
      <c r="H46" s="419"/>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c r="AF46" s="419"/>
      <c r="AG46" s="419"/>
      <c r="AH46" s="419"/>
      <c r="AI46" s="419"/>
      <c r="AJ46" s="419"/>
      <c r="AK46" s="419"/>
      <c r="AL46" s="419"/>
      <c r="AM46" s="419"/>
      <c r="AN46" s="419"/>
      <c r="AO46" s="419"/>
      <c r="AP46" s="419"/>
      <c r="AQ46" s="419"/>
    </row>
    <row r="47" spans="3:43" ht="15.95" customHeight="1" thickBot="1" x14ac:dyDescent="0.3">
      <c r="C47" s="807" t="s">
        <v>1646</v>
      </c>
      <c r="D47" s="807"/>
      <c r="E47" s="807"/>
      <c r="F47" s="807"/>
      <c r="G47" s="807"/>
      <c r="H47" s="807"/>
      <c r="I47" s="419"/>
      <c r="J47" s="807" t="s">
        <v>628</v>
      </c>
      <c r="K47" s="807"/>
      <c r="L47" s="807"/>
      <c r="M47" s="807"/>
      <c r="N47" s="807"/>
      <c r="O47" s="807"/>
      <c r="P47" s="419"/>
      <c r="Q47" s="836" t="s">
        <v>629</v>
      </c>
      <c r="R47" s="836"/>
      <c r="S47" s="836"/>
      <c r="T47" s="836"/>
      <c r="U47" s="836"/>
      <c r="V47" s="836"/>
      <c r="W47" s="419"/>
      <c r="X47" s="807" t="s">
        <v>630</v>
      </c>
      <c r="Y47" s="807"/>
      <c r="Z47" s="807"/>
      <c r="AA47" s="807"/>
      <c r="AB47" s="807"/>
      <c r="AC47" s="807"/>
      <c r="AD47" s="419"/>
      <c r="AE47" s="878" t="str">
        <f>IF(AND(M02S02F37="",M02S02F38="",M02S02F39="",M02S02F40=""),"Account number will be required upon project completion if not filled out during initial submission","")</f>
        <v>Account number will be required upon project completion if not filled out during initial submission</v>
      </c>
      <c r="AF47" s="878"/>
      <c r="AG47" s="878"/>
      <c r="AH47" s="878"/>
      <c r="AI47" s="878"/>
      <c r="AJ47" s="878"/>
      <c r="AK47" s="878"/>
      <c r="AL47" s="878"/>
      <c r="AM47" s="878"/>
      <c r="AN47" s="878"/>
      <c r="AO47" s="878"/>
      <c r="AP47" s="878"/>
      <c r="AQ47" s="878"/>
    </row>
    <row r="48" spans="3:43" ht="15.95" customHeight="1" thickBot="1" x14ac:dyDescent="0.3">
      <c r="C48" s="840"/>
      <c r="D48" s="841"/>
      <c r="E48" s="841"/>
      <c r="F48" s="841"/>
      <c r="G48" s="841"/>
      <c r="H48" s="842"/>
      <c r="I48" s="419"/>
      <c r="J48" s="840"/>
      <c r="K48" s="841"/>
      <c r="L48" s="841"/>
      <c r="M48" s="841"/>
      <c r="N48" s="841"/>
      <c r="O48" s="842"/>
      <c r="P48" s="419"/>
      <c r="Q48" s="840"/>
      <c r="R48" s="841"/>
      <c r="S48" s="841"/>
      <c r="T48" s="841"/>
      <c r="U48" s="841"/>
      <c r="V48" s="842"/>
      <c r="W48" s="419"/>
      <c r="X48" s="840"/>
      <c r="Y48" s="841"/>
      <c r="Z48" s="841"/>
      <c r="AA48" s="841"/>
      <c r="AB48" s="841"/>
      <c r="AC48" s="842"/>
      <c r="AD48" s="419"/>
      <c r="AE48" s="878"/>
      <c r="AF48" s="878"/>
      <c r="AG48" s="878"/>
      <c r="AH48" s="878"/>
      <c r="AI48" s="878"/>
      <c r="AJ48" s="878"/>
      <c r="AK48" s="878"/>
      <c r="AL48" s="878"/>
      <c r="AM48" s="878"/>
      <c r="AN48" s="878"/>
      <c r="AO48" s="878"/>
      <c r="AP48" s="878"/>
      <c r="AQ48" s="878"/>
    </row>
    <row r="49" spans="3:43" ht="15.95" customHeight="1" x14ac:dyDescent="0.25">
      <c r="C49" s="419"/>
      <c r="D49" s="419"/>
      <c r="E49" s="419"/>
      <c r="F49" s="419"/>
      <c r="G49" s="419"/>
      <c r="H49" s="419"/>
      <c r="I49" s="419"/>
      <c r="J49" s="419"/>
      <c r="K49" s="419"/>
      <c r="L49" s="419"/>
      <c r="M49" s="419"/>
      <c r="N49" s="419"/>
      <c r="O49" s="419"/>
      <c r="P49" s="419"/>
      <c r="Q49" s="419"/>
      <c r="R49" s="419"/>
      <c r="S49" s="419"/>
      <c r="T49" s="419"/>
      <c r="U49" s="419"/>
      <c r="V49" s="419"/>
      <c r="W49" s="419"/>
      <c r="X49" s="419"/>
      <c r="Y49" s="419"/>
      <c r="Z49" s="419"/>
      <c r="AA49" s="419"/>
      <c r="AB49" s="419"/>
      <c r="AC49" s="419"/>
      <c r="AD49" s="419"/>
      <c r="AE49" s="419"/>
      <c r="AF49" s="419"/>
      <c r="AG49" s="419"/>
      <c r="AH49" s="419"/>
      <c r="AI49" s="419"/>
      <c r="AJ49" s="419"/>
      <c r="AK49" s="419"/>
      <c r="AL49" s="419"/>
      <c r="AM49" s="419"/>
      <c r="AN49" s="419"/>
      <c r="AO49" s="419"/>
      <c r="AP49" s="419"/>
      <c r="AQ49" s="419"/>
    </row>
    <row r="50" spans="3:43" ht="15.95" customHeight="1" x14ac:dyDescent="0.25">
      <c r="C50" s="135"/>
      <c r="D50" s="135"/>
      <c r="E50" s="135"/>
      <c r="F50" s="135"/>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419"/>
      <c r="AE50" s="807"/>
      <c r="AF50" s="807"/>
      <c r="AG50" s="807"/>
      <c r="AH50" s="807"/>
      <c r="AI50" s="807"/>
      <c r="AJ50" s="807"/>
      <c r="AK50" s="419"/>
      <c r="AL50" s="807"/>
      <c r="AM50" s="807"/>
      <c r="AN50" s="807"/>
      <c r="AO50" s="807"/>
      <c r="AP50" s="807"/>
      <c r="AQ50" s="807"/>
    </row>
    <row r="51" spans="3:43" ht="15.95" customHeight="1" x14ac:dyDescent="0.25">
      <c r="C51" s="864"/>
      <c r="D51" s="864"/>
      <c r="E51" s="864"/>
      <c r="F51" s="864"/>
      <c r="G51" s="864"/>
      <c r="H51" s="864"/>
      <c r="I51" s="135"/>
      <c r="J51" s="214" t="str">
        <f>IF(M02S02F41="Yes","Due to receiving tax credits you are not eligible for incentives at this time.","")</f>
        <v/>
      </c>
      <c r="K51" s="134"/>
      <c r="L51" s="134"/>
      <c r="M51" s="134"/>
      <c r="N51" s="134"/>
      <c r="O51" s="134"/>
      <c r="P51" s="135"/>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row>
    <row r="52" spans="3:43" ht="15.95" customHeight="1" x14ac:dyDescent="0.25">
      <c r="C52" s="419"/>
      <c r="D52" s="419"/>
      <c r="E52" s="419"/>
      <c r="F52" s="419"/>
      <c r="G52" s="419"/>
      <c r="H52" s="419"/>
      <c r="I52" s="419"/>
      <c r="J52" s="419"/>
      <c r="K52" s="419"/>
      <c r="L52" s="419"/>
      <c r="M52" s="419"/>
      <c r="N52" s="419"/>
      <c r="O52" s="419"/>
      <c r="P52" s="419"/>
      <c r="Q52" s="419"/>
      <c r="R52" s="419"/>
      <c r="S52" s="419"/>
      <c r="T52" s="419"/>
      <c r="U52" s="419"/>
      <c r="V52" s="419"/>
      <c r="W52" s="419"/>
      <c r="X52" s="419"/>
      <c r="Y52" s="419"/>
      <c r="Z52" s="419"/>
      <c r="AA52" s="419"/>
      <c r="AB52" s="419"/>
      <c r="AC52" s="419"/>
      <c r="AD52" s="419"/>
      <c r="AE52" s="419"/>
      <c r="AF52" s="419"/>
      <c r="AG52" s="419"/>
      <c r="AH52" s="419"/>
      <c r="AI52" s="419"/>
      <c r="AJ52" s="419"/>
      <c r="AK52" s="419"/>
      <c r="AL52" s="419"/>
      <c r="AM52" s="419"/>
      <c r="AN52" s="419"/>
      <c r="AO52" s="419"/>
      <c r="AP52" s="419"/>
      <c r="AQ52" s="419"/>
    </row>
    <row r="53" spans="3:43" ht="15.95" customHeight="1" thickBot="1" x14ac:dyDescent="0.3">
      <c r="C53" s="807" t="s">
        <v>1647</v>
      </c>
      <c r="D53" s="807"/>
      <c r="E53" s="807"/>
      <c r="F53" s="807"/>
      <c r="G53" s="807"/>
      <c r="H53" s="807"/>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row>
    <row r="54" spans="3:43" ht="15.95" customHeight="1" x14ac:dyDescent="0.25">
      <c r="C54" s="855"/>
      <c r="D54" s="856"/>
      <c r="E54" s="856"/>
      <c r="F54" s="856"/>
      <c r="G54" s="856"/>
      <c r="H54" s="856"/>
      <c r="I54" s="856"/>
      <c r="J54" s="856"/>
      <c r="K54" s="856"/>
      <c r="L54" s="856"/>
      <c r="M54" s="856"/>
      <c r="N54" s="856"/>
      <c r="O54" s="856"/>
      <c r="P54" s="856"/>
      <c r="Q54" s="856"/>
      <c r="R54" s="856"/>
      <c r="S54" s="856"/>
      <c r="T54" s="856"/>
      <c r="U54" s="856"/>
      <c r="V54" s="856"/>
      <c r="W54" s="856"/>
      <c r="X54" s="856"/>
      <c r="Y54" s="856"/>
      <c r="Z54" s="856"/>
      <c r="AA54" s="856"/>
      <c r="AB54" s="856"/>
      <c r="AC54" s="856"/>
      <c r="AD54" s="856"/>
      <c r="AE54" s="856"/>
      <c r="AF54" s="856"/>
      <c r="AG54" s="856"/>
      <c r="AH54" s="856"/>
      <c r="AI54" s="856"/>
      <c r="AJ54" s="856"/>
      <c r="AK54" s="856"/>
      <c r="AL54" s="856"/>
      <c r="AM54" s="856"/>
      <c r="AN54" s="856"/>
      <c r="AO54" s="856"/>
      <c r="AP54" s="856"/>
      <c r="AQ54" s="857"/>
    </row>
    <row r="55" spans="3:43" ht="15.95" customHeight="1" x14ac:dyDescent="0.25">
      <c r="C55" s="858"/>
      <c r="D55" s="859"/>
      <c r="E55" s="859"/>
      <c r="F55" s="859"/>
      <c r="G55" s="859"/>
      <c r="H55" s="859"/>
      <c r="I55" s="859"/>
      <c r="J55" s="859"/>
      <c r="K55" s="859"/>
      <c r="L55" s="859"/>
      <c r="M55" s="859"/>
      <c r="N55" s="859"/>
      <c r="O55" s="859"/>
      <c r="P55" s="859"/>
      <c r="Q55" s="859"/>
      <c r="R55" s="859"/>
      <c r="S55" s="859"/>
      <c r="T55" s="859"/>
      <c r="U55" s="859"/>
      <c r="V55" s="859"/>
      <c r="W55" s="859"/>
      <c r="X55" s="859"/>
      <c r="Y55" s="859"/>
      <c r="Z55" s="859"/>
      <c r="AA55" s="859"/>
      <c r="AB55" s="859"/>
      <c r="AC55" s="859"/>
      <c r="AD55" s="859"/>
      <c r="AE55" s="859"/>
      <c r="AF55" s="859"/>
      <c r="AG55" s="859"/>
      <c r="AH55" s="859"/>
      <c r="AI55" s="859"/>
      <c r="AJ55" s="859"/>
      <c r="AK55" s="859"/>
      <c r="AL55" s="859"/>
      <c r="AM55" s="859"/>
      <c r="AN55" s="859"/>
      <c r="AO55" s="859"/>
      <c r="AP55" s="859"/>
      <c r="AQ55" s="860"/>
    </row>
    <row r="56" spans="3:43" ht="15.95" customHeight="1" x14ac:dyDescent="0.25">
      <c r="C56" s="858"/>
      <c r="D56" s="859"/>
      <c r="E56" s="859"/>
      <c r="F56" s="859"/>
      <c r="G56" s="859"/>
      <c r="H56" s="859"/>
      <c r="I56" s="859"/>
      <c r="J56" s="859"/>
      <c r="K56" s="859"/>
      <c r="L56" s="859"/>
      <c r="M56" s="859"/>
      <c r="N56" s="859"/>
      <c r="O56" s="859"/>
      <c r="P56" s="859"/>
      <c r="Q56" s="859"/>
      <c r="R56" s="859"/>
      <c r="S56" s="859"/>
      <c r="T56" s="859"/>
      <c r="U56" s="859"/>
      <c r="V56" s="859"/>
      <c r="W56" s="859"/>
      <c r="X56" s="859"/>
      <c r="Y56" s="859"/>
      <c r="Z56" s="859"/>
      <c r="AA56" s="859"/>
      <c r="AB56" s="859"/>
      <c r="AC56" s="859"/>
      <c r="AD56" s="859"/>
      <c r="AE56" s="859"/>
      <c r="AF56" s="859"/>
      <c r="AG56" s="859"/>
      <c r="AH56" s="859"/>
      <c r="AI56" s="859"/>
      <c r="AJ56" s="859"/>
      <c r="AK56" s="859"/>
      <c r="AL56" s="859"/>
      <c r="AM56" s="859"/>
      <c r="AN56" s="859"/>
      <c r="AO56" s="859"/>
      <c r="AP56" s="859"/>
      <c r="AQ56" s="860"/>
    </row>
    <row r="57" spans="3:43" ht="15.95" customHeight="1" x14ac:dyDescent="0.25">
      <c r="C57" s="858"/>
      <c r="D57" s="859"/>
      <c r="E57" s="859"/>
      <c r="F57" s="859"/>
      <c r="G57" s="859"/>
      <c r="H57" s="859"/>
      <c r="I57" s="859"/>
      <c r="J57" s="859"/>
      <c r="K57" s="859"/>
      <c r="L57" s="859"/>
      <c r="M57" s="859"/>
      <c r="N57" s="859"/>
      <c r="O57" s="859"/>
      <c r="P57" s="859"/>
      <c r="Q57" s="859"/>
      <c r="R57" s="859"/>
      <c r="S57" s="859"/>
      <c r="T57" s="859"/>
      <c r="U57" s="859"/>
      <c r="V57" s="859"/>
      <c r="W57" s="859"/>
      <c r="X57" s="859"/>
      <c r="Y57" s="859"/>
      <c r="Z57" s="859"/>
      <c r="AA57" s="859"/>
      <c r="AB57" s="859"/>
      <c r="AC57" s="859"/>
      <c r="AD57" s="859"/>
      <c r="AE57" s="859"/>
      <c r="AF57" s="859"/>
      <c r="AG57" s="859"/>
      <c r="AH57" s="859"/>
      <c r="AI57" s="859"/>
      <c r="AJ57" s="859"/>
      <c r="AK57" s="859"/>
      <c r="AL57" s="859"/>
      <c r="AM57" s="859"/>
      <c r="AN57" s="859"/>
      <c r="AO57" s="859"/>
      <c r="AP57" s="859"/>
      <c r="AQ57" s="860"/>
    </row>
    <row r="58" spans="3:43" ht="15.95" customHeight="1" x14ac:dyDescent="0.25">
      <c r="C58" s="858"/>
      <c r="D58" s="859"/>
      <c r="E58" s="859"/>
      <c r="F58" s="859"/>
      <c r="G58" s="859"/>
      <c r="H58" s="859"/>
      <c r="I58" s="859"/>
      <c r="J58" s="859"/>
      <c r="K58" s="859"/>
      <c r="L58" s="859"/>
      <c r="M58" s="859"/>
      <c r="N58" s="859"/>
      <c r="O58" s="859"/>
      <c r="P58" s="859"/>
      <c r="Q58" s="859"/>
      <c r="R58" s="859"/>
      <c r="S58" s="859"/>
      <c r="T58" s="859"/>
      <c r="U58" s="859"/>
      <c r="V58" s="859"/>
      <c r="W58" s="859"/>
      <c r="X58" s="859"/>
      <c r="Y58" s="859"/>
      <c r="Z58" s="859"/>
      <c r="AA58" s="859"/>
      <c r="AB58" s="859"/>
      <c r="AC58" s="859"/>
      <c r="AD58" s="859"/>
      <c r="AE58" s="859"/>
      <c r="AF58" s="859"/>
      <c r="AG58" s="859"/>
      <c r="AH58" s="859"/>
      <c r="AI58" s="859"/>
      <c r="AJ58" s="859"/>
      <c r="AK58" s="859"/>
      <c r="AL58" s="859"/>
      <c r="AM58" s="859"/>
      <c r="AN58" s="859"/>
      <c r="AO58" s="859"/>
      <c r="AP58" s="859"/>
      <c r="AQ58" s="860"/>
    </row>
    <row r="59" spans="3:43" ht="15.95" customHeight="1" x14ac:dyDescent="0.25">
      <c r="C59" s="858"/>
      <c r="D59" s="859"/>
      <c r="E59" s="859"/>
      <c r="F59" s="859"/>
      <c r="G59" s="859"/>
      <c r="H59" s="859"/>
      <c r="I59" s="859"/>
      <c r="J59" s="859"/>
      <c r="K59" s="859"/>
      <c r="L59" s="859"/>
      <c r="M59" s="859"/>
      <c r="N59" s="859"/>
      <c r="O59" s="859"/>
      <c r="P59" s="859"/>
      <c r="Q59" s="859"/>
      <c r="R59" s="859"/>
      <c r="S59" s="859"/>
      <c r="T59" s="859"/>
      <c r="U59" s="859"/>
      <c r="V59" s="859"/>
      <c r="W59" s="859"/>
      <c r="X59" s="859"/>
      <c r="Y59" s="859"/>
      <c r="Z59" s="859"/>
      <c r="AA59" s="859"/>
      <c r="AB59" s="859"/>
      <c r="AC59" s="859"/>
      <c r="AD59" s="859"/>
      <c r="AE59" s="859"/>
      <c r="AF59" s="859"/>
      <c r="AG59" s="859"/>
      <c r="AH59" s="859"/>
      <c r="AI59" s="859"/>
      <c r="AJ59" s="859"/>
      <c r="AK59" s="859"/>
      <c r="AL59" s="859"/>
      <c r="AM59" s="859"/>
      <c r="AN59" s="859"/>
      <c r="AO59" s="859"/>
      <c r="AP59" s="859"/>
      <c r="AQ59" s="860"/>
    </row>
    <row r="60" spans="3:43" ht="15.95" customHeight="1" x14ac:dyDescent="0.25">
      <c r="C60" s="858"/>
      <c r="D60" s="859"/>
      <c r="E60" s="859"/>
      <c r="F60" s="859"/>
      <c r="G60" s="859"/>
      <c r="H60" s="859"/>
      <c r="I60" s="859"/>
      <c r="J60" s="859"/>
      <c r="K60" s="859"/>
      <c r="L60" s="859"/>
      <c r="M60" s="859"/>
      <c r="N60" s="859"/>
      <c r="O60" s="859"/>
      <c r="P60" s="859"/>
      <c r="Q60" s="859"/>
      <c r="R60" s="859"/>
      <c r="S60" s="859"/>
      <c r="T60" s="859"/>
      <c r="U60" s="859"/>
      <c r="V60" s="859"/>
      <c r="W60" s="859"/>
      <c r="X60" s="859"/>
      <c r="Y60" s="859"/>
      <c r="Z60" s="859"/>
      <c r="AA60" s="859"/>
      <c r="AB60" s="859"/>
      <c r="AC60" s="859"/>
      <c r="AD60" s="859"/>
      <c r="AE60" s="859"/>
      <c r="AF60" s="859"/>
      <c r="AG60" s="859"/>
      <c r="AH60" s="859"/>
      <c r="AI60" s="859"/>
      <c r="AJ60" s="859"/>
      <c r="AK60" s="859"/>
      <c r="AL60" s="859"/>
      <c r="AM60" s="859"/>
      <c r="AN60" s="859"/>
      <c r="AO60" s="859"/>
      <c r="AP60" s="859"/>
      <c r="AQ60" s="860"/>
    </row>
    <row r="61" spans="3:43" ht="15.95" customHeight="1" thickBot="1" x14ac:dyDescent="0.3">
      <c r="C61" s="861"/>
      <c r="D61" s="862"/>
      <c r="E61" s="862"/>
      <c r="F61" s="862"/>
      <c r="G61" s="862"/>
      <c r="H61" s="862"/>
      <c r="I61" s="862"/>
      <c r="J61" s="862"/>
      <c r="K61" s="862"/>
      <c r="L61" s="862"/>
      <c r="M61" s="862"/>
      <c r="N61" s="862"/>
      <c r="O61" s="862"/>
      <c r="P61" s="862"/>
      <c r="Q61" s="862"/>
      <c r="R61" s="862"/>
      <c r="S61" s="862"/>
      <c r="T61" s="862"/>
      <c r="U61" s="862"/>
      <c r="V61" s="862"/>
      <c r="W61" s="862"/>
      <c r="X61" s="862"/>
      <c r="Y61" s="862"/>
      <c r="Z61" s="862"/>
      <c r="AA61" s="862"/>
      <c r="AB61" s="862"/>
      <c r="AC61" s="862"/>
      <c r="AD61" s="862"/>
      <c r="AE61" s="862"/>
      <c r="AF61" s="862"/>
      <c r="AG61" s="862"/>
      <c r="AH61" s="862"/>
      <c r="AI61" s="862"/>
      <c r="AJ61" s="862"/>
      <c r="AK61" s="862"/>
      <c r="AL61" s="862"/>
      <c r="AM61" s="862"/>
      <c r="AN61" s="862"/>
      <c r="AO61" s="862"/>
      <c r="AP61" s="862"/>
      <c r="AQ61" s="863"/>
    </row>
    <row r="62" spans="3:43" ht="15.95" customHeight="1" x14ac:dyDescent="0.25">
      <c r="C62" s="135"/>
      <c r="D62" s="135"/>
      <c r="E62" s="135"/>
      <c r="F62" s="135"/>
      <c r="G62" s="135"/>
      <c r="H62" s="135"/>
      <c r="I62" s="135"/>
      <c r="J62" s="135"/>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5"/>
      <c r="AI62" s="135"/>
      <c r="AJ62" s="135"/>
      <c r="AK62" s="135"/>
      <c r="AL62" s="135"/>
      <c r="AM62" s="135"/>
      <c r="AN62" s="135"/>
      <c r="AO62" s="135"/>
      <c r="AP62" s="135"/>
      <c r="AQ62" s="135"/>
    </row>
    <row r="63" spans="3:43" s="63" customFormat="1" ht="15.95" hidden="1" customHeight="1" x14ac:dyDescent="0.25"/>
    <row r="64" spans="3:43" s="63" customFormat="1" ht="15.95" hidden="1" customHeight="1" x14ac:dyDescent="0.25"/>
    <row r="65" s="63" customFormat="1" ht="15.95" hidden="1" customHeight="1" x14ac:dyDescent="0.25"/>
    <row r="66" s="63" customFormat="1" ht="15.95" hidden="1" customHeight="1" x14ac:dyDescent="0.25"/>
    <row r="67" s="63" customFormat="1" ht="15.95" hidden="1" customHeight="1" x14ac:dyDescent="0.25"/>
    <row r="68" s="63" customFormat="1" ht="15.95" hidden="1" customHeight="1" x14ac:dyDescent="0.25"/>
    <row r="69" s="63" customFormat="1" ht="15.95" hidden="1" customHeight="1" x14ac:dyDescent="0.25"/>
    <row r="70" s="63" customFormat="1" ht="15.95" hidden="1" customHeight="1" x14ac:dyDescent="0.25"/>
    <row r="71" s="63" customFormat="1" ht="15.95" hidden="1" customHeight="1" x14ac:dyDescent="0.25"/>
    <row r="72" s="63" customFormat="1" ht="15.95" hidden="1" customHeight="1" x14ac:dyDescent="0.25"/>
    <row r="73" s="63" customFormat="1" ht="15.95" hidden="1" customHeight="1" x14ac:dyDescent="0.25"/>
    <row r="74" s="63" customFormat="1" ht="15.95" hidden="1" customHeight="1" x14ac:dyDescent="0.25"/>
    <row r="75" s="63" customFormat="1" ht="15.95" hidden="1" customHeight="1" x14ac:dyDescent="0.25"/>
    <row r="76" s="63" customFormat="1" ht="15.95" hidden="1" customHeight="1" x14ac:dyDescent="0.25"/>
    <row r="77" s="63" customFormat="1" ht="15.95" hidden="1" customHeight="1" x14ac:dyDescent="0.25"/>
    <row r="78" s="63" customFormat="1" ht="15.95" hidden="1" customHeight="1" x14ac:dyDescent="0.25"/>
    <row r="79" s="63" customFormat="1" ht="15.95" hidden="1" customHeight="1" x14ac:dyDescent="0.25"/>
    <row r="80" s="63" customFormat="1" ht="15.95" hidden="1" customHeight="1" x14ac:dyDescent="0.25"/>
    <row r="81" s="63" customFormat="1" ht="15.95" hidden="1" customHeight="1" x14ac:dyDescent="0.25"/>
    <row r="82" s="63" customFormat="1" ht="15.95" hidden="1" customHeight="1" x14ac:dyDescent="0.25"/>
    <row r="83" s="63" customFormat="1" ht="15.95" hidden="1" customHeight="1" x14ac:dyDescent="0.25"/>
    <row r="84" s="63" customFormat="1" ht="15.95" hidden="1" customHeight="1" x14ac:dyDescent="0.25"/>
    <row r="85" s="63" customFormat="1" ht="15.95" hidden="1" customHeight="1" x14ac:dyDescent="0.25"/>
    <row r="86" s="63" customFormat="1" ht="15.95" hidden="1" customHeight="1" x14ac:dyDescent="0.25"/>
    <row r="87" s="63" customFormat="1" ht="15.95" hidden="1" customHeight="1" x14ac:dyDescent="0.25"/>
    <row r="88" s="63" customFormat="1" ht="15.95" hidden="1" customHeight="1" x14ac:dyDescent="0.25"/>
    <row r="89" s="63" customFormat="1" ht="15.95" hidden="1" customHeight="1" x14ac:dyDescent="0.25"/>
    <row r="90" s="63" customFormat="1" ht="15.95" hidden="1" customHeight="1" x14ac:dyDescent="0.25"/>
    <row r="91" s="63" customFormat="1" ht="15.95" hidden="1" customHeight="1" x14ac:dyDescent="0.25"/>
    <row r="92" s="63" customFormat="1" ht="15.95" hidden="1" customHeight="1" x14ac:dyDescent="0.25"/>
    <row r="93" s="63" customFormat="1" ht="15.95" hidden="1" customHeight="1" x14ac:dyDescent="0.25"/>
    <row r="94" s="63" customFormat="1" ht="15.95" hidden="1" customHeight="1" x14ac:dyDescent="0.25"/>
    <row r="95" s="63" customFormat="1" ht="15.95" hidden="1" customHeight="1" x14ac:dyDescent="0.25"/>
    <row r="96" s="63" customFormat="1" ht="15.95" hidden="1" customHeight="1" x14ac:dyDescent="0.25"/>
    <row r="97" s="63" customFormat="1" ht="15.95" hidden="1" customHeight="1" x14ac:dyDescent="0.25"/>
    <row r="98" s="63" customFormat="1" ht="15.95" hidden="1" customHeight="1" x14ac:dyDescent="0.25"/>
    <row r="99" s="63" customFormat="1" ht="15.95" hidden="1" customHeight="1" x14ac:dyDescent="0.25"/>
    <row r="100" s="63" customFormat="1" ht="15.95" hidden="1" customHeight="1" x14ac:dyDescent="0.25"/>
    <row r="101" s="63" customFormat="1" ht="15.95" hidden="1" customHeight="1" x14ac:dyDescent="0.25"/>
    <row r="102" s="63" customFormat="1" ht="15.95" hidden="1" customHeight="1" x14ac:dyDescent="0.25"/>
    <row r="103" s="63" customFormat="1" ht="15.95" hidden="1" customHeight="1" x14ac:dyDescent="0.25"/>
    <row r="104" s="63" customFormat="1" ht="15.95" hidden="1" customHeight="1" x14ac:dyDescent="0.25"/>
    <row r="105" s="63" customFormat="1" ht="15.95" hidden="1" customHeight="1" x14ac:dyDescent="0.25"/>
    <row r="106" s="63" customFormat="1" ht="15.95" hidden="1" customHeight="1" x14ac:dyDescent="0.25"/>
    <row r="107" s="63" customFormat="1" ht="15.95" hidden="1" customHeight="1" x14ac:dyDescent="0.25"/>
    <row r="108" s="63" customFormat="1" ht="15.95" hidden="1" customHeight="1" x14ac:dyDescent="0.25"/>
    <row r="109" s="63" customFormat="1" ht="15.95" hidden="1" customHeight="1" x14ac:dyDescent="0.25"/>
    <row r="110" s="63" customFormat="1" ht="15.95" hidden="1" customHeight="1" x14ac:dyDescent="0.25"/>
    <row r="111" s="63" customFormat="1" ht="15.95" hidden="1" customHeight="1" x14ac:dyDescent="0.25"/>
    <row r="112" s="63" customFormat="1" ht="15.95" hidden="1" customHeight="1" x14ac:dyDescent="0.25"/>
    <row r="113" s="63" customFormat="1" ht="15.95" hidden="1" customHeight="1" x14ac:dyDescent="0.25"/>
    <row r="114" s="63" customFormat="1" ht="15.95" hidden="1" customHeight="1" x14ac:dyDescent="0.25"/>
    <row r="115" s="63" customFormat="1" ht="15.95" hidden="1" customHeight="1" x14ac:dyDescent="0.25"/>
    <row r="116" s="63" customFormat="1" ht="15.95" hidden="1" customHeight="1" x14ac:dyDescent="0.25"/>
    <row r="117" s="63" customFormat="1" ht="15.95" hidden="1" customHeight="1" x14ac:dyDescent="0.25"/>
    <row r="118" s="63" customFormat="1" ht="15.95" hidden="1" customHeight="1" x14ac:dyDescent="0.25"/>
    <row r="119" s="63" customFormat="1" ht="15.95" hidden="1" customHeight="1" x14ac:dyDescent="0.25"/>
    <row r="120" s="63" customFormat="1" ht="15.95" hidden="1" customHeight="1" x14ac:dyDescent="0.25"/>
    <row r="121" s="63" customFormat="1" ht="15.95" hidden="1" customHeight="1" x14ac:dyDescent="0.25"/>
    <row r="122" s="63" customFormat="1" ht="15.95" hidden="1" customHeight="1" x14ac:dyDescent="0.25"/>
    <row r="123" s="63" customFormat="1" ht="15.95" hidden="1" customHeight="1" x14ac:dyDescent="0.25"/>
    <row r="124" s="63" customFormat="1" ht="15.95" hidden="1" customHeight="1" x14ac:dyDescent="0.25"/>
    <row r="125" s="63" customFormat="1" ht="15.95" hidden="1" customHeight="1" x14ac:dyDescent="0.25"/>
    <row r="126" s="63" customFormat="1" ht="15.95" hidden="1" customHeight="1" x14ac:dyDescent="0.25"/>
    <row r="127" s="63" customFormat="1" ht="15.95" hidden="1" customHeight="1" x14ac:dyDescent="0.25"/>
    <row r="128" s="63" customFormat="1" ht="15.95" hidden="1" customHeight="1" x14ac:dyDescent="0.25"/>
    <row r="129" s="63" customFormat="1" ht="15.95" hidden="1" customHeight="1" x14ac:dyDescent="0.25"/>
    <row r="130" s="63" customFormat="1" ht="15.95" hidden="1" customHeight="1" x14ac:dyDescent="0.25"/>
    <row r="131" s="63" customFormat="1" ht="15.95" hidden="1" customHeight="1" x14ac:dyDescent="0.25"/>
    <row r="132" s="63" customFormat="1" ht="15.95" hidden="1" customHeight="1" x14ac:dyDescent="0.25"/>
    <row r="133" s="63" customFormat="1" ht="15.95" hidden="1" customHeight="1" x14ac:dyDescent="0.25"/>
    <row r="134" s="63" customFormat="1" ht="15.95" hidden="1" customHeight="1" x14ac:dyDescent="0.25"/>
    <row r="135" s="63" customFormat="1" ht="15.95" hidden="1" customHeight="1" x14ac:dyDescent="0.25"/>
    <row r="136" s="63" customFormat="1" ht="15.95" hidden="1" customHeight="1" x14ac:dyDescent="0.25"/>
    <row r="137" s="63" customFormat="1" ht="15.95" hidden="1" customHeight="1" x14ac:dyDescent="0.25"/>
    <row r="138" s="63" customFormat="1" ht="15.95" hidden="1" customHeight="1" x14ac:dyDescent="0.25"/>
    <row r="139" s="63" customFormat="1" ht="15.95" hidden="1" customHeight="1" x14ac:dyDescent="0.25"/>
    <row r="140" s="63" customFormat="1" ht="15.95" hidden="1" customHeight="1" x14ac:dyDescent="0.25"/>
    <row r="141" s="63" customFormat="1" ht="15.95" hidden="1" customHeight="1" x14ac:dyDescent="0.25"/>
    <row r="142" s="63" customFormat="1" ht="15.95" hidden="1" customHeight="1" x14ac:dyDescent="0.25"/>
    <row r="143" s="63" customFormat="1" ht="15.95" hidden="1" customHeight="1" x14ac:dyDescent="0.25"/>
    <row r="144" s="63" customFormat="1" ht="15.95" hidden="1" customHeight="1" x14ac:dyDescent="0.25"/>
    <row r="145" s="63" customFormat="1" ht="15.95" hidden="1" customHeight="1" x14ac:dyDescent="0.25"/>
    <row r="146" s="63" customFormat="1" ht="15.95" hidden="1" customHeight="1" x14ac:dyDescent="0.25"/>
    <row r="147" s="63" customFormat="1" ht="15.95" hidden="1" customHeight="1" x14ac:dyDescent="0.25"/>
    <row r="148" s="63" customFormat="1" ht="15.95" hidden="1" customHeight="1" x14ac:dyDescent="0.25"/>
    <row r="149" s="63" customFormat="1" ht="15.95" hidden="1" customHeight="1" x14ac:dyDescent="0.25"/>
    <row r="150" s="63" customFormat="1" ht="15.95" hidden="1" customHeight="1" x14ac:dyDescent="0.25"/>
    <row r="151" s="63" customFormat="1" ht="15.95" hidden="1" customHeight="1" x14ac:dyDescent="0.25"/>
    <row r="152" s="63" customFormat="1" ht="15.95" hidden="1" customHeight="1" x14ac:dyDescent="0.25"/>
    <row r="153" s="63" customFormat="1" ht="15.95" hidden="1" customHeight="1" x14ac:dyDescent="0.25"/>
    <row r="154" s="63" customFormat="1" ht="15.95" hidden="1" customHeight="1" x14ac:dyDescent="0.25"/>
    <row r="155" s="63" customFormat="1" ht="15.95" hidden="1" customHeight="1" x14ac:dyDescent="0.25"/>
    <row r="156" s="63" customFormat="1" ht="15.95" hidden="1" customHeight="1" x14ac:dyDescent="0.25"/>
    <row r="157" s="63" customFormat="1" ht="15.95" hidden="1" customHeight="1" x14ac:dyDescent="0.25"/>
    <row r="158" s="63" customFormat="1" ht="15.95" hidden="1" customHeight="1" x14ac:dyDescent="0.25"/>
    <row r="159" s="63" customFormat="1" ht="15.95" hidden="1" customHeight="1" x14ac:dyDescent="0.25"/>
    <row r="160" s="63" customFormat="1" ht="15.95" hidden="1" customHeight="1" x14ac:dyDescent="0.25"/>
    <row r="161" s="63" customFormat="1" ht="15.95" hidden="1" customHeight="1" x14ac:dyDescent="0.25"/>
    <row r="162" s="63" customFormat="1" ht="15.95" hidden="1" customHeight="1" x14ac:dyDescent="0.25"/>
    <row r="163" s="63" customFormat="1" ht="15.95" hidden="1" customHeight="1" x14ac:dyDescent="0.25"/>
    <row r="164" s="63" customFormat="1" ht="15.95" hidden="1" customHeight="1" x14ac:dyDescent="0.25"/>
    <row r="165" s="63" customFormat="1" ht="15.95" hidden="1" customHeight="1" x14ac:dyDescent="0.25"/>
    <row r="166" s="63" customFormat="1" ht="15.95" hidden="1" customHeight="1" x14ac:dyDescent="0.25"/>
    <row r="167" s="63" customFormat="1" ht="15.95" hidden="1" customHeight="1" x14ac:dyDescent="0.25"/>
    <row r="168" s="63" customFormat="1" ht="15.95" hidden="1" customHeight="1" x14ac:dyDescent="0.25"/>
    <row r="169" s="63" customFormat="1" ht="15.95" hidden="1" customHeight="1" x14ac:dyDescent="0.25"/>
    <row r="170" s="63" customFormat="1" ht="15.95" hidden="1" customHeight="1" x14ac:dyDescent="0.25"/>
    <row r="171" s="63" customFormat="1" ht="15.95" hidden="1" customHeight="1" x14ac:dyDescent="0.25"/>
    <row r="172" s="63" customFormat="1" ht="15.95" hidden="1" customHeight="1" x14ac:dyDescent="0.25"/>
    <row r="173" s="63" customFormat="1" ht="15.95" hidden="1" customHeight="1" x14ac:dyDescent="0.25"/>
    <row r="174" s="63" customFormat="1" ht="15.95" hidden="1" customHeight="1" x14ac:dyDescent="0.25"/>
    <row r="175" s="63" customFormat="1" ht="15.95" hidden="1" customHeight="1" x14ac:dyDescent="0.25"/>
    <row r="176" s="63" customFormat="1" ht="15.95" hidden="1" customHeight="1" x14ac:dyDescent="0.25"/>
    <row r="177" s="63" customFormat="1" ht="15.95" hidden="1" customHeight="1" x14ac:dyDescent="0.25"/>
    <row r="178" s="63" customFormat="1" ht="15.95" hidden="1" customHeight="1" x14ac:dyDescent="0.25"/>
    <row r="179" s="63" customFormat="1" ht="15.95" hidden="1" customHeight="1" x14ac:dyDescent="0.25"/>
    <row r="180" s="63" customFormat="1" ht="15.95" hidden="1" customHeight="1" x14ac:dyDescent="0.25"/>
    <row r="181" s="63" customFormat="1" ht="15.95" hidden="1" customHeight="1" x14ac:dyDescent="0.25"/>
    <row r="182" s="63" customFormat="1" ht="15.95" hidden="1" customHeight="1" x14ac:dyDescent="0.25"/>
    <row r="183" s="63" customFormat="1" ht="15.95" hidden="1" customHeight="1" x14ac:dyDescent="0.25"/>
    <row r="184" s="63" customFormat="1" ht="15.95" hidden="1" customHeight="1" x14ac:dyDescent="0.25"/>
    <row r="185" s="63" customFormat="1" ht="15.95" hidden="1" customHeight="1" x14ac:dyDescent="0.25"/>
    <row r="186" s="63" customFormat="1" ht="15.95" hidden="1" customHeight="1" x14ac:dyDescent="0.25"/>
    <row r="187" s="63" customFormat="1" ht="15.95" hidden="1" customHeight="1" x14ac:dyDescent="0.25"/>
    <row r="188" s="63" customFormat="1" ht="15.95" hidden="1" customHeight="1" x14ac:dyDescent="0.25"/>
    <row r="189" s="63" customFormat="1" ht="15.95" hidden="1" customHeight="1" x14ac:dyDescent="0.25"/>
    <row r="190" s="63" customFormat="1" ht="15.95" hidden="1" customHeight="1" x14ac:dyDescent="0.25"/>
    <row r="191" s="63" customFormat="1" ht="15.95" hidden="1" customHeight="1" x14ac:dyDescent="0.25"/>
    <row r="192" s="63" customFormat="1" ht="15.95" hidden="1" customHeight="1" x14ac:dyDescent="0.25"/>
    <row r="193" spans="2:44" s="63" customFormat="1" ht="15.95" hidden="1" customHeight="1" x14ac:dyDescent="0.25"/>
    <row r="194" spans="2:44" s="63" customFormat="1" ht="15.95" hidden="1" customHeight="1" x14ac:dyDescent="0.25"/>
    <row r="195" spans="2:44" s="63" customFormat="1" ht="15.95" hidden="1" customHeight="1" x14ac:dyDescent="0.25"/>
    <row r="196" spans="2:44" s="63" customFormat="1" ht="15.95" hidden="1" customHeight="1" x14ac:dyDescent="0.25"/>
    <row r="197" spans="2:44" s="63" customFormat="1" ht="15.95" hidden="1" customHeight="1" x14ac:dyDescent="0.25"/>
    <row r="198" spans="2:44" s="63" customFormat="1" ht="15.95" hidden="1" customHeight="1" x14ac:dyDescent="0.25"/>
    <row r="199" spans="2:44" ht="15.95" hidden="1" customHeight="1" x14ac:dyDescent="0.25"/>
    <row r="200" spans="2:44" ht="15.95" customHeight="1" x14ac:dyDescent="0.25">
      <c r="B200" s="136" t="str">
        <f>FOOT1</f>
        <v>Ameren Missouri BizSavers program</v>
      </c>
      <c r="C200" s="136"/>
      <c r="D200" s="136"/>
      <c r="E200" s="136"/>
      <c r="F200" s="136"/>
      <c r="G200" s="136"/>
      <c r="H200" s="136"/>
      <c r="I200" s="136"/>
      <c r="J200" s="136"/>
      <c r="K200" s="136"/>
      <c r="L200" s="136"/>
      <c r="M200" s="729" t="str">
        <f>FOOTDISCLAIM</f>
        <v/>
      </c>
      <c r="N200" s="729"/>
      <c r="O200" s="729"/>
      <c r="P200" s="729"/>
      <c r="Q200" s="729"/>
      <c r="R200" s="729"/>
      <c r="S200" s="729"/>
      <c r="T200" s="729"/>
      <c r="U200" s="729"/>
      <c r="V200" s="729"/>
      <c r="W200" s="729"/>
      <c r="X200" s="729"/>
      <c r="Y200" s="729"/>
      <c r="Z200" s="729"/>
      <c r="AA200" s="729"/>
      <c r="AB200" s="729"/>
      <c r="AC200" s="729"/>
      <c r="AD200" s="729"/>
      <c r="AE200" s="729"/>
      <c r="AF200" s="729"/>
      <c r="AG200" s="729"/>
      <c r="AH200" s="136"/>
      <c r="AI200" s="136"/>
      <c r="AJ200" s="136"/>
      <c r="AK200" s="136"/>
      <c r="AL200" s="136"/>
      <c r="AM200" s="136"/>
      <c r="AN200" s="136"/>
      <c r="AO200" s="136"/>
      <c r="AP200" s="136"/>
      <c r="AQ200" s="136"/>
      <c r="AR200" s="300" t="str">
        <f>FOOT4</f>
        <v/>
      </c>
    </row>
    <row r="201" spans="2:44" ht="15.95" customHeight="1" x14ac:dyDescent="0.25">
      <c r="B201" s="136" t="str">
        <f>FOOT2</f>
        <v>Toll-Free 866-941-7299</v>
      </c>
      <c r="C201" s="136"/>
      <c r="D201" s="136"/>
      <c r="E201" s="136"/>
      <c r="F201" s="136"/>
      <c r="G201" s="136"/>
      <c r="H201" s="136"/>
      <c r="I201" s="136"/>
      <c r="J201" s="136"/>
      <c r="K201" s="136"/>
      <c r="L201" s="136"/>
      <c r="M201" s="729"/>
      <c r="N201" s="729"/>
      <c r="O201" s="729"/>
      <c r="P201" s="729"/>
      <c r="Q201" s="729"/>
      <c r="R201" s="729"/>
      <c r="S201" s="729"/>
      <c r="T201" s="729"/>
      <c r="U201" s="729"/>
      <c r="V201" s="729"/>
      <c r="W201" s="729"/>
      <c r="X201" s="729"/>
      <c r="Y201" s="729"/>
      <c r="Z201" s="729"/>
      <c r="AA201" s="729"/>
      <c r="AB201" s="729"/>
      <c r="AC201" s="729"/>
      <c r="AD201" s="729"/>
      <c r="AE201" s="729"/>
      <c r="AF201" s="729"/>
      <c r="AG201" s="729"/>
      <c r="AH201" s="136"/>
      <c r="AI201" s="136"/>
      <c r="AJ201" s="136"/>
      <c r="AK201" s="136"/>
      <c r="AL201" s="136"/>
      <c r="AM201" s="136"/>
      <c r="AN201" s="136"/>
      <c r="AO201" s="136"/>
      <c r="AP201" s="136"/>
      <c r="AQ201" s="136"/>
      <c r="AR201" s="300" t="str">
        <f>FOOT5</f>
        <v/>
      </c>
    </row>
    <row r="202" spans="2:44" ht="15.95" customHeight="1" x14ac:dyDescent="0.25">
      <c r="B202" s="138" t="str">
        <f>FOOT3</f>
        <v>BizSavers@ameren.com</v>
      </c>
      <c r="C202" s="136"/>
      <c r="D202" s="136"/>
      <c r="E202" s="136"/>
      <c r="F202" s="136"/>
      <c r="G202" s="136"/>
      <c r="H202" s="136"/>
      <c r="I202" s="136"/>
      <c r="J202" s="136"/>
      <c r="K202" s="136"/>
      <c r="L202" s="136"/>
      <c r="M202" s="139"/>
      <c r="N202" s="136"/>
      <c r="O202" s="136"/>
      <c r="P202" s="139"/>
      <c r="Q202" s="139"/>
      <c r="R202" s="139"/>
      <c r="S202" s="139"/>
      <c r="T202" s="139"/>
      <c r="U202" s="139"/>
      <c r="V202" s="139"/>
      <c r="W202" s="140" t="str">
        <f>VERSION</f>
        <v>New Construction v3.8.0</v>
      </c>
      <c r="X202" s="139"/>
      <c r="Y202" s="139"/>
      <c r="Z202" s="139"/>
      <c r="AA202" s="139"/>
      <c r="AB202" s="139"/>
      <c r="AC202" s="139"/>
      <c r="AD202" s="139"/>
      <c r="AE202" s="136"/>
      <c r="AF202" s="136"/>
      <c r="AG202" s="136"/>
      <c r="AH202" s="136"/>
      <c r="AI202" s="136"/>
      <c r="AJ202" s="136"/>
      <c r="AK202" s="136"/>
      <c r="AL202" s="136"/>
      <c r="AM202" s="136"/>
      <c r="AN202" s="136"/>
      <c r="AO202" s="136"/>
      <c r="AP202" s="136"/>
      <c r="AQ202" s="136"/>
      <c r="AR202" s="300" t="str">
        <f>FOOT6</f>
        <v>Product of TRC Companies</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sheetData>
  <sheetProtection algorithmName="SHA-512" hashValue="kYp0oBL52S406cuWIhcF0hvkFyKsRDzQy6EfoeBhC2SicqTkg0GA4XPOAoCUYgkpUwugGLvZRMOsU8+hBq86aA==" saltValue="ZnnlCUp5Ta2BWt1y+2yV9w==" spinCount="100000" sheet="1" objects="1" scenarios="1" selectLockedCells="1"/>
  <mergeCells count="113">
    <mergeCell ref="AQ1:AR1"/>
    <mergeCell ref="AQ2:AR3"/>
    <mergeCell ref="F10:AN10"/>
    <mergeCell ref="C14:H14"/>
    <mergeCell ref="J14:O14"/>
    <mergeCell ref="Q14:V14"/>
    <mergeCell ref="X14:AC14"/>
    <mergeCell ref="AE14:AJ14"/>
    <mergeCell ref="AL14:AQ14"/>
    <mergeCell ref="F11:AN12"/>
    <mergeCell ref="AH1:AK1"/>
    <mergeCell ref="AL1:AP1"/>
    <mergeCell ref="AH2:AK3"/>
    <mergeCell ref="AL2:AP3"/>
    <mergeCell ref="AE39:AJ39"/>
    <mergeCell ref="X48:AC48"/>
    <mergeCell ref="Q41:V41"/>
    <mergeCell ref="C47:H47"/>
    <mergeCell ref="J47:O47"/>
    <mergeCell ref="Q47:V47"/>
    <mergeCell ref="X47:AC47"/>
    <mergeCell ref="AE47:AQ48"/>
    <mergeCell ref="AE15:AJ15"/>
    <mergeCell ref="C17:H17"/>
    <mergeCell ref="J17:O17"/>
    <mergeCell ref="Q17:V17"/>
    <mergeCell ref="X17:AC17"/>
    <mergeCell ref="AL15:AQ15"/>
    <mergeCell ref="C15:H15"/>
    <mergeCell ref="J15:O15"/>
    <mergeCell ref="Q15:V15"/>
    <mergeCell ref="X15:AC15"/>
    <mergeCell ref="X36:AC36"/>
    <mergeCell ref="AE36:AJ36"/>
    <mergeCell ref="J32:O32"/>
    <mergeCell ref="J33:O33"/>
    <mergeCell ref="AL36:AQ36"/>
    <mergeCell ref="C35:H35"/>
    <mergeCell ref="X35:AC35"/>
    <mergeCell ref="AE35:AJ35"/>
    <mergeCell ref="AL35:AQ35"/>
    <mergeCell ref="J35:O35"/>
    <mergeCell ref="Q35:V35"/>
    <mergeCell ref="C36:H36"/>
    <mergeCell ref="J36:O36"/>
    <mergeCell ref="Q36:V36"/>
    <mergeCell ref="AE17:AJ17"/>
    <mergeCell ref="Q18:V18"/>
    <mergeCell ref="X18:AC18"/>
    <mergeCell ref="AE18:AJ18"/>
    <mergeCell ref="AE25:AJ25"/>
    <mergeCell ref="AE24:AJ24"/>
    <mergeCell ref="AL25:AQ25"/>
    <mergeCell ref="AL24:AQ24"/>
    <mergeCell ref="AL17:AQ17"/>
    <mergeCell ref="C18:H18"/>
    <mergeCell ref="J18:O18"/>
    <mergeCell ref="AB33:AC33"/>
    <mergeCell ref="F29:AN30"/>
    <mergeCell ref="AL18:AQ18"/>
    <mergeCell ref="F21:AN21"/>
    <mergeCell ref="F22:AN22"/>
    <mergeCell ref="M200:AG201"/>
    <mergeCell ref="AL42:AQ42"/>
    <mergeCell ref="C41:H41"/>
    <mergeCell ref="J41:O41"/>
    <mergeCell ref="X41:AC41"/>
    <mergeCell ref="AE41:AJ41"/>
    <mergeCell ref="AL41:AQ41"/>
    <mergeCell ref="C42:H42"/>
    <mergeCell ref="J42:O42"/>
    <mergeCell ref="Q42:V42"/>
    <mergeCell ref="X42:AC42"/>
    <mergeCell ref="AE42:AJ42"/>
    <mergeCell ref="C44:H44"/>
    <mergeCell ref="J44:O44"/>
    <mergeCell ref="C53:H53"/>
    <mergeCell ref="C54:AQ61"/>
    <mergeCell ref="C51:H51"/>
    <mergeCell ref="C38:H38"/>
    <mergeCell ref="X44:AC44"/>
    <mergeCell ref="Q44:V44"/>
    <mergeCell ref="X45:AC45"/>
    <mergeCell ref="AE50:AJ50"/>
    <mergeCell ref="AL50:AQ50"/>
    <mergeCell ref="C48:H48"/>
    <mergeCell ref="J48:O48"/>
    <mergeCell ref="Q48:V48"/>
    <mergeCell ref="AL44:AQ44"/>
    <mergeCell ref="C45:H45"/>
    <mergeCell ref="J45:O45"/>
    <mergeCell ref="C39:H39"/>
    <mergeCell ref="Q45:V45"/>
    <mergeCell ref="AL45:AQ45"/>
    <mergeCell ref="AL39:AQ39"/>
    <mergeCell ref="J38:O38"/>
    <mergeCell ref="Q38:V38"/>
    <mergeCell ref="X38:AC38"/>
    <mergeCell ref="AE38:AJ38"/>
    <mergeCell ref="AL38:AQ38"/>
    <mergeCell ref="J39:O39"/>
    <mergeCell ref="Q39:V39"/>
    <mergeCell ref="X39:AC39"/>
    <mergeCell ref="C24:H24"/>
    <mergeCell ref="Q24:V24"/>
    <mergeCell ref="Q25:V25"/>
    <mergeCell ref="X25:AC25"/>
    <mergeCell ref="X24:AC24"/>
    <mergeCell ref="C25:O25"/>
    <mergeCell ref="AP33:AQ33"/>
    <mergeCell ref="F28:AN28"/>
    <mergeCell ref="C32:H32"/>
    <mergeCell ref="C33:H33"/>
  </mergeCells>
  <conditionalFormatting sqref="AE25:AJ25 X25:AC25 Q25:V25 AL25:AQ25">
    <cfRule type="expression" dxfId="307" priority="70">
      <formula>M02S02F11.1="Not Applicable"</formula>
    </cfRule>
  </conditionalFormatting>
  <conditionalFormatting sqref="C25">
    <cfRule type="expression" dxfId="306" priority="69">
      <formula>M02S02F11.1="Not Applicable"</formula>
    </cfRule>
  </conditionalFormatting>
  <conditionalFormatting sqref="C36:H36 J36:O36 X36:AC36 AE36:AJ36 AL36:AQ36 Q36:V36">
    <cfRule type="expression" dxfId="305" priority="18">
      <formula>M02S02F14="Yes"</formula>
    </cfRule>
  </conditionalFormatting>
  <conditionalFormatting sqref="J39:O39 Q39:V39 X39:AC39 AE39:AJ39">
    <cfRule type="expression" dxfId="304" priority="17">
      <formula>M02S02F15="Yes"</formula>
    </cfRule>
  </conditionalFormatting>
  <conditionalFormatting sqref="X45:AC45">
    <cfRule type="expression" dxfId="303" priority="16">
      <formula>M02S02F36&lt;&gt;"Enter Rate Manually"</formula>
    </cfRule>
  </conditionalFormatting>
  <conditionalFormatting sqref="AQ2:AR3">
    <cfRule type="cellIs" dxfId="302" priority="3" operator="equal">
      <formula>1</formula>
    </cfRule>
    <cfRule type="cellIs" dxfId="301" priority="4" operator="between">
      <formula>0.51</formula>
      <formula>0.99</formula>
    </cfRule>
    <cfRule type="cellIs" dxfId="300" priority="5" operator="lessThanOrEqual">
      <formula>0.5</formula>
    </cfRule>
  </conditionalFormatting>
  <conditionalFormatting sqref="AH2 AL2">
    <cfRule type="expression" dxfId="299" priority="1">
      <formula>OR(PROJSTATUS=PROJSTATELI,PROJSTATUS=PROJSTATEXP,PROJSTATUS=PROJSTATUNDER)</formula>
    </cfRule>
    <cfRule type="expression" dxfId="298" priority="2">
      <formula>PROJSTATUS=PROJSTATFILLINITIAL</formula>
    </cfRule>
    <cfRule type="expression" dxfId="297" priority="6">
      <formula>PROJSTATUS=PROJSTATPREAPPROVE</formula>
    </cfRule>
    <cfRule type="expression" dxfId="296" priority="7">
      <formula>OR(PROJSTATUS=PROJSTATSSUBMITINITIAL,PROJSTATUS=PROJSTATREVIEW)</formula>
    </cfRule>
  </conditionalFormatting>
  <dataValidations count="23">
    <dataValidation type="custom" allowBlank="1" showInputMessage="1" showErrorMessage="1" error="Please enter a valid email address." sqref="C18:E23 F18:H20" xr:uid="{00000000-0002-0000-1000-000000000000}">
      <formula1>AND(FIND(".",C18),FIND("@",C18))</formula1>
    </dataValidation>
    <dataValidation type="list" allowBlank="1" showInputMessage="1" showErrorMessage="1" sqref="AP33 AB33" xr:uid="{00000000-0002-0000-1000-000001000000}">
      <formula1>"Yes,No"</formula1>
    </dataValidation>
    <dataValidation type="decimal" operator="lessThanOrEqual" allowBlank="1" showInputMessage="1" showErrorMessage="1" sqref="Q42:V42" xr:uid="{00000000-0002-0000-1000-000002000000}">
      <formula1>8760</formula1>
    </dataValidation>
    <dataValidation type="list" allowBlank="1" showInputMessage="1" showErrorMessage="1" sqref="J42:O42" xr:uid="{00000000-0002-0000-1000-000003000000}">
      <formula1>"Owner,Tenant"</formula1>
    </dataValidation>
    <dataValidation type="list" allowBlank="1" showInputMessage="1" showErrorMessage="1" sqref="X39:AC39" xr:uid="{00000000-0002-0000-1000-000004000000}">
      <formula1>"MO"</formula1>
    </dataValidation>
    <dataValidation type="list" allowBlank="1" showInputMessage="1" showErrorMessage="1" sqref="X18:AC20" xr:uid="{00000000-0002-0000-1000-000005000000}">
      <formula1>STATESABBREV</formula1>
    </dataValidation>
    <dataValidation type="list" allowBlank="1" showInputMessage="1" showErrorMessage="1" sqref="C42:H42" xr:uid="{00000000-0002-0000-1000-000006000000}">
      <formula1>BUILDING</formula1>
    </dataValidation>
    <dataValidation type="list" allowBlank="1" showInputMessage="1" showErrorMessage="1" sqref="C45:H45" xr:uid="{00000000-0002-0000-1000-000007000000}">
      <formula1>SHEAT</formula1>
    </dataValidation>
    <dataValidation type="list" allowBlank="1" showInputMessage="1" showErrorMessage="1" sqref="J45:O45" xr:uid="{00000000-0002-0000-1000-000008000000}">
      <formula1>WHEAT</formula1>
    </dataValidation>
    <dataValidation type="list" allowBlank="1" showInputMessage="1" showErrorMessage="1" sqref="C33:H33" xr:uid="{00000000-0002-0000-1000-000009000000}">
      <formula1>PROGRAM</formula1>
    </dataValidation>
    <dataValidation allowBlank="1" showInputMessage="1" showErrorMessage="1" prompt="Provide a project name or ID for the project you are applying for." sqref="J33:O33" xr:uid="{00000000-0002-0000-1000-00000A000000}"/>
    <dataValidation allowBlank="1" showInputMessage="1" prompt="You may provide a site name for this project for easy reference in future communications." sqref="C39:H39" xr:uid="{00000000-0002-0000-1000-00000B000000}"/>
    <dataValidation allowBlank="1" showInputMessage="1" showErrorMessage="1" prompt="Please consult your utility bill for your account rate (Use your total monthly cost divided by your total kWh)." sqref="X45:AC45" xr:uid="{00000000-0002-0000-1000-00000C000000}"/>
    <dataValidation type="list" allowBlank="1" showInputMessage="1" showErrorMessage="1" sqref="C25" xr:uid="{00000000-0002-0000-1000-00000D000000}">
      <formula1>DIVERSITYBUSTYPE</formula1>
    </dataValidation>
    <dataValidation type="list" allowBlank="1" showInputMessage="1" showErrorMessage="1" sqref="Q25:V25" xr:uid="{00000000-0002-0000-1000-00000E000000}">
      <formula1>DIVERSITYORG</formula1>
    </dataValidation>
    <dataValidation type="list" allowBlank="1" showInputMessage="1" showErrorMessage="1" prompt="Please consult your utility bill or your online account summary for your Rate Class" sqref="Q45:V45" xr:uid="{00000000-0002-0000-1000-00000F000000}">
      <formula1>RATECAT</formula1>
    </dataValidation>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 or dash." sqref="C48:H48 J48:O48 Q48:V48 X48:AC48" xr:uid="{00000000-0002-0000-1000-000010000000}">
      <formula1>10</formula1>
    </dataValidation>
    <dataValidation type="decimal" operator="greaterThanOrEqual" allowBlank="1" showErrorMessage="1" error="Please enter a valid numerical value." sqref="AE42:AJ42" xr:uid="{00000000-0002-0000-1000-000011000000}">
      <formula1>0</formula1>
    </dataValidation>
    <dataValidation type="list" allowBlank="1" showInputMessage="1" showErrorMessage="1" sqref="AL36:AQ36" xr:uid="{00000000-0002-0000-1000-000012000000}">
      <formula1>NCBASE</formula1>
    </dataValidation>
    <dataValidation type="list" allowBlank="1" showInputMessage="1" showErrorMessage="1" sqref="C36:H36" xr:uid="{00000000-0002-0000-1000-000013000000}">
      <formula1>NCTYPE</formula1>
    </dataValidation>
    <dataValidation type="whole" operator="greaterThan" allowBlank="1" showInputMessage="1" showErrorMessage="1" error="Enter the numerical value for the square footage rounded to the nearly whole number." sqref="X42:AC42" xr:uid="{00000000-0002-0000-1000-000014000000}">
      <formula1>0</formula1>
    </dataValidation>
    <dataValidation type="date" allowBlank="1" showInputMessage="1" showErrorMessage="1" error="Please enter date in the format MM/DD/YYYY" sqref="AE25:AJ25 AL25:AQ25" xr:uid="{00000000-0002-0000-1000-000015000000}">
      <formula1>18264</formula1>
      <formula2>55153</formula2>
    </dataValidation>
    <dataValidation type="date" operator="greaterThan" allowBlank="1" showInputMessage="1" showErrorMessage="1" error="Please enter date in the format MM/DD/YYYY" sqref="AE36:AJ36 J36:O36 Q36:V36 X36:AC36" xr:uid="{00000000-0002-0000-1000-000016000000}">
      <formula1>40179</formula1>
    </dataValidation>
  </dataValidations>
  <hyperlinks>
    <hyperlink ref="B202" r:id="rId1" display="NIPSCO.Savings@LMCO.com" xr:uid="{00000000-0004-0000-1000-000000000000}"/>
  </hyperlinks>
  <pageMargins left="0.25" right="0.25" top="0.25" bottom="0.25" header="0.25" footer="0.25"/>
  <pageSetup scale="62" fitToHeight="0"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pageSetUpPr fitToPage="1"/>
  </sheetPr>
  <dimension ref="A1:AS369"/>
  <sheetViews>
    <sheetView showGridLines="0" showRowColHeaders="0" zoomScale="85" zoomScaleNormal="85" workbookViewId="0">
      <selection activeCell="C14" sqref="C14:H14"/>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AH1" s="711" t="s">
        <v>494</v>
      </c>
      <c r="AI1" s="712"/>
      <c r="AJ1" s="712"/>
      <c r="AK1" s="712"/>
      <c r="AL1" s="723" t="s">
        <v>911</v>
      </c>
      <c r="AM1" s="723"/>
      <c r="AN1" s="723"/>
      <c r="AO1" s="723"/>
      <c r="AP1" s="723"/>
      <c r="AQ1" s="717" t="s">
        <v>499</v>
      </c>
      <c r="AR1" s="718"/>
    </row>
    <row r="2" spans="3:44" ht="15.95" customHeight="1" x14ac:dyDescent="0.25">
      <c r="AH2" s="713" t="str">
        <f ca="1">INCENSTATUS</f>
        <v>---</v>
      </c>
      <c r="AI2" s="714"/>
      <c r="AJ2" s="714"/>
      <c r="AK2" s="714"/>
      <c r="AL2" s="724" t="str">
        <f ca="1">PROJSTATUS</f>
        <v>Please Complete Initial Application</v>
      </c>
      <c r="AM2" s="724"/>
      <c r="AN2" s="724"/>
      <c r="AO2" s="724"/>
      <c r="AP2" s="724"/>
      <c r="AQ2" s="719">
        <f ca="1">PROGRESSSTATUS</f>
        <v>0</v>
      </c>
      <c r="AR2" s="720"/>
    </row>
    <row r="3" spans="3:44" ht="15.95" customHeight="1" x14ac:dyDescent="0.25">
      <c r="AH3" s="715"/>
      <c r="AI3" s="716"/>
      <c r="AJ3" s="716"/>
      <c r="AK3" s="716"/>
      <c r="AL3" s="725"/>
      <c r="AM3" s="725"/>
      <c r="AN3" s="725"/>
      <c r="AO3" s="725"/>
      <c r="AP3" s="725"/>
      <c r="AQ3" s="721"/>
      <c r="AR3" s="722"/>
    </row>
    <row r="4" spans="3:44" ht="15.95" customHeight="1" x14ac:dyDescent="0.25"/>
    <row r="5" spans="3:44" ht="15.95" customHeight="1" x14ac:dyDescent="0.25"/>
    <row r="6" spans="3:44" ht="15.95" customHeight="1" x14ac:dyDescent="0.25"/>
    <row r="7" spans="3:44" ht="15.95" customHeight="1" x14ac:dyDescent="0.25"/>
    <row r="8" spans="3:44" ht="15.95" customHeight="1" x14ac:dyDescent="0.25"/>
    <row r="9" spans="3:44" ht="15.95" customHeight="1" x14ac:dyDescent="0.25">
      <c r="C9" s="135"/>
      <c r="D9" s="135"/>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row>
    <row r="10" spans="3:44" ht="15.95" customHeight="1" x14ac:dyDescent="0.3">
      <c r="C10" s="135"/>
      <c r="D10" s="135"/>
      <c r="E10" s="135"/>
      <c r="F10" s="732" t="s">
        <v>1648</v>
      </c>
      <c r="G10" s="732"/>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c r="AO10" s="135"/>
      <c r="AP10" s="135"/>
      <c r="AQ10" s="135"/>
    </row>
    <row r="11" spans="3:44" ht="15.95" customHeight="1" x14ac:dyDescent="0.25">
      <c r="C11" s="135"/>
      <c r="D11" s="135"/>
      <c r="E11" s="135"/>
      <c r="F11" s="894" t="s">
        <v>1880</v>
      </c>
      <c r="G11" s="894"/>
      <c r="H11" s="894"/>
      <c r="I11" s="894"/>
      <c r="J11" s="894"/>
      <c r="K11" s="894"/>
      <c r="L11" s="894"/>
      <c r="M11" s="894"/>
      <c r="N11" s="894"/>
      <c r="O11" s="894"/>
      <c r="P11" s="894"/>
      <c r="Q11" s="894"/>
      <c r="R11" s="894"/>
      <c r="S11" s="894"/>
      <c r="T11" s="894"/>
      <c r="U11" s="894"/>
      <c r="V11" s="894"/>
      <c r="W11" s="894"/>
      <c r="X11" s="894"/>
      <c r="Y11" s="894"/>
      <c r="Z11" s="894"/>
      <c r="AA11" s="894"/>
      <c r="AB11" s="894"/>
      <c r="AC11" s="894"/>
      <c r="AD11" s="894"/>
      <c r="AE11" s="894"/>
      <c r="AF11" s="894"/>
      <c r="AG11" s="894"/>
      <c r="AH11" s="894"/>
      <c r="AI11" s="894"/>
      <c r="AJ11" s="894"/>
      <c r="AK11" s="894"/>
      <c r="AL11" s="894"/>
      <c r="AM11" s="894"/>
      <c r="AN11" s="894"/>
      <c r="AO11" s="135"/>
      <c r="AP11" s="135"/>
      <c r="AQ11" s="135"/>
    </row>
    <row r="12" spans="3:44" ht="15.95" customHeight="1" x14ac:dyDescent="0.25">
      <c r="C12" s="135"/>
      <c r="D12" s="135"/>
      <c r="E12" s="135"/>
      <c r="F12" s="472"/>
      <c r="G12" s="472"/>
      <c r="H12" s="472"/>
      <c r="I12" s="472"/>
      <c r="J12" s="472"/>
      <c r="K12" s="472"/>
      <c r="L12" s="472"/>
      <c r="M12" s="472"/>
      <c r="N12" s="472"/>
      <c r="O12" s="472"/>
      <c r="P12" s="472"/>
      <c r="Q12" s="472"/>
      <c r="R12" s="472"/>
      <c r="S12" s="472"/>
      <c r="T12" s="472"/>
      <c r="U12" s="472"/>
      <c r="V12" s="472"/>
      <c r="W12" s="472"/>
      <c r="X12" s="472"/>
      <c r="Y12" s="472"/>
      <c r="Z12" s="472"/>
      <c r="AA12" s="472"/>
      <c r="AB12" s="472"/>
      <c r="AC12" s="472"/>
      <c r="AD12" s="472"/>
      <c r="AE12" s="472"/>
      <c r="AF12" s="472"/>
      <c r="AG12" s="472"/>
      <c r="AH12" s="472"/>
      <c r="AI12" s="472"/>
      <c r="AJ12" s="472"/>
      <c r="AK12" s="472"/>
      <c r="AL12" s="472"/>
      <c r="AM12" s="472"/>
      <c r="AN12" s="472"/>
      <c r="AO12" s="135"/>
      <c r="AP12" s="135"/>
      <c r="AQ12" s="135"/>
    </row>
    <row r="13" spans="3:44" ht="15.95" customHeight="1" thickBot="1" x14ac:dyDescent="0.3">
      <c r="C13" s="134" t="s">
        <v>1904</v>
      </c>
      <c r="D13" s="134"/>
      <c r="E13" s="134"/>
      <c r="F13" s="134"/>
      <c r="G13" s="134"/>
      <c r="H13" s="134"/>
      <c r="I13" s="63"/>
      <c r="J13" s="63"/>
      <c r="K13" s="63"/>
      <c r="L13" s="63"/>
      <c r="M13" s="63"/>
      <c r="N13" s="63"/>
      <c r="O13" s="63"/>
      <c r="P13" s="63"/>
      <c r="Q13" s="63"/>
      <c r="R13" s="63"/>
      <c r="S13" s="63"/>
      <c r="T13" s="422"/>
      <c r="U13" s="422"/>
      <c r="V13" s="422"/>
      <c r="W13" s="135"/>
      <c r="X13" s="422"/>
      <c r="Y13" s="422"/>
      <c r="Z13" s="422"/>
      <c r="AA13" s="422"/>
      <c r="AB13" s="422"/>
      <c r="AC13" s="422"/>
      <c r="AD13" s="135"/>
      <c r="AE13" s="422"/>
      <c r="AF13" s="422"/>
      <c r="AG13" s="422"/>
      <c r="AH13" s="422"/>
      <c r="AI13" s="422"/>
      <c r="AJ13" s="422"/>
      <c r="AK13" s="135"/>
      <c r="AL13" s="422"/>
      <c r="AM13" s="422"/>
      <c r="AN13" s="422"/>
      <c r="AO13" s="422"/>
      <c r="AP13" s="422"/>
      <c r="AQ13" s="422"/>
    </row>
    <row r="14" spans="3:44" ht="15.95" customHeight="1" thickBot="1" x14ac:dyDescent="0.3">
      <c r="C14" s="825"/>
      <c r="D14" s="810"/>
      <c r="E14" s="810"/>
      <c r="F14" s="810"/>
      <c r="G14" s="810"/>
      <c r="H14" s="811"/>
      <c r="I14" s="63"/>
      <c r="J14" s="63"/>
      <c r="K14" s="63"/>
      <c r="L14" s="63"/>
      <c r="M14" s="63"/>
      <c r="N14" s="63"/>
      <c r="O14" s="63"/>
      <c r="P14" s="63"/>
      <c r="Q14" s="63"/>
      <c r="R14" s="63"/>
      <c r="S14" s="63"/>
      <c r="T14" s="422"/>
      <c r="U14" s="422"/>
      <c r="V14" s="422"/>
      <c r="W14" s="135"/>
      <c r="X14" s="422"/>
      <c r="Y14" s="422"/>
      <c r="Z14" s="422"/>
      <c r="AA14" s="422"/>
      <c r="AB14" s="422"/>
      <c r="AC14" s="422"/>
      <c r="AD14" s="135"/>
      <c r="AE14" s="422"/>
      <c r="AF14" s="422"/>
      <c r="AG14" s="422"/>
      <c r="AH14" s="422"/>
      <c r="AI14" s="422"/>
      <c r="AJ14" s="422"/>
      <c r="AK14" s="135"/>
      <c r="AL14" s="422"/>
      <c r="AM14" s="422"/>
      <c r="AN14" s="422"/>
      <c r="AO14" s="422"/>
      <c r="AP14" s="422"/>
      <c r="AQ14" s="422"/>
    </row>
    <row r="15" spans="3:44" ht="15.95" customHeight="1" x14ac:dyDescent="0.25">
      <c r="C15" s="135"/>
      <c r="D15" s="135"/>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row>
    <row r="16" spans="3:44" ht="15.95" customHeight="1" thickBot="1" x14ac:dyDescent="0.3">
      <c r="C16" s="807" t="s">
        <v>1649</v>
      </c>
      <c r="D16" s="807"/>
      <c r="E16" s="807"/>
      <c r="F16" s="807"/>
      <c r="G16" s="807"/>
      <c r="H16" s="807"/>
      <c r="I16" s="419"/>
      <c r="J16" s="807" t="s">
        <v>1650</v>
      </c>
      <c r="K16" s="807"/>
      <c r="L16" s="807"/>
      <c r="M16" s="807"/>
      <c r="N16" s="807"/>
      <c r="O16" s="807"/>
      <c r="P16" s="419"/>
      <c r="Q16" s="807" t="s">
        <v>1651</v>
      </c>
      <c r="R16" s="807"/>
      <c r="S16" s="807"/>
      <c r="T16" s="807"/>
      <c r="U16" s="807"/>
      <c r="V16" s="807"/>
      <c r="W16" s="419"/>
      <c r="X16" s="807" t="s">
        <v>916</v>
      </c>
      <c r="Y16" s="807"/>
      <c r="Z16" s="807"/>
      <c r="AA16" s="807"/>
      <c r="AB16" s="807"/>
      <c r="AC16" s="807"/>
      <c r="AD16" s="419"/>
      <c r="AE16" s="807" t="s">
        <v>917</v>
      </c>
      <c r="AF16" s="807"/>
      <c r="AG16" s="807"/>
      <c r="AH16" s="807"/>
      <c r="AI16" s="807"/>
      <c r="AJ16" s="807"/>
      <c r="AK16" s="419"/>
      <c r="AL16" s="807" t="s">
        <v>84</v>
      </c>
      <c r="AM16" s="807"/>
      <c r="AN16" s="807"/>
      <c r="AO16" s="807"/>
      <c r="AP16" s="807"/>
      <c r="AQ16" s="807"/>
    </row>
    <row r="17" spans="3:43" ht="15.95" customHeight="1" thickBot="1" x14ac:dyDescent="0.3">
      <c r="C17" s="825"/>
      <c r="D17" s="810"/>
      <c r="E17" s="810"/>
      <c r="F17" s="810"/>
      <c r="G17" s="810"/>
      <c r="H17" s="811"/>
      <c r="I17" s="419"/>
      <c r="J17" s="825"/>
      <c r="K17" s="810"/>
      <c r="L17" s="810"/>
      <c r="M17" s="810"/>
      <c r="N17" s="810"/>
      <c r="O17" s="811"/>
      <c r="P17" s="419"/>
      <c r="Q17" s="825"/>
      <c r="R17" s="810"/>
      <c r="S17" s="810"/>
      <c r="T17" s="810"/>
      <c r="U17" s="810"/>
      <c r="V17" s="811"/>
      <c r="W17" s="419"/>
      <c r="X17" s="825"/>
      <c r="Y17" s="810"/>
      <c r="Z17" s="810"/>
      <c r="AA17" s="810"/>
      <c r="AB17" s="810"/>
      <c r="AC17" s="811"/>
      <c r="AD17" s="419"/>
      <c r="AE17" s="882"/>
      <c r="AF17" s="883"/>
      <c r="AG17" s="883"/>
      <c r="AH17" s="883"/>
      <c r="AI17" s="883"/>
      <c r="AJ17" s="884"/>
      <c r="AK17" s="419"/>
      <c r="AL17" s="882"/>
      <c r="AM17" s="883"/>
      <c r="AN17" s="883"/>
      <c r="AO17" s="883"/>
      <c r="AP17" s="883"/>
      <c r="AQ17" s="884"/>
    </row>
    <row r="18" spans="3:43" ht="15.95" customHeight="1" x14ac:dyDescent="0.25">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c r="AJ18" s="419"/>
      <c r="AK18" s="419"/>
      <c r="AL18" s="419"/>
      <c r="AM18" s="419"/>
      <c r="AN18" s="419"/>
      <c r="AO18" s="419"/>
      <c r="AP18" s="419"/>
      <c r="AQ18" s="419"/>
    </row>
    <row r="19" spans="3:43" ht="15.95" customHeight="1" thickBot="1" x14ac:dyDescent="0.3">
      <c r="C19" s="807" t="s">
        <v>918</v>
      </c>
      <c r="D19" s="807"/>
      <c r="E19" s="807"/>
      <c r="F19" s="807"/>
      <c r="G19" s="807"/>
      <c r="H19" s="807"/>
      <c r="I19" s="419"/>
      <c r="J19" s="807" t="s">
        <v>937</v>
      </c>
      <c r="K19" s="807"/>
      <c r="L19" s="807"/>
      <c r="M19" s="807"/>
      <c r="N19" s="807"/>
      <c r="O19" s="807"/>
      <c r="P19" s="419"/>
      <c r="Q19" s="807" t="s">
        <v>920</v>
      </c>
      <c r="R19" s="807"/>
      <c r="S19" s="807"/>
      <c r="T19" s="807"/>
      <c r="U19" s="807"/>
      <c r="V19" s="807"/>
      <c r="W19" s="419"/>
      <c r="X19" s="815" t="s">
        <v>2352</v>
      </c>
      <c r="Y19" s="807"/>
      <c r="Z19" s="807"/>
      <c r="AA19" s="807"/>
      <c r="AB19" s="807"/>
      <c r="AC19" s="807"/>
      <c r="AD19" s="419"/>
      <c r="AE19" s="815" t="s">
        <v>2353</v>
      </c>
      <c r="AF19" s="807"/>
      <c r="AG19" s="807"/>
      <c r="AH19" s="807"/>
      <c r="AI19" s="807"/>
      <c r="AJ19" s="807"/>
      <c r="AK19" s="419"/>
      <c r="AL19" s="807"/>
      <c r="AM19" s="807"/>
      <c r="AN19" s="807"/>
      <c r="AO19" s="807"/>
      <c r="AP19" s="807"/>
      <c r="AQ19" s="807"/>
    </row>
    <row r="20" spans="3:43" ht="15.95" customHeight="1" thickBot="1" x14ac:dyDescent="0.3">
      <c r="C20" s="892"/>
      <c r="D20" s="810"/>
      <c r="E20" s="810"/>
      <c r="F20" s="810"/>
      <c r="G20" s="810"/>
      <c r="H20" s="811"/>
      <c r="I20" s="419"/>
      <c r="J20" s="825"/>
      <c r="K20" s="810"/>
      <c r="L20" s="810"/>
      <c r="M20" s="810"/>
      <c r="N20" s="810"/>
      <c r="O20" s="811"/>
      <c r="P20" s="419"/>
      <c r="Q20" s="825"/>
      <c r="R20" s="810"/>
      <c r="S20" s="810"/>
      <c r="T20" s="810"/>
      <c r="U20" s="810"/>
      <c r="V20" s="811"/>
      <c r="W20" s="419"/>
      <c r="X20" s="825"/>
      <c r="Y20" s="810"/>
      <c r="Z20" s="810"/>
      <c r="AA20" s="810"/>
      <c r="AB20" s="810"/>
      <c r="AC20" s="811"/>
      <c r="AD20" s="419"/>
      <c r="AE20" s="868"/>
      <c r="AF20" s="869"/>
      <c r="AG20" s="869"/>
      <c r="AH20" s="869"/>
      <c r="AI20" s="869"/>
      <c r="AJ20" s="870"/>
      <c r="AK20" s="419"/>
      <c r="AL20" s="807"/>
      <c r="AM20" s="807"/>
      <c r="AN20" s="807"/>
      <c r="AO20" s="807"/>
      <c r="AP20" s="807"/>
      <c r="AQ20" s="807"/>
    </row>
    <row r="21" spans="3:43" ht="15.95" customHeight="1" x14ac:dyDescent="0.25">
      <c r="C21" s="145"/>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row>
    <row r="22" spans="3:43" ht="15.95" customHeight="1" x14ac:dyDescent="0.25">
      <c r="C22" s="242"/>
      <c r="D22" s="243"/>
      <c r="E22" s="243"/>
      <c r="F22" s="243"/>
      <c r="G22" s="243"/>
      <c r="H22" s="243"/>
      <c r="I22" s="421"/>
      <c r="J22" s="243"/>
      <c r="K22" s="243"/>
      <c r="L22" s="243"/>
      <c r="M22" s="243"/>
      <c r="N22" s="243"/>
      <c r="O22" s="243"/>
      <c r="P22" s="421"/>
      <c r="Q22" s="243"/>
      <c r="R22" s="243"/>
      <c r="S22" s="243"/>
      <c r="T22" s="243"/>
      <c r="U22" s="243"/>
      <c r="V22" s="243"/>
      <c r="W22" s="421"/>
      <c r="X22" s="243"/>
      <c r="Y22" s="243"/>
      <c r="Z22" s="243"/>
      <c r="AA22" s="243"/>
      <c r="AB22" s="243"/>
      <c r="AC22" s="243"/>
      <c r="AD22" s="421"/>
      <c r="AE22" s="245"/>
      <c r="AF22" s="245"/>
      <c r="AG22" s="245"/>
      <c r="AH22" s="245"/>
      <c r="AI22" s="245"/>
      <c r="AJ22" s="245"/>
      <c r="AK22" s="421"/>
      <c r="AL22" s="421"/>
      <c r="AM22" s="421"/>
      <c r="AN22" s="421"/>
      <c r="AO22" s="421"/>
      <c r="AP22" s="421"/>
      <c r="AQ22" s="421"/>
    </row>
    <row r="23" spans="3:43" ht="15.95" customHeight="1" x14ac:dyDescent="0.25">
      <c r="C23" s="242"/>
      <c r="D23" s="243"/>
      <c r="E23" s="243"/>
      <c r="F23" s="893" t="s">
        <v>1652</v>
      </c>
      <c r="G23" s="893"/>
      <c r="H23" s="893"/>
      <c r="I23" s="893"/>
      <c r="J23" s="893"/>
      <c r="K23" s="893"/>
      <c r="L23" s="893"/>
      <c r="M23" s="893"/>
      <c r="N23" s="893"/>
      <c r="O23" s="893"/>
      <c r="P23" s="893"/>
      <c r="Q23" s="893"/>
      <c r="R23" s="893"/>
      <c r="S23" s="893"/>
      <c r="T23" s="893"/>
      <c r="U23" s="893"/>
      <c r="V23" s="893"/>
      <c r="W23" s="893"/>
      <c r="X23" s="893"/>
      <c r="Y23" s="893"/>
      <c r="Z23" s="893"/>
      <c r="AA23" s="893"/>
      <c r="AB23" s="893"/>
      <c r="AC23" s="893"/>
      <c r="AD23" s="893"/>
      <c r="AE23" s="893"/>
      <c r="AF23" s="893"/>
      <c r="AG23" s="893"/>
      <c r="AH23" s="893"/>
      <c r="AI23" s="893"/>
      <c r="AJ23" s="893"/>
      <c r="AK23" s="893"/>
      <c r="AL23" s="893"/>
      <c r="AM23" s="893"/>
      <c r="AN23" s="893"/>
      <c r="AO23" s="421"/>
      <c r="AP23" s="421"/>
      <c r="AQ23" s="421"/>
    </row>
    <row r="24" spans="3:43" ht="15.95" customHeight="1" x14ac:dyDescent="0.25">
      <c r="C24" s="242"/>
      <c r="D24" s="243"/>
      <c r="E24" s="243"/>
      <c r="F24" s="874" t="s">
        <v>932</v>
      </c>
      <c r="G24" s="874"/>
      <c r="H24" s="874"/>
      <c r="I24" s="874"/>
      <c r="J24" s="874"/>
      <c r="K24" s="874"/>
      <c r="L24" s="874"/>
      <c r="M24" s="874"/>
      <c r="N24" s="874"/>
      <c r="O24" s="874"/>
      <c r="P24" s="874"/>
      <c r="Q24" s="874"/>
      <c r="R24" s="874"/>
      <c r="S24" s="874"/>
      <c r="T24" s="874"/>
      <c r="U24" s="874"/>
      <c r="V24" s="874"/>
      <c r="W24" s="874"/>
      <c r="X24" s="874"/>
      <c r="Y24" s="874"/>
      <c r="Z24" s="874"/>
      <c r="AA24" s="874"/>
      <c r="AB24" s="874"/>
      <c r="AC24" s="874"/>
      <c r="AD24" s="874"/>
      <c r="AE24" s="874"/>
      <c r="AF24" s="874"/>
      <c r="AG24" s="874"/>
      <c r="AH24" s="874"/>
      <c r="AI24" s="874"/>
      <c r="AJ24" s="874"/>
      <c r="AK24" s="874"/>
      <c r="AL24" s="874"/>
      <c r="AM24" s="874"/>
      <c r="AN24" s="874"/>
      <c r="AO24" s="421"/>
      <c r="AP24" s="421"/>
      <c r="AQ24" s="421"/>
    </row>
    <row r="25" spans="3:43" ht="15.95" customHeight="1" x14ac:dyDescent="0.25">
      <c r="C25" s="242"/>
      <c r="D25" s="243"/>
      <c r="E25" s="243"/>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246"/>
      <c r="AE25" s="246"/>
      <c r="AF25" s="246"/>
      <c r="AG25" s="246"/>
      <c r="AH25" s="246"/>
      <c r="AI25" s="246"/>
      <c r="AJ25" s="246"/>
      <c r="AK25" s="246"/>
      <c r="AL25" s="246"/>
      <c r="AM25" s="246"/>
      <c r="AN25" s="246"/>
      <c r="AO25" s="421"/>
      <c r="AP25" s="421"/>
      <c r="AQ25" s="421"/>
    </row>
    <row r="26" spans="3:43" ht="15.95" customHeight="1" thickBot="1" x14ac:dyDescent="0.3">
      <c r="C26" s="891" t="s">
        <v>981</v>
      </c>
      <c r="D26" s="891"/>
      <c r="E26" s="891"/>
      <c r="F26" s="891"/>
      <c r="G26" s="891"/>
      <c r="H26" s="891"/>
      <c r="I26" s="246"/>
      <c r="J26" s="65"/>
      <c r="K26" s="65"/>
      <c r="L26" s="65"/>
      <c r="M26" s="65"/>
      <c r="N26" s="65"/>
      <c r="O26" s="65"/>
      <c r="P26" s="246"/>
      <c r="Q26" s="891" t="s">
        <v>933</v>
      </c>
      <c r="R26" s="891"/>
      <c r="S26" s="891"/>
      <c r="T26" s="891"/>
      <c r="U26" s="891"/>
      <c r="V26" s="891"/>
      <c r="W26" s="246"/>
      <c r="X26" s="891" t="s">
        <v>934</v>
      </c>
      <c r="Y26" s="891"/>
      <c r="Z26" s="891"/>
      <c r="AA26" s="891"/>
      <c r="AB26" s="891"/>
      <c r="AC26" s="891"/>
      <c r="AD26" s="246"/>
      <c r="AE26" s="891" t="s">
        <v>935</v>
      </c>
      <c r="AF26" s="891"/>
      <c r="AG26" s="891"/>
      <c r="AH26" s="891"/>
      <c r="AI26" s="891"/>
      <c r="AJ26" s="891"/>
      <c r="AK26" s="246"/>
      <c r="AL26" s="891" t="s">
        <v>936</v>
      </c>
      <c r="AM26" s="891"/>
      <c r="AN26" s="891"/>
      <c r="AO26" s="891"/>
      <c r="AP26" s="891"/>
      <c r="AQ26" s="891"/>
    </row>
    <row r="27" spans="3:43" ht="15.95" customHeight="1" thickBot="1" x14ac:dyDescent="0.3">
      <c r="C27" s="829"/>
      <c r="D27" s="830"/>
      <c r="E27" s="830"/>
      <c r="F27" s="830"/>
      <c r="G27" s="830"/>
      <c r="H27" s="830"/>
      <c r="I27" s="830"/>
      <c r="J27" s="830"/>
      <c r="K27" s="830"/>
      <c r="L27" s="830"/>
      <c r="M27" s="830"/>
      <c r="N27" s="830"/>
      <c r="O27" s="831"/>
      <c r="P27" s="144"/>
      <c r="Q27" s="825"/>
      <c r="R27" s="810"/>
      <c r="S27" s="810"/>
      <c r="T27" s="810"/>
      <c r="U27" s="810"/>
      <c r="V27" s="811"/>
      <c r="W27" s="144"/>
      <c r="X27" s="826"/>
      <c r="Y27" s="827"/>
      <c r="Z27" s="827"/>
      <c r="AA27" s="827"/>
      <c r="AB27" s="827"/>
      <c r="AC27" s="828"/>
      <c r="AD27" s="144"/>
      <c r="AE27" s="812"/>
      <c r="AF27" s="813"/>
      <c r="AG27" s="813"/>
      <c r="AH27" s="813"/>
      <c r="AI27" s="813"/>
      <c r="AJ27" s="814"/>
      <c r="AK27" s="144"/>
      <c r="AL27" s="812"/>
      <c r="AM27" s="813"/>
      <c r="AN27" s="813"/>
      <c r="AO27" s="813"/>
      <c r="AP27" s="813"/>
      <c r="AQ27" s="814"/>
    </row>
    <row r="28" spans="3:43" ht="15.95" customHeight="1" x14ac:dyDescent="0.25">
      <c r="C28" s="135"/>
      <c r="D28" s="135"/>
      <c r="E28" s="135"/>
      <c r="F28" s="135"/>
      <c r="G28" s="135"/>
      <c r="H28" s="135"/>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row>
    <row r="29" spans="3:43" ht="15.95" customHeight="1" x14ac:dyDescent="0.25">
      <c r="C29" s="473"/>
      <c r="D29" s="63"/>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row>
    <row r="30" spans="3:43" ht="15.95" customHeight="1" x14ac:dyDescent="0.25">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row>
    <row r="31" spans="3:43" ht="15.95" customHeight="1" x14ac:dyDescent="0.3">
      <c r="C31" s="63"/>
      <c r="D31" s="63"/>
      <c r="E31" s="63"/>
      <c r="F31" s="889" t="s">
        <v>1653</v>
      </c>
      <c r="G31" s="889"/>
      <c r="H31" s="889"/>
      <c r="I31" s="889"/>
      <c r="J31" s="889"/>
      <c r="K31" s="889"/>
      <c r="L31" s="889"/>
      <c r="M31" s="889"/>
      <c r="N31" s="889"/>
      <c r="O31" s="889"/>
      <c r="P31" s="889"/>
      <c r="Q31" s="889"/>
      <c r="R31" s="889"/>
      <c r="S31" s="889"/>
      <c r="T31" s="889"/>
      <c r="U31" s="889"/>
      <c r="V31" s="889"/>
      <c r="W31" s="889"/>
      <c r="X31" s="889"/>
      <c r="Y31" s="889"/>
      <c r="Z31" s="889"/>
      <c r="AA31" s="889"/>
      <c r="AB31" s="889"/>
      <c r="AC31" s="889"/>
      <c r="AD31" s="889"/>
      <c r="AE31" s="889"/>
      <c r="AF31" s="889"/>
      <c r="AG31" s="889"/>
      <c r="AH31" s="889"/>
      <c r="AI31" s="889"/>
      <c r="AJ31" s="889"/>
      <c r="AK31" s="889"/>
      <c r="AL31" s="889"/>
      <c r="AM31" s="889"/>
      <c r="AN31" s="889"/>
      <c r="AO31" s="63"/>
      <c r="AP31" s="63"/>
      <c r="AQ31" s="63"/>
    </row>
    <row r="32" spans="3:43" ht="15.95" customHeight="1" x14ac:dyDescent="0.25">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row>
    <row r="33" spans="3:43" ht="15.95" customHeight="1" thickBot="1" x14ac:dyDescent="0.3">
      <c r="C33" s="807" t="s">
        <v>110</v>
      </c>
      <c r="D33" s="807"/>
      <c r="E33" s="807"/>
      <c r="F33" s="807"/>
      <c r="G33" s="807"/>
      <c r="H33" s="807"/>
      <c r="I33" s="419"/>
      <c r="J33" s="807" t="s">
        <v>1654</v>
      </c>
      <c r="K33" s="807"/>
      <c r="L33" s="807"/>
      <c r="M33" s="807"/>
      <c r="N33" s="807"/>
      <c r="O33" s="807"/>
      <c r="P33" s="419"/>
      <c r="Q33" s="807" t="s">
        <v>1655</v>
      </c>
      <c r="R33" s="807"/>
      <c r="S33" s="807"/>
      <c r="T33" s="807"/>
      <c r="U33" s="807"/>
      <c r="V33" s="807"/>
      <c r="W33" s="419"/>
      <c r="X33" s="807" t="s">
        <v>82</v>
      </c>
      <c r="Y33" s="807"/>
      <c r="Z33" s="807"/>
      <c r="AA33" s="807"/>
      <c r="AB33" s="807"/>
      <c r="AC33" s="807"/>
      <c r="AD33" s="419"/>
      <c r="AE33" s="807" t="s">
        <v>83</v>
      </c>
      <c r="AF33" s="807"/>
      <c r="AG33" s="807"/>
      <c r="AH33" s="807"/>
      <c r="AI33" s="807"/>
      <c r="AJ33" s="807"/>
      <c r="AK33" s="419"/>
      <c r="AL33" s="807" t="s">
        <v>84</v>
      </c>
      <c r="AM33" s="807"/>
      <c r="AN33" s="807"/>
      <c r="AO33" s="807"/>
      <c r="AP33" s="807"/>
      <c r="AQ33" s="807"/>
    </row>
    <row r="34" spans="3:43" s="63" customFormat="1" ht="15.95" customHeight="1" thickBot="1" x14ac:dyDescent="0.3">
      <c r="C34" s="825"/>
      <c r="D34" s="810"/>
      <c r="E34" s="810"/>
      <c r="F34" s="810"/>
      <c r="G34" s="810"/>
      <c r="H34" s="811"/>
      <c r="I34" s="419"/>
      <c r="J34" s="825"/>
      <c r="K34" s="810"/>
      <c r="L34" s="810"/>
      <c r="M34" s="810"/>
      <c r="N34" s="810"/>
      <c r="O34" s="811"/>
      <c r="P34" s="419"/>
      <c r="Q34" s="825"/>
      <c r="R34" s="810"/>
      <c r="S34" s="810"/>
      <c r="T34" s="810"/>
      <c r="U34" s="810"/>
      <c r="V34" s="811"/>
      <c r="W34" s="419"/>
      <c r="X34" s="825"/>
      <c r="Y34" s="810"/>
      <c r="Z34" s="810"/>
      <c r="AA34" s="810"/>
      <c r="AB34" s="810"/>
      <c r="AC34" s="811"/>
      <c r="AD34" s="419"/>
      <c r="AE34" s="882"/>
      <c r="AF34" s="883"/>
      <c r="AG34" s="883"/>
      <c r="AH34" s="883"/>
      <c r="AI34" s="883"/>
      <c r="AJ34" s="884"/>
      <c r="AK34" s="419"/>
      <c r="AL34" s="882"/>
      <c r="AM34" s="883"/>
      <c r="AN34" s="883"/>
      <c r="AO34" s="883"/>
      <c r="AP34" s="883"/>
      <c r="AQ34" s="884"/>
    </row>
    <row r="35" spans="3:43" s="63" customFormat="1" ht="15.95" customHeight="1" x14ac:dyDescent="0.25">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c r="AF35" s="419"/>
      <c r="AG35" s="419"/>
      <c r="AH35" s="419"/>
      <c r="AI35" s="419"/>
      <c r="AJ35" s="419"/>
      <c r="AK35" s="419"/>
      <c r="AL35" s="419"/>
      <c r="AM35" s="419"/>
      <c r="AN35" s="419"/>
      <c r="AO35" s="419"/>
      <c r="AP35" s="419"/>
      <c r="AQ35" s="419"/>
    </row>
    <row r="36" spans="3:43" s="63" customFormat="1" ht="15.95" customHeight="1" thickBot="1" x14ac:dyDescent="0.3">
      <c r="C36" s="807" t="s">
        <v>254</v>
      </c>
      <c r="D36" s="807"/>
      <c r="E36" s="807"/>
      <c r="F36" s="807"/>
      <c r="G36" s="807"/>
      <c r="H36" s="807"/>
      <c r="I36" s="419"/>
      <c r="J36" s="807" t="s">
        <v>89</v>
      </c>
      <c r="K36" s="807"/>
      <c r="L36" s="807"/>
      <c r="M36" s="807"/>
      <c r="N36" s="807"/>
      <c r="O36" s="807"/>
      <c r="P36" s="419"/>
      <c r="Q36" s="807" t="s">
        <v>85</v>
      </c>
      <c r="R36" s="807"/>
      <c r="S36" s="807"/>
      <c r="T36" s="807"/>
      <c r="U36" s="807"/>
      <c r="V36" s="807"/>
      <c r="W36" s="419"/>
      <c r="X36" s="815" t="s">
        <v>2354</v>
      </c>
      <c r="Y36" s="807"/>
      <c r="Z36" s="807"/>
      <c r="AA36" s="807"/>
      <c r="AB36" s="807"/>
      <c r="AC36" s="807"/>
      <c r="AD36" s="419"/>
      <c r="AE36" s="815" t="s">
        <v>2355</v>
      </c>
      <c r="AF36" s="807"/>
      <c r="AG36" s="807"/>
      <c r="AH36" s="807"/>
      <c r="AI36" s="807"/>
      <c r="AJ36" s="807"/>
      <c r="AK36" s="419"/>
      <c r="AL36" s="807"/>
      <c r="AM36" s="807"/>
      <c r="AN36" s="807"/>
      <c r="AO36" s="807"/>
      <c r="AP36" s="807"/>
      <c r="AQ36" s="807"/>
    </row>
    <row r="37" spans="3:43" s="63" customFormat="1" ht="15.95" customHeight="1" thickBot="1" x14ac:dyDescent="0.3">
      <c r="C37" s="871"/>
      <c r="D37" s="810"/>
      <c r="E37" s="810"/>
      <c r="F37" s="810"/>
      <c r="G37" s="810"/>
      <c r="H37" s="811"/>
      <c r="I37" s="419"/>
      <c r="J37" s="825"/>
      <c r="K37" s="810"/>
      <c r="L37" s="810"/>
      <c r="M37" s="810"/>
      <c r="N37" s="810"/>
      <c r="O37" s="811"/>
      <c r="P37" s="419"/>
      <c r="Q37" s="825"/>
      <c r="R37" s="810"/>
      <c r="S37" s="810"/>
      <c r="T37" s="810"/>
      <c r="U37" s="810"/>
      <c r="V37" s="811"/>
      <c r="W37" s="419"/>
      <c r="X37" s="825"/>
      <c r="Y37" s="810"/>
      <c r="Z37" s="810"/>
      <c r="AA37" s="810"/>
      <c r="AB37" s="810"/>
      <c r="AC37" s="811"/>
      <c r="AD37" s="419"/>
      <c r="AE37" s="868"/>
      <c r="AF37" s="869"/>
      <c r="AG37" s="869"/>
      <c r="AH37" s="869"/>
      <c r="AI37" s="869"/>
      <c r="AJ37" s="870"/>
      <c r="AK37" s="419"/>
      <c r="AL37" s="807"/>
      <c r="AM37" s="807"/>
      <c r="AN37" s="807"/>
      <c r="AO37" s="807"/>
      <c r="AP37" s="807"/>
      <c r="AQ37" s="807"/>
    </row>
    <row r="38" spans="3:43" s="63" customFormat="1" ht="15.95" customHeight="1" x14ac:dyDescent="0.25">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row>
    <row r="39" spans="3:43" s="63" customFormat="1" ht="15.95" hidden="1" customHeight="1" x14ac:dyDescent="0.25">
      <c r="F39" s="890" t="s">
        <v>1656</v>
      </c>
      <c r="G39" s="890"/>
      <c r="H39" s="890"/>
      <c r="I39" s="890"/>
      <c r="J39" s="890"/>
      <c r="K39" s="890"/>
      <c r="L39" s="890"/>
      <c r="M39" s="890"/>
      <c r="N39" s="890"/>
      <c r="O39" s="890"/>
      <c r="P39" s="890"/>
      <c r="Q39" s="890"/>
      <c r="R39" s="890"/>
      <c r="S39" s="890"/>
      <c r="T39" s="890"/>
      <c r="U39" s="890"/>
      <c r="V39" s="890"/>
      <c r="W39" s="890"/>
      <c r="X39" s="890"/>
      <c r="Y39" s="890"/>
      <c r="Z39" s="890"/>
      <c r="AA39" s="890"/>
      <c r="AB39" s="890"/>
      <c r="AC39" s="890"/>
      <c r="AD39" s="890"/>
      <c r="AE39" s="890"/>
      <c r="AF39" s="890"/>
      <c r="AG39" s="890"/>
      <c r="AH39" s="890"/>
      <c r="AI39" s="890"/>
      <c r="AJ39" s="890"/>
      <c r="AK39" s="890"/>
      <c r="AL39" s="890"/>
      <c r="AM39" s="890"/>
      <c r="AN39" s="890"/>
    </row>
    <row r="40" spans="3:43" s="63" customFormat="1" ht="15.95" hidden="1" customHeight="1" x14ac:dyDescent="0.25"/>
    <row r="41" spans="3:43" s="63" customFormat="1" ht="15.95" hidden="1" customHeight="1" thickBot="1" x14ac:dyDescent="0.3">
      <c r="C41" s="891" t="s">
        <v>1657</v>
      </c>
      <c r="D41" s="891"/>
      <c r="E41" s="891"/>
      <c r="F41" s="891"/>
      <c r="G41" s="891"/>
      <c r="H41" s="891"/>
      <c r="I41" s="246"/>
      <c r="J41" s="65"/>
      <c r="K41" s="65"/>
      <c r="L41" s="65"/>
      <c r="M41" s="65"/>
      <c r="N41" s="65"/>
      <c r="O41" s="65"/>
      <c r="P41" s="246"/>
      <c r="Q41" s="891" t="s">
        <v>1658</v>
      </c>
      <c r="R41" s="891"/>
      <c r="S41" s="891"/>
      <c r="T41" s="891"/>
      <c r="U41" s="891"/>
      <c r="V41" s="891"/>
      <c r="W41" s="246"/>
      <c r="X41" s="891" t="s">
        <v>1659</v>
      </c>
      <c r="Y41" s="891"/>
      <c r="Z41" s="891"/>
      <c r="AA41" s="891"/>
      <c r="AB41" s="891"/>
      <c r="AC41" s="891"/>
      <c r="AD41" s="246"/>
      <c r="AE41" s="891" t="s">
        <v>1660</v>
      </c>
      <c r="AF41" s="891"/>
      <c r="AG41" s="891"/>
      <c r="AH41" s="891"/>
      <c r="AI41" s="891"/>
      <c r="AJ41" s="891"/>
      <c r="AK41" s="246"/>
      <c r="AL41" s="891" t="s">
        <v>1661</v>
      </c>
      <c r="AM41" s="891"/>
      <c r="AN41" s="891"/>
      <c r="AO41" s="891"/>
      <c r="AP41" s="891"/>
      <c r="AQ41" s="891"/>
    </row>
    <row r="42" spans="3:43" s="63" customFormat="1" ht="15.95" hidden="1" customHeight="1" thickBot="1" x14ac:dyDescent="0.3">
      <c r="C42" s="829"/>
      <c r="D42" s="830"/>
      <c r="E42" s="830"/>
      <c r="F42" s="830"/>
      <c r="G42" s="830"/>
      <c r="H42" s="830"/>
      <c r="I42" s="830"/>
      <c r="J42" s="830"/>
      <c r="K42" s="830"/>
      <c r="L42" s="830"/>
      <c r="M42" s="830"/>
      <c r="N42" s="830"/>
      <c r="O42" s="831"/>
      <c r="P42" s="144"/>
      <c r="Q42" s="825"/>
      <c r="R42" s="810"/>
      <c r="S42" s="810"/>
      <c r="T42" s="810"/>
      <c r="U42" s="810"/>
      <c r="V42" s="811"/>
      <c r="W42" s="144"/>
      <c r="X42" s="826"/>
      <c r="Y42" s="827"/>
      <c r="Z42" s="827"/>
      <c r="AA42" s="827"/>
      <c r="AB42" s="827"/>
      <c r="AC42" s="828"/>
      <c r="AD42" s="144"/>
      <c r="AE42" s="896"/>
      <c r="AF42" s="897"/>
      <c r="AG42" s="897"/>
      <c r="AH42" s="897"/>
      <c r="AI42" s="897"/>
      <c r="AJ42" s="898"/>
      <c r="AK42" s="144"/>
      <c r="AL42" s="896"/>
      <c r="AM42" s="897"/>
      <c r="AN42" s="897"/>
      <c r="AO42" s="897"/>
      <c r="AP42" s="897"/>
      <c r="AQ42" s="898"/>
    </row>
    <row r="43" spans="3:43" s="63" customFormat="1" ht="15.95" hidden="1" customHeight="1" x14ac:dyDescent="0.25"/>
    <row r="44" spans="3:43" s="63" customFormat="1" ht="15.95" hidden="1" customHeight="1" x14ac:dyDescent="0.25"/>
    <row r="45" spans="3:43" s="63" customFormat="1" ht="15.95" customHeight="1" x14ac:dyDescent="0.25"/>
    <row r="46" spans="3:43" s="63" customFormat="1" ht="15.95" customHeight="1" x14ac:dyDescent="0.3">
      <c r="F46" s="895" t="s">
        <v>256</v>
      </c>
      <c r="G46" s="895"/>
      <c r="H46" s="895"/>
      <c r="I46" s="895"/>
      <c r="J46" s="895"/>
      <c r="K46" s="895"/>
      <c r="L46" s="895"/>
      <c r="M46" s="895"/>
      <c r="N46" s="895"/>
      <c r="O46" s="895"/>
      <c r="P46" s="895"/>
      <c r="Q46" s="895"/>
      <c r="R46" s="895"/>
      <c r="S46" s="895"/>
      <c r="T46" s="895"/>
      <c r="U46" s="895"/>
      <c r="V46" s="895"/>
      <c r="W46" s="895"/>
      <c r="X46" s="895"/>
      <c r="Y46" s="895"/>
      <c r="Z46" s="895"/>
      <c r="AA46" s="895"/>
      <c r="AB46" s="895"/>
      <c r="AC46" s="895"/>
      <c r="AD46" s="895"/>
      <c r="AE46" s="895"/>
      <c r="AF46" s="895"/>
      <c r="AG46" s="895"/>
      <c r="AH46" s="895"/>
      <c r="AI46" s="895"/>
      <c r="AJ46" s="895"/>
      <c r="AK46" s="895"/>
      <c r="AL46" s="895"/>
      <c r="AM46" s="895"/>
      <c r="AN46" s="895"/>
    </row>
    <row r="47" spans="3:43" s="63" customFormat="1" ht="15.95" customHeight="1" x14ac:dyDescent="0.25"/>
    <row r="48" spans="3:43" s="63" customFormat="1" ht="15.95" customHeight="1" thickBot="1" x14ac:dyDescent="0.3">
      <c r="C48" s="807" t="s">
        <v>110</v>
      </c>
      <c r="D48" s="807"/>
      <c r="E48" s="807"/>
      <c r="F48" s="807"/>
      <c r="G48" s="807"/>
      <c r="H48" s="807"/>
      <c r="I48" s="419"/>
      <c r="J48" s="807" t="s">
        <v>1654</v>
      </c>
      <c r="K48" s="807"/>
      <c r="L48" s="807"/>
      <c r="M48" s="807"/>
      <c r="N48" s="807"/>
      <c r="O48" s="807"/>
      <c r="P48" s="419"/>
      <c r="Q48" s="807" t="s">
        <v>1655</v>
      </c>
      <c r="R48" s="807"/>
      <c r="S48" s="807"/>
      <c r="T48" s="807"/>
      <c r="U48" s="807"/>
      <c r="V48" s="807"/>
      <c r="W48" s="419"/>
      <c r="X48" s="807" t="s">
        <v>82</v>
      </c>
      <c r="Y48" s="807"/>
      <c r="Z48" s="807"/>
      <c r="AA48" s="807"/>
      <c r="AB48" s="807"/>
      <c r="AC48" s="807"/>
      <c r="AD48" s="419"/>
      <c r="AE48" s="807" t="s">
        <v>83</v>
      </c>
      <c r="AF48" s="807"/>
      <c r="AG48" s="807"/>
      <c r="AH48" s="807"/>
      <c r="AI48" s="807"/>
      <c r="AJ48" s="807"/>
      <c r="AK48" s="419"/>
      <c r="AL48" s="807" t="s">
        <v>84</v>
      </c>
      <c r="AM48" s="807"/>
      <c r="AN48" s="807"/>
      <c r="AO48" s="807"/>
      <c r="AP48" s="807"/>
      <c r="AQ48" s="807"/>
    </row>
    <row r="49" spans="3:43" s="63" customFormat="1" ht="15.95" customHeight="1" thickBot="1" x14ac:dyDescent="0.3">
      <c r="C49" s="825"/>
      <c r="D49" s="810"/>
      <c r="E49" s="810"/>
      <c r="F49" s="810"/>
      <c r="G49" s="810"/>
      <c r="H49" s="811"/>
      <c r="I49" s="419"/>
      <c r="J49" s="825"/>
      <c r="K49" s="810"/>
      <c r="L49" s="810"/>
      <c r="M49" s="810"/>
      <c r="N49" s="810"/>
      <c r="O49" s="811"/>
      <c r="P49" s="419"/>
      <c r="Q49" s="825"/>
      <c r="R49" s="810"/>
      <c r="S49" s="810"/>
      <c r="T49" s="810"/>
      <c r="U49" s="810"/>
      <c r="V49" s="811"/>
      <c r="W49" s="419"/>
      <c r="X49" s="825"/>
      <c r="Y49" s="810"/>
      <c r="Z49" s="810"/>
      <c r="AA49" s="810"/>
      <c r="AB49" s="810"/>
      <c r="AC49" s="811"/>
      <c r="AD49" s="419"/>
      <c r="AE49" s="882"/>
      <c r="AF49" s="883"/>
      <c r="AG49" s="883"/>
      <c r="AH49" s="883"/>
      <c r="AI49" s="883"/>
      <c r="AJ49" s="884"/>
      <c r="AK49" s="419"/>
      <c r="AL49" s="882"/>
      <c r="AM49" s="883"/>
      <c r="AN49" s="883"/>
      <c r="AO49" s="883"/>
      <c r="AP49" s="883"/>
      <c r="AQ49" s="884"/>
    </row>
    <row r="50" spans="3:43" s="63" customFormat="1" ht="15.95" customHeight="1" x14ac:dyDescent="0.25">
      <c r="C50" s="419"/>
      <c r="D50" s="419"/>
      <c r="E50" s="419"/>
      <c r="F50" s="419"/>
      <c r="G50" s="419"/>
      <c r="H50" s="419"/>
      <c r="I50" s="419"/>
      <c r="J50" s="419"/>
      <c r="K50" s="419"/>
      <c r="L50" s="419"/>
      <c r="M50" s="419"/>
      <c r="N50" s="419"/>
      <c r="O50" s="419"/>
      <c r="P50" s="419"/>
      <c r="Q50" s="419"/>
      <c r="R50" s="419"/>
      <c r="S50" s="419"/>
      <c r="T50" s="419"/>
      <c r="U50" s="419"/>
      <c r="V50" s="419"/>
      <c r="W50" s="419"/>
      <c r="X50" s="419"/>
      <c r="Y50" s="419"/>
      <c r="Z50" s="419"/>
      <c r="AA50" s="419"/>
      <c r="AB50" s="419"/>
      <c r="AC50" s="419"/>
      <c r="AD50" s="419"/>
      <c r="AE50" s="419"/>
      <c r="AF50" s="419"/>
      <c r="AG50" s="419"/>
      <c r="AH50" s="419"/>
      <c r="AI50" s="419"/>
      <c r="AJ50" s="419"/>
      <c r="AK50" s="419"/>
      <c r="AL50" s="419"/>
      <c r="AM50" s="419"/>
      <c r="AN50" s="419"/>
      <c r="AO50" s="419"/>
      <c r="AP50" s="419"/>
      <c r="AQ50" s="419"/>
    </row>
    <row r="51" spans="3:43" s="63" customFormat="1" ht="15.95" customHeight="1" thickBot="1" x14ac:dyDescent="0.3">
      <c r="C51" s="807" t="s">
        <v>254</v>
      </c>
      <c r="D51" s="807"/>
      <c r="E51" s="807"/>
      <c r="F51" s="807"/>
      <c r="G51" s="807"/>
      <c r="H51" s="807"/>
      <c r="I51" s="419"/>
      <c r="J51" s="807" t="s">
        <v>89</v>
      </c>
      <c r="K51" s="807"/>
      <c r="L51" s="807"/>
      <c r="M51" s="807"/>
      <c r="N51" s="807"/>
      <c r="O51" s="807"/>
      <c r="P51" s="419"/>
      <c r="Q51" s="807" t="s">
        <v>85</v>
      </c>
      <c r="R51" s="807"/>
      <c r="S51" s="807"/>
      <c r="T51" s="807"/>
      <c r="U51" s="807"/>
      <c r="V51" s="807"/>
      <c r="W51" s="419"/>
      <c r="X51" s="815" t="s">
        <v>2354</v>
      </c>
      <c r="Y51" s="807"/>
      <c r="Z51" s="807"/>
      <c r="AA51" s="807"/>
      <c r="AB51" s="807"/>
      <c r="AC51" s="807"/>
      <c r="AD51" s="419"/>
      <c r="AE51" s="815" t="s">
        <v>2355</v>
      </c>
      <c r="AF51" s="807"/>
      <c r="AG51" s="807"/>
      <c r="AH51" s="807"/>
      <c r="AI51" s="807"/>
      <c r="AJ51" s="807"/>
      <c r="AK51" s="419"/>
      <c r="AL51" s="807"/>
      <c r="AM51" s="807"/>
      <c r="AN51" s="807"/>
      <c r="AO51" s="807"/>
      <c r="AP51" s="807"/>
      <c r="AQ51" s="807"/>
    </row>
    <row r="52" spans="3:43" s="63" customFormat="1" ht="15.95" customHeight="1" thickBot="1" x14ac:dyDescent="0.3">
      <c r="C52" s="892"/>
      <c r="D52" s="810"/>
      <c r="E52" s="810"/>
      <c r="F52" s="810"/>
      <c r="G52" s="810"/>
      <c r="H52" s="811"/>
      <c r="I52" s="419"/>
      <c r="J52" s="825"/>
      <c r="K52" s="810"/>
      <c r="L52" s="810"/>
      <c r="M52" s="810"/>
      <c r="N52" s="810"/>
      <c r="O52" s="811"/>
      <c r="P52" s="419"/>
      <c r="Q52" s="825"/>
      <c r="R52" s="810"/>
      <c r="S52" s="810"/>
      <c r="T52" s="810"/>
      <c r="U52" s="810"/>
      <c r="V52" s="811"/>
      <c r="W52" s="419"/>
      <c r="X52" s="825"/>
      <c r="Y52" s="810"/>
      <c r="Z52" s="810"/>
      <c r="AA52" s="810"/>
      <c r="AB52" s="810"/>
      <c r="AC52" s="811"/>
      <c r="AD52" s="419"/>
      <c r="AE52" s="868"/>
      <c r="AF52" s="869"/>
      <c r="AG52" s="869"/>
      <c r="AH52" s="869"/>
      <c r="AI52" s="869"/>
      <c r="AJ52" s="870"/>
      <c r="AK52" s="419"/>
      <c r="AL52" s="807"/>
      <c r="AM52" s="807"/>
      <c r="AN52" s="807"/>
      <c r="AO52" s="807"/>
      <c r="AP52" s="807"/>
      <c r="AQ52" s="807"/>
    </row>
    <row r="53" spans="3:43" s="63" customFormat="1" ht="15.95" customHeight="1" x14ac:dyDescent="0.2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row>
    <row r="54" spans="3:43" s="63" customFormat="1" ht="15.95" hidden="1" customHeight="1" x14ac:dyDescent="0.25">
      <c r="F54" s="899" t="s">
        <v>1662</v>
      </c>
      <c r="G54" s="899"/>
      <c r="H54" s="899"/>
      <c r="I54" s="899"/>
      <c r="J54" s="899"/>
      <c r="K54" s="899"/>
      <c r="L54" s="899"/>
      <c r="M54" s="899"/>
      <c r="N54" s="899"/>
      <c r="O54" s="899"/>
      <c r="P54" s="899"/>
      <c r="Q54" s="899"/>
      <c r="R54" s="899"/>
      <c r="S54" s="899"/>
      <c r="T54" s="899"/>
      <c r="U54" s="899"/>
      <c r="V54" s="899"/>
      <c r="W54" s="899"/>
      <c r="X54" s="899"/>
      <c r="Y54" s="899"/>
      <c r="Z54" s="899"/>
      <c r="AA54" s="899"/>
      <c r="AB54" s="899"/>
      <c r="AC54" s="899"/>
      <c r="AD54" s="899"/>
      <c r="AE54" s="899"/>
      <c r="AF54" s="899"/>
      <c r="AG54" s="899"/>
      <c r="AH54" s="899"/>
      <c r="AI54" s="899"/>
      <c r="AJ54" s="899"/>
      <c r="AK54" s="899"/>
      <c r="AL54" s="899"/>
      <c r="AM54" s="899"/>
      <c r="AN54" s="899"/>
    </row>
    <row r="55" spans="3:43" s="63" customFormat="1" ht="15.95" hidden="1" customHeight="1" x14ac:dyDescent="0.25"/>
    <row r="56" spans="3:43" s="63" customFormat="1" ht="15.95" hidden="1" customHeight="1" thickBot="1" x14ac:dyDescent="0.3">
      <c r="C56" s="891" t="s">
        <v>1657</v>
      </c>
      <c r="D56" s="891"/>
      <c r="E56" s="891"/>
      <c r="F56" s="891"/>
      <c r="G56" s="891"/>
      <c r="H56" s="891"/>
      <c r="I56" s="246"/>
      <c r="J56" s="65"/>
      <c r="K56" s="65"/>
      <c r="L56" s="65"/>
      <c r="M56" s="65"/>
      <c r="N56" s="65"/>
      <c r="O56" s="65"/>
      <c r="P56" s="246"/>
      <c r="Q56" s="891" t="s">
        <v>1658</v>
      </c>
      <c r="R56" s="891"/>
      <c r="S56" s="891"/>
      <c r="T56" s="891"/>
      <c r="U56" s="891"/>
      <c r="V56" s="891"/>
      <c r="W56" s="246"/>
      <c r="X56" s="891" t="s">
        <v>1659</v>
      </c>
      <c r="Y56" s="891"/>
      <c r="Z56" s="891"/>
      <c r="AA56" s="891"/>
      <c r="AB56" s="891"/>
      <c r="AC56" s="891"/>
      <c r="AD56" s="246"/>
      <c r="AE56" s="891" t="s">
        <v>1660</v>
      </c>
      <c r="AF56" s="891"/>
      <c r="AG56" s="891"/>
      <c r="AH56" s="891"/>
      <c r="AI56" s="891"/>
      <c r="AJ56" s="891"/>
      <c r="AK56" s="246"/>
      <c r="AL56" s="891" t="s">
        <v>1661</v>
      </c>
      <c r="AM56" s="891"/>
      <c r="AN56" s="891"/>
      <c r="AO56" s="891"/>
      <c r="AP56" s="891"/>
      <c r="AQ56" s="891"/>
    </row>
    <row r="57" spans="3:43" s="63" customFormat="1" ht="15.95" hidden="1" customHeight="1" thickBot="1" x14ac:dyDescent="0.3">
      <c r="C57" s="829"/>
      <c r="D57" s="830"/>
      <c r="E57" s="830"/>
      <c r="F57" s="830"/>
      <c r="G57" s="830"/>
      <c r="H57" s="830"/>
      <c r="I57" s="830"/>
      <c r="J57" s="830"/>
      <c r="K57" s="830"/>
      <c r="L57" s="830"/>
      <c r="M57" s="830"/>
      <c r="N57" s="830"/>
      <c r="O57" s="831"/>
      <c r="P57" s="144"/>
      <c r="Q57" s="825"/>
      <c r="R57" s="810"/>
      <c r="S57" s="810"/>
      <c r="T57" s="810"/>
      <c r="U57" s="810"/>
      <c r="V57" s="811"/>
      <c r="W57" s="144"/>
      <c r="X57" s="826"/>
      <c r="Y57" s="827"/>
      <c r="Z57" s="827"/>
      <c r="AA57" s="827"/>
      <c r="AB57" s="827"/>
      <c r="AC57" s="828"/>
      <c r="AD57" s="144"/>
      <c r="AE57" s="896"/>
      <c r="AF57" s="897"/>
      <c r="AG57" s="897"/>
      <c r="AH57" s="897"/>
      <c r="AI57" s="897"/>
      <c r="AJ57" s="898"/>
      <c r="AK57" s="144"/>
      <c r="AL57" s="896"/>
      <c r="AM57" s="897"/>
      <c r="AN57" s="897"/>
      <c r="AO57" s="897"/>
      <c r="AP57" s="897"/>
      <c r="AQ57" s="898"/>
    </row>
    <row r="58" spans="3:43" s="63" customFormat="1" ht="15.95" hidden="1" customHeight="1" x14ac:dyDescent="0.25"/>
    <row r="59" spans="3:43" s="63" customFormat="1" ht="15.95" hidden="1" customHeight="1" x14ac:dyDescent="0.25"/>
    <row r="60" spans="3:43" s="63" customFormat="1" ht="15.95" customHeight="1" x14ac:dyDescent="0.25"/>
    <row r="61" spans="3:43" s="63" customFormat="1" ht="15.95" customHeight="1" x14ac:dyDescent="0.3">
      <c r="F61" s="900" t="s">
        <v>257</v>
      </c>
      <c r="G61" s="900"/>
      <c r="H61" s="900"/>
      <c r="I61" s="900"/>
      <c r="J61" s="900"/>
      <c r="K61" s="900"/>
      <c r="L61" s="900"/>
      <c r="M61" s="900"/>
      <c r="N61" s="900"/>
      <c r="O61" s="900"/>
      <c r="P61" s="900"/>
      <c r="Q61" s="900"/>
      <c r="R61" s="900"/>
      <c r="S61" s="900"/>
      <c r="T61" s="900"/>
      <c r="U61" s="900"/>
      <c r="V61" s="900"/>
      <c r="W61" s="900"/>
      <c r="X61" s="900"/>
      <c r="Y61" s="900"/>
      <c r="Z61" s="900"/>
      <c r="AA61" s="900"/>
      <c r="AB61" s="900"/>
      <c r="AC61" s="900"/>
      <c r="AD61" s="900"/>
      <c r="AE61" s="900"/>
      <c r="AF61" s="900"/>
      <c r="AG61" s="900"/>
      <c r="AH61" s="900"/>
      <c r="AI61" s="900"/>
      <c r="AJ61" s="900"/>
      <c r="AK61" s="900"/>
      <c r="AL61" s="900"/>
      <c r="AM61" s="900"/>
      <c r="AN61" s="900"/>
    </row>
    <row r="62" spans="3:43" s="63" customFormat="1" ht="15.95" customHeight="1" x14ac:dyDescent="0.25"/>
    <row r="63" spans="3:43" s="63" customFormat="1" ht="15.95" customHeight="1" thickBot="1" x14ac:dyDescent="0.3">
      <c r="C63" s="807" t="s">
        <v>110</v>
      </c>
      <c r="D63" s="807"/>
      <c r="E63" s="807"/>
      <c r="F63" s="807"/>
      <c r="G63" s="807"/>
      <c r="H63" s="807"/>
      <c r="I63" s="419"/>
      <c r="J63" s="807" t="s">
        <v>1654</v>
      </c>
      <c r="K63" s="807"/>
      <c r="L63" s="807"/>
      <c r="M63" s="807"/>
      <c r="N63" s="807"/>
      <c r="O63" s="807"/>
      <c r="P63" s="419"/>
      <c r="Q63" s="807" t="s">
        <v>1655</v>
      </c>
      <c r="R63" s="807"/>
      <c r="S63" s="807"/>
      <c r="T63" s="807"/>
      <c r="U63" s="807"/>
      <c r="V63" s="807"/>
      <c r="W63" s="419"/>
      <c r="X63" s="807" t="s">
        <v>82</v>
      </c>
      <c r="Y63" s="807"/>
      <c r="Z63" s="807"/>
      <c r="AA63" s="807"/>
      <c r="AB63" s="807"/>
      <c r="AC63" s="807"/>
      <c r="AD63" s="419"/>
      <c r="AE63" s="807" t="s">
        <v>83</v>
      </c>
      <c r="AF63" s="807"/>
      <c r="AG63" s="807"/>
      <c r="AH63" s="807"/>
      <c r="AI63" s="807"/>
      <c r="AJ63" s="807"/>
      <c r="AK63" s="419"/>
      <c r="AL63" s="807" t="s">
        <v>84</v>
      </c>
      <c r="AM63" s="807"/>
      <c r="AN63" s="807"/>
      <c r="AO63" s="807"/>
      <c r="AP63" s="807"/>
      <c r="AQ63" s="807"/>
    </row>
    <row r="64" spans="3:43" s="63" customFormat="1" ht="15.95" customHeight="1" thickBot="1" x14ac:dyDescent="0.3">
      <c r="C64" s="825"/>
      <c r="D64" s="810"/>
      <c r="E64" s="810"/>
      <c r="F64" s="810"/>
      <c r="G64" s="810"/>
      <c r="H64" s="811"/>
      <c r="I64" s="419"/>
      <c r="J64" s="825"/>
      <c r="K64" s="810"/>
      <c r="L64" s="810"/>
      <c r="M64" s="810"/>
      <c r="N64" s="810"/>
      <c r="O64" s="811"/>
      <c r="P64" s="419"/>
      <c r="Q64" s="825"/>
      <c r="R64" s="810"/>
      <c r="S64" s="810"/>
      <c r="T64" s="810"/>
      <c r="U64" s="810"/>
      <c r="V64" s="811"/>
      <c r="W64" s="419"/>
      <c r="X64" s="825"/>
      <c r="Y64" s="810"/>
      <c r="Z64" s="810"/>
      <c r="AA64" s="810"/>
      <c r="AB64" s="810"/>
      <c r="AC64" s="811"/>
      <c r="AD64" s="419"/>
      <c r="AE64" s="882"/>
      <c r="AF64" s="883"/>
      <c r="AG64" s="883"/>
      <c r="AH64" s="883"/>
      <c r="AI64" s="883"/>
      <c r="AJ64" s="884"/>
      <c r="AK64" s="419"/>
      <c r="AL64" s="882"/>
      <c r="AM64" s="883"/>
      <c r="AN64" s="883"/>
      <c r="AO64" s="883"/>
      <c r="AP64" s="883"/>
      <c r="AQ64" s="884"/>
    </row>
    <row r="65" spans="3:43" s="63" customFormat="1" ht="15.95" customHeight="1" x14ac:dyDescent="0.25">
      <c r="C65" s="419"/>
      <c r="D65" s="419"/>
      <c r="E65" s="419"/>
      <c r="F65" s="419"/>
      <c r="G65" s="419"/>
      <c r="H65" s="419"/>
      <c r="I65" s="419"/>
      <c r="J65" s="419"/>
      <c r="K65" s="419"/>
      <c r="L65" s="419"/>
      <c r="M65" s="419"/>
      <c r="N65" s="419"/>
      <c r="O65" s="419"/>
      <c r="P65" s="419"/>
      <c r="Q65" s="419"/>
      <c r="R65" s="419"/>
      <c r="S65" s="419"/>
      <c r="T65" s="419"/>
      <c r="U65" s="419"/>
      <c r="V65" s="419"/>
      <c r="W65" s="419"/>
      <c r="X65" s="419"/>
      <c r="Y65" s="419"/>
      <c r="Z65" s="419"/>
      <c r="AA65" s="419"/>
      <c r="AB65" s="419"/>
      <c r="AC65" s="419"/>
      <c r="AD65" s="419"/>
      <c r="AE65" s="419"/>
      <c r="AF65" s="419"/>
      <c r="AG65" s="419"/>
      <c r="AH65" s="419"/>
      <c r="AI65" s="419"/>
      <c r="AJ65" s="419"/>
      <c r="AK65" s="419"/>
      <c r="AL65" s="419"/>
      <c r="AM65" s="419"/>
      <c r="AN65" s="419"/>
      <c r="AO65" s="419"/>
      <c r="AP65" s="419"/>
      <c r="AQ65" s="419"/>
    </row>
    <row r="66" spans="3:43" s="63" customFormat="1" ht="15.95" customHeight="1" thickBot="1" x14ac:dyDescent="0.3">
      <c r="C66" s="807" t="s">
        <v>254</v>
      </c>
      <c r="D66" s="807"/>
      <c r="E66" s="807"/>
      <c r="F66" s="807"/>
      <c r="G66" s="807"/>
      <c r="H66" s="807"/>
      <c r="I66" s="419"/>
      <c r="J66" s="807" t="s">
        <v>89</v>
      </c>
      <c r="K66" s="807"/>
      <c r="L66" s="807"/>
      <c r="M66" s="807"/>
      <c r="N66" s="807"/>
      <c r="O66" s="807"/>
      <c r="P66" s="419"/>
      <c r="Q66" s="807" t="s">
        <v>85</v>
      </c>
      <c r="R66" s="807"/>
      <c r="S66" s="807"/>
      <c r="T66" s="807"/>
      <c r="U66" s="807"/>
      <c r="V66" s="807"/>
      <c r="W66" s="419"/>
      <c r="X66" s="815" t="s">
        <v>2354</v>
      </c>
      <c r="Y66" s="807"/>
      <c r="Z66" s="807"/>
      <c r="AA66" s="807"/>
      <c r="AB66" s="807"/>
      <c r="AC66" s="807"/>
      <c r="AD66" s="419"/>
      <c r="AE66" s="815" t="s">
        <v>2355</v>
      </c>
      <c r="AF66" s="807"/>
      <c r="AG66" s="807"/>
      <c r="AH66" s="807"/>
      <c r="AI66" s="807"/>
      <c r="AJ66" s="807"/>
      <c r="AK66" s="419"/>
      <c r="AL66" s="807"/>
      <c r="AM66" s="807"/>
      <c r="AN66" s="807"/>
      <c r="AO66" s="807"/>
      <c r="AP66" s="807"/>
      <c r="AQ66" s="807"/>
    </row>
    <row r="67" spans="3:43" s="63" customFormat="1" ht="15.95" customHeight="1" thickBot="1" x14ac:dyDescent="0.3">
      <c r="C67" s="892"/>
      <c r="D67" s="810"/>
      <c r="E67" s="810"/>
      <c r="F67" s="810"/>
      <c r="G67" s="810"/>
      <c r="H67" s="811"/>
      <c r="I67" s="419"/>
      <c r="J67" s="825"/>
      <c r="K67" s="810"/>
      <c r="L67" s="810"/>
      <c r="M67" s="810"/>
      <c r="N67" s="810"/>
      <c r="O67" s="811"/>
      <c r="P67" s="419"/>
      <c r="Q67" s="825"/>
      <c r="R67" s="810"/>
      <c r="S67" s="810"/>
      <c r="T67" s="810"/>
      <c r="U67" s="810"/>
      <c r="V67" s="811"/>
      <c r="W67" s="419"/>
      <c r="X67" s="825"/>
      <c r="Y67" s="810"/>
      <c r="Z67" s="810"/>
      <c r="AA67" s="810"/>
      <c r="AB67" s="810"/>
      <c r="AC67" s="811"/>
      <c r="AD67" s="419"/>
      <c r="AE67" s="868"/>
      <c r="AF67" s="869"/>
      <c r="AG67" s="869"/>
      <c r="AH67" s="869"/>
      <c r="AI67" s="869"/>
      <c r="AJ67" s="870"/>
      <c r="AK67" s="419"/>
      <c r="AL67" s="807"/>
      <c r="AM67" s="807"/>
      <c r="AN67" s="807"/>
      <c r="AO67" s="807"/>
      <c r="AP67" s="807"/>
      <c r="AQ67" s="807"/>
    </row>
    <row r="68" spans="3:43" s="63" customFormat="1" ht="15.95" customHeight="1" x14ac:dyDescent="0.2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row>
    <row r="69" spans="3:43" s="63" customFormat="1" ht="15.95" hidden="1" customHeight="1" x14ac:dyDescent="0.25">
      <c r="F69" s="901" t="s">
        <v>1663</v>
      </c>
      <c r="G69" s="901"/>
      <c r="H69" s="901"/>
      <c r="I69" s="901"/>
      <c r="J69" s="901"/>
      <c r="K69" s="901"/>
      <c r="L69" s="901"/>
      <c r="M69" s="901"/>
      <c r="N69" s="901"/>
      <c r="O69" s="901"/>
      <c r="P69" s="901"/>
      <c r="Q69" s="901"/>
      <c r="R69" s="901"/>
      <c r="S69" s="901"/>
      <c r="T69" s="901"/>
      <c r="U69" s="901"/>
      <c r="V69" s="901"/>
      <c r="W69" s="901"/>
      <c r="X69" s="901"/>
      <c r="Y69" s="901"/>
      <c r="Z69" s="901"/>
      <c r="AA69" s="901"/>
      <c r="AB69" s="901"/>
      <c r="AC69" s="901"/>
      <c r="AD69" s="901"/>
      <c r="AE69" s="901"/>
      <c r="AF69" s="901"/>
      <c r="AG69" s="901"/>
      <c r="AH69" s="901"/>
      <c r="AI69" s="901"/>
      <c r="AJ69" s="901"/>
      <c r="AK69" s="901"/>
      <c r="AL69" s="901"/>
      <c r="AM69" s="901"/>
      <c r="AN69" s="901"/>
    </row>
    <row r="70" spans="3:43" s="63" customFormat="1" ht="15.95" hidden="1" customHeight="1" x14ac:dyDescent="0.25"/>
    <row r="71" spans="3:43" s="63" customFormat="1" ht="15.95" hidden="1" customHeight="1" thickBot="1" x14ac:dyDescent="0.3">
      <c r="C71" s="891" t="s">
        <v>1657</v>
      </c>
      <c r="D71" s="891"/>
      <c r="E71" s="891"/>
      <c r="F71" s="891"/>
      <c r="G71" s="891"/>
      <c r="H71" s="891"/>
      <c r="I71" s="246"/>
      <c r="J71" s="65"/>
      <c r="K71" s="65"/>
      <c r="L71" s="65"/>
      <c r="M71" s="65"/>
      <c r="N71" s="65"/>
      <c r="O71" s="65"/>
      <c r="P71" s="246"/>
      <c r="Q71" s="891" t="s">
        <v>1658</v>
      </c>
      <c r="R71" s="891"/>
      <c r="S71" s="891"/>
      <c r="T71" s="891"/>
      <c r="U71" s="891"/>
      <c r="V71" s="891"/>
      <c r="W71" s="246"/>
      <c r="X71" s="891" t="s">
        <v>1659</v>
      </c>
      <c r="Y71" s="891"/>
      <c r="Z71" s="891"/>
      <c r="AA71" s="891"/>
      <c r="AB71" s="891"/>
      <c r="AC71" s="891"/>
      <c r="AD71" s="246"/>
      <c r="AE71" s="891" t="s">
        <v>1660</v>
      </c>
      <c r="AF71" s="891"/>
      <c r="AG71" s="891"/>
      <c r="AH71" s="891"/>
      <c r="AI71" s="891"/>
      <c r="AJ71" s="891"/>
      <c r="AK71" s="246"/>
      <c r="AL71" s="891" t="s">
        <v>1661</v>
      </c>
      <c r="AM71" s="891"/>
      <c r="AN71" s="891"/>
      <c r="AO71" s="891"/>
      <c r="AP71" s="891"/>
      <c r="AQ71" s="891"/>
    </row>
    <row r="72" spans="3:43" s="63" customFormat="1" ht="15.95" hidden="1" customHeight="1" thickBot="1" x14ac:dyDescent="0.3">
      <c r="C72" s="829"/>
      <c r="D72" s="830"/>
      <c r="E72" s="830"/>
      <c r="F72" s="830"/>
      <c r="G72" s="830"/>
      <c r="H72" s="830"/>
      <c r="I72" s="830"/>
      <c r="J72" s="830"/>
      <c r="K72" s="830"/>
      <c r="L72" s="830"/>
      <c r="M72" s="830"/>
      <c r="N72" s="830"/>
      <c r="O72" s="831"/>
      <c r="P72" s="144"/>
      <c r="Q72" s="825"/>
      <c r="R72" s="810"/>
      <c r="S72" s="810"/>
      <c r="T72" s="810"/>
      <c r="U72" s="810"/>
      <c r="V72" s="811"/>
      <c r="W72" s="144"/>
      <c r="X72" s="826"/>
      <c r="Y72" s="827"/>
      <c r="Z72" s="827"/>
      <c r="AA72" s="827"/>
      <c r="AB72" s="827"/>
      <c r="AC72" s="828"/>
      <c r="AD72" s="144"/>
      <c r="AE72" s="896"/>
      <c r="AF72" s="897"/>
      <c r="AG72" s="897"/>
      <c r="AH72" s="897"/>
      <c r="AI72" s="897"/>
      <c r="AJ72" s="898"/>
      <c r="AK72" s="144"/>
      <c r="AL72" s="896"/>
      <c r="AM72" s="897"/>
      <c r="AN72" s="897"/>
      <c r="AO72" s="897"/>
      <c r="AP72" s="897"/>
      <c r="AQ72" s="898"/>
    </row>
    <row r="73" spans="3:43" s="63" customFormat="1" ht="15.95" hidden="1" customHeight="1" x14ac:dyDescent="0.25"/>
    <row r="74" spans="3:43" s="63" customFormat="1" ht="15.95" hidden="1" customHeight="1" x14ac:dyDescent="0.25"/>
    <row r="75" spans="3:43" s="63" customFormat="1" ht="15.95" customHeight="1" x14ac:dyDescent="0.25"/>
    <row r="76" spans="3:43" s="63" customFormat="1" ht="15.95" customHeight="1" x14ac:dyDescent="0.3">
      <c r="F76" s="902" t="s">
        <v>1664</v>
      </c>
      <c r="G76" s="902"/>
      <c r="H76" s="902"/>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2"/>
      <c r="AK76" s="902"/>
      <c r="AL76" s="902"/>
      <c r="AM76" s="902"/>
      <c r="AN76" s="902"/>
    </row>
    <row r="77" spans="3:43" s="63" customFormat="1" ht="15.95" customHeight="1" x14ac:dyDescent="0.25"/>
    <row r="78" spans="3:43" s="63" customFormat="1" ht="15.95" customHeight="1" thickBot="1" x14ac:dyDescent="0.3">
      <c r="C78" s="807" t="s">
        <v>110</v>
      </c>
      <c r="D78" s="807"/>
      <c r="E78" s="807"/>
      <c r="F78" s="807"/>
      <c r="G78" s="807"/>
      <c r="H78" s="807"/>
      <c r="I78" s="419"/>
      <c r="J78" s="807" t="s">
        <v>1654</v>
      </c>
      <c r="K78" s="807"/>
      <c r="L78" s="807"/>
      <c r="M78" s="807"/>
      <c r="N78" s="807"/>
      <c r="O78" s="807"/>
      <c r="P78" s="419"/>
      <c r="Q78" s="807" t="s">
        <v>1655</v>
      </c>
      <c r="R78" s="807"/>
      <c r="S78" s="807"/>
      <c r="T78" s="807"/>
      <c r="U78" s="807"/>
      <c r="V78" s="807"/>
      <c r="W78" s="419"/>
      <c r="X78" s="807" t="s">
        <v>82</v>
      </c>
      <c r="Y78" s="807"/>
      <c r="Z78" s="807"/>
      <c r="AA78" s="807"/>
      <c r="AB78" s="807"/>
      <c r="AC78" s="807"/>
      <c r="AD78" s="419"/>
      <c r="AE78" s="807" t="s">
        <v>83</v>
      </c>
      <c r="AF78" s="807"/>
      <c r="AG78" s="807"/>
      <c r="AH78" s="807"/>
      <c r="AI78" s="807"/>
      <c r="AJ78" s="807"/>
      <c r="AK78" s="419"/>
      <c r="AL78" s="807" t="s">
        <v>84</v>
      </c>
      <c r="AM78" s="807"/>
      <c r="AN78" s="807"/>
      <c r="AO78" s="807"/>
      <c r="AP78" s="807"/>
      <c r="AQ78" s="807"/>
    </row>
    <row r="79" spans="3:43" s="63" customFormat="1" ht="15.95" customHeight="1" thickBot="1" x14ac:dyDescent="0.3">
      <c r="C79" s="825"/>
      <c r="D79" s="810"/>
      <c r="E79" s="810"/>
      <c r="F79" s="810"/>
      <c r="G79" s="810"/>
      <c r="H79" s="811"/>
      <c r="I79" s="419"/>
      <c r="J79" s="825"/>
      <c r="K79" s="810"/>
      <c r="L79" s="810"/>
      <c r="M79" s="810"/>
      <c r="N79" s="810"/>
      <c r="O79" s="811"/>
      <c r="P79" s="419"/>
      <c r="Q79" s="825"/>
      <c r="R79" s="810"/>
      <c r="S79" s="810"/>
      <c r="T79" s="810"/>
      <c r="U79" s="810"/>
      <c r="V79" s="811"/>
      <c r="W79" s="419"/>
      <c r="X79" s="825"/>
      <c r="Y79" s="810"/>
      <c r="Z79" s="810"/>
      <c r="AA79" s="810"/>
      <c r="AB79" s="810"/>
      <c r="AC79" s="811"/>
      <c r="AD79" s="419"/>
      <c r="AE79" s="882"/>
      <c r="AF79" s="883"/>
      <c r="AG79" s="883"/>
      <c r="AH79" s="883"/>
      <c r="AI79" s="883"/>
      <c r="AJ79" s="884"/>
      <c r="AK79" s="419"/>
      <c r="AL79" s="882"/>
      <c r="AM79" s="883"/>
      <c r="AN79" s="883"/>
      <c r="AO79" s="883"/>
      <c r="AP79" s="883"/>
      <c r="AQ79" s="884"/>
    </row>
    <row r="80" spans="3:43" s="63" customFormat="1" ht="15.95" customHeight="1" x14ac:dyDescent="0.25">
      <c r="C80" s="419"/>
      <c r="D80" s="419"/>
      <c r="E80" s="419"/>
      <c r="F80" s="419"/>
      <c r="G80" s="419"/>
      <c r="H80" s="419"/>
      <c r="I80" s="419"/>
      <c r="J80" s="419"/>
      <c r="K80" s="419"/>
      <c r="L80" s="419"/>
      <c r="M80" s="419"/>
      <c r="N80" s="419"/>
      <c r="O80" s="419"/>
      <c r="P80" s="419"/>
      <c r="Q80" s="419"/>
      <c r="R80" s="419"/>
      <c r="S80" s="419"/>
      <c r="T80" s="419"/>
      <c r="U80" s="419"/>
      <c r="V80" s="419"/>
      <c r="W80" s="419"/>
      <c r="X80" s="419"/>
      <c r="Y80" s="419"/>
      <c r="Z80" s="419"/>
      <c r="AA80" s="419"/>
      <c r="AB80" s="419"/>
      <c r="AC80" s="419"/>
      <c r="AD80" s="419"/>
      <c r="AE80" s="419"/>
      <c r="AF80" s="419"/>
      <c r="AG80" s="419"/>
      <c r="AH80" s="419"/>
      <c r="AI80" s="419"/>
      <c r="AJ80" s="419"/>
      <c r="AK80" s="419"/>
      <c r="AL80" s="419"/>
      <c r="AM80" s="419"/>
      <c r="AN80" s="419"/>
      <c r="AO80" s="419"/>
      <c r="AP80" s="419"/>
      <c r="AQ80" s="419"/>
    </row>
    <row r="81" spans="3:43" s="63" customFormat="1" ht="15.95" customHeight="1" thickBot="1" x14ac:dyDescent="0.3">
      <c r="C81" s="807" t="s">
        <v>254</v>
      </c>
      <c r="D81" s="807"/>
      <c r="E81" s="807"/>
      <c r="F81" s="807"/>
      <c r="G81" s="807"/>
      <c r="H81" s="807"/>
      <c r="I81" s="419"/>
      <c r="J81" s="807" t="s">
        <v>89</v>
      </c>
      <c r="K81" s="807"/>
      <c r="L81" s="807"/>
      <c r="M81" s="807"/>
      <c r="N81" s="807"/>
      <c r="O81" s="807"/>
      <c r="P81" s="419"/>
      <c r="Q81" s="807" t="s">
        <v>85</v>
      </c>
      <c r="R81" s="807"/>
      <c r="S81" s="807"/>
      <c r="T81" s="807"/>
      <c r="U81" s="807"/>
      <c r="V81" s="807"/>
      <c r="W81" s="419"/>
      <c r="X81" s="815" t="s">
        <v>2354</v>
      </c>
      <c r="Y81" s="807"/>
      <c r="Z81" s="807"/>
      <c r="AA81" s="807"/>
      <c r="AB81" s="807"/>
      <c r="AC81" s="807"/>
      <c r="AD81" s="419"/>
      <c r="AE81" s="815" t="s">
        <v>2355</v>
      </c>
      <c r="AF81" s="807"/>
      <c r="AG81" s="807"/>
      <c r="AH81" s="807"/>
      <c r="AI81" s="807"/>
      <c r="AJ81" s="807"/>
      <c r="AK81" s="419"/>
      <c r="AL81" s="807"/>
      <c r="AM81" s="807"/>
      <c r="AN81" s="807"/>
      <c r="AO81" s="807"/>
      <c r="AP81" s="807"/>
      <c r="AQ81" s="807"/>
    </row>
    <row r="82" spans="3:43" s="63" customFormat="1" ht="15.95" customHeight="1" thickBot="1" x14ac:dyDescent="0.3">
      <c r="C82" s="892"/>
      <c r="D82" s="810"/>
      <c r="E82" s="810"/>
      <c r="F82" s="810"/>
      <c r="G82" s="810"/>
      <c r="H82" s="811"/>
      <c r="I82" s="419"/>
      <c r="J82" s="825"/>
      <c r="K82" s="810"/>
      <c r="L82" s="810"/>
      <c r="M82" s="810"/>
      <c r="N82" s="810"/>
      <c r="O82" s="811"/>
      <c r="P82" s="419"/>
      <c r="Q82" s="825"/>
      <c r="R82" s="810"/>
      <c r="S82" s="810"/>
      <c r="T82" s="810"/>
      <c r="U82" s="810"/>
      <c r="V82" s="811"/>
      <c r="W82" s="419"/>
      <c r="X82" s="825"/>
      <c r="Y82" s="810"/>
      <c r="Z82" s="810"/>
      <c r="AA82" s="810"/>
      <c r="AB82" s="810"/>
      <c r="AC82" s="811"/>
      <c r="AD82" s="419"/>
      <c r="AE82" s="868"/>
      <c r="AF82" s="869"/>
      <c r="AG82" s="869"/>
      <c r="AH82" s="869"/>
      <c r="AI82" s="869"/>
      <c r="AJ82" s="870"/>
      <c r="AK82" s="419"/>
      <c r="AL82" s="807"/>
      <c r="AM82" s="807"/>
      <c r="AN82" s="807"/>
      <c r="AO82" s="807"/>
      <c r="AP82" s="807"/>
      <c r="AQ82" s="807"/>
    </row>
    <row r="83" spans="3:43" s="63" customFormat="1" ht="15.95" customHeight="1" x14ac:dyDescent="0.2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row>
    <row r="84" spans="3:43" s="63" customFormat="1" ht="15.95" hidden="1" customHeight="1" x14ac:dyDescent="0.25">
      <c r="F84" s="903" t="s">
        <v>1665</v>
      </c>
      <c r="G84" s="903"/>
      <c r="H84" s="903"/>
      <c r="I84" s="903"/>
      <c r="J84" s="903"/>
      <c r="K84" s="903"/>
      <c r="L84" s="903"/>
      <c r="M84" s="903"/>
      <c r="N84" s="903"/>
      <c r="O84" s="903"/>
      <c r="P84" s="903"/>
      <c r="Q84" s="903"/>
      <c r="R84" s="903"/>
      <c r="S84" s="903"/>
      <c r="T84" s="903"/>
      <c r="U84" s="903"/>
      <c r="V84" s="903"/>
      <c r="W84" s="903"/>
      <c r="X84" s="903"/>
      <c r="Y84" s="903"/>
      <c r="Z84" s="903"/>
      <c r="AA84" s="903"/>
      <c r="AB84" s="903"/>
      <c r="AC84" s="903"/>
      <c r="AD84" s="903"/>
      <c r="AE84" s="903"/>
      <c r="AF84" s="903"/>
      <c r="AG84" s="903"/>
      <c r="AH84" s="903"/>
      <c r="AI84" s="903"/>
      <c r="AJ84" s="903"/>
      <c r="AK84" s="903"/>
      <c r="AL84" s="903"/>
      <c r="AM84" s="903"/>
      <c r="AN84" s="903"/>
    </row>
    <row r="85" spans="3:43" s="63" customFormat="1" ht="15.95" hidden="1" customHeight="1" x14ac:dyDescent="0.25"/>
    <row r="86" spans="3:43" s="63" customFormat="1" ht="15.95" hidden="1" customHeight="1" thickBot="1" x14ac:dyDescent="0.3">
      <c r="C86" s="891" t="s">
        <v>1657</v>
      </c>
      <c r="D86" s="891"/>
      <c r="E86" s="891"/>
      <c r="F86" s="891"/>
      <c r="G86" s="891"/>
      <c r="H86" s="891"/>
      <c r="I86" s="246"/>
      <c r="J86" s="65"/>
      <c r="K86" s="65"/>
      <c r="L86" s="65"/>
      <c r="M86" s="65"/>
      <c r="N86" s="65"/>
      <c r="O86" s="65"/>
      <c r="P86" s="246"/>
      <c r="Q86" s="891" t="s">
        <v>1658</v>
      </c>
      <c r="R86" s="891"/>
      <c r="S86" s="891"/>
      <c r="T86" s="891"/>
      <c r="U86" s="891"/>
      <c r="V86" s="891"/>
      <c r="W86" s="246"/>
      <c r="X86" s="891" t="s">
        <v>1659</v>
      </c>
      <c r="Y86" s="891"/>
      <c r="Z86" s="891"/>
      <c r="AA86" s="891"/>
      <c r="AB86" s="891"/>
      <c r="AC86" s="891"/>
      <c r="AD86" s="246"/>
      <c r="AE86" s="891" t="s">
        <v>1660</v>
      </c>
      <c r="AF86" s="891"/>
      <c r="AG86" s="891"/>
      <c r="AH86" s="891"/>
      <c r="AI86" s="891"/>
      <c r="AJ86" s="891"/>
      <c r="AK86" s="246"/>
      <c r="AL86" s="891" t="s">
        <v>1661</v>
      </c>
      <c r="AM86" s="891"/>
      <c r="AN86" s="891"/>
      <c r="AO86" s="891"/>
      <c r="AP86" s="891"/>
      <c r="AQ86" s="891"/>
    </row>
    <row r="87" spans="3:43" s="63" customFormat="1" ht="15.95" hidden="1" customHeight="1" thickBot="1" x14ac:dyDescent="0.3">
      <c r="C87" s="829"/>
      <c r="D87" s="830"/>
      <c r="E87" s="830"/>
      <c r="F87" s="830"/>
      <c r="G87" s="830"/>
      <c r="H87" s="830"/>
      <c r="I87" s="830"/>
      <c r="J87" s="830"/>
      <c r="K87" s="830"/>
      <c r="L87" s="830"/>
      <c r="M87" s="830"/>
      <c r="N87" s="830"/>
      <c r="O87" s="831"/>
      <c r="P87" s="144"/>
      <c r="Q87" s="825"/>
      <c r="R87" s="810"/>
      <c r="S87" s="810"/>
      <c r="T87" s="810"/>
      <c r="U87" s="810"/>
      <c r="V87" s="811"/>
      <c r="W87" s="144"/>
      <c r="X87" s="826"/>
      <c r="Y87" s="827"/>
      <c r="Z87" s="827"/>
      <c r="AA87" s="827"/>
      <c r="AB87" s="827"/>
      <c r="AC87" s="828"/>
      <c r="AD87" s="144"/>
      <c r="AE87" s="896"/>
      <c r="AF87" s="897"/>
      <c r="AG87" s="897"/>
      <c r="AH87" s="897"/>
      <c r="AI87" s="897"/>
      <c r="AJ87" s="898"/>
      <c r="AK87" s="144"/>
      <c r="AL87" s="896"/>
      <c r="AM87" s="897"/>
      <c r="AN87" s="897"/>
      <c r="AO87" s="897"/>
      <c r="AP87" s="897"/>
      <c r="AQ87" s="898"/>
    </row>
    <row r="88" spans="3:43" s="63" customFormat="1" ht="15.95" hidden="1" customHeight="1" x14ac:dyDescent="0.25"/>
    <row r="89" spans="3:43" s="63" customFormat="1" ht="15.95" hidden="1" customHeight="1" x14ac:dyDescent="0.25"/>
    <row r="90" spans="3:43" s="63" customFormat="1" ht="15.95" customHeight="1" x14ac:dyDescent="0.25"/>
    <row r="91" spans="3:43" s="63" customFormat="1" ht="15.95" customHeight="1" x14ac:dyDescent="0.3">
      <c r="F91" s="904" t="s">
        <v>1666</v>
      </c>
      <c r="G91" s="904"/>
      <c r="H91" s="904"/>
      <c r="I91" s="904"/>
      <c r="J91" s="904"/>
      <c r="K91" s="904"/>
      <c r="L91" s="904"/>
      <c r="M91" s="904"/>
      <c r="N91" s="904"/>
      <c r="O91" s="904"/>
      <c r="P91" s="904"/>
      <c r="Q91" s="904"/>
      <c r="R91" s="904"/>
      <c r="S91" s="904"/>
      <c r="T91" s="904"/>
      <c r="U91" s="904"/>
      <c r="V91" s="904"/>
      <c r="W91" s="904"/>
      <c r="X91" s="904"/>
      <c r="Y91" s="904"/>
      <c r="Z91" s="904"/>
      <c r="AA91" s="904"/>
      <c r="AB91" s="904"/>
      <c r="AC91" s="904"/>
      <c r="AD91" s="904"/>
      <c r="AE91" s="904"/>
      <c r="AF91" s="904"/>
      <c r="AG91" s="904"/>
      <c r="AH91" s="904"/>
      <c r="AI91" s="904"/>
      <c r="AJ91" s="904"/>
      <c r="AK91" s="904"/>
      <c r="AL91" s="904"/>
      <c r="AM91" s="904"/>
      <c r="AN91" s="904"/>
    </row>
    <row r="92" spans="3:43" s="63" customFormat="1" ht="15.95" customHeight="1" x14ac:dyDescent="0.25"/>
    <row r="93" spans="3:43" s="63" customFormat="1" ht="15.95" customHeight="1" thickBot="1" x14ac:dyDescent="0.3">
      <c r="C93" s="807" t="s">
        <v>110</v>
      </c>
      <c r="D93" s="807"/>
      <c r="E93" s="807"/>
      <c r="F93" s="807"/>
      <c r="G93" s="807"/>
      <c r="H93" s="807"/>
      <c r="I93" s="419"/>
      <c r="J93" s="807" t="s">
        <v>1654</v>
      </c>
      <c r="K93" s="807"/>
      <c r="L93" s="807"/>
      <c r="M93" s="807"/>
      <c r="N93" s="807"/>
      <c r="O93" s="807"/>
      <c r="P93" s="419"/>
      <c r="Q93" s="807" t="s">
        <v>1655</v>
      </c>
      <c r="R93" s="807"/>
      <c r="S93" s="807"/>
      <c r="T93" s="807"/>
      <c r="U93" s="807"/>
      <c r="V93" s="807"/>
      <c r="W93" s="419"/>
      <c r="X93" s="807" t="s">
        <v>82</v>
      </c>
      <c r="Y93" s="807"/>
      <c r="Z93" s="807"/>
      <c r="AA93" s="807"/>
      <c r="AB93" s="807"/>
      <c r="AC93" s="807"/>
      <c r="AD93" s="419"/>
      <c r="AE93" s="807" t="s">
        <v>83</v>
      </c>
      <c r="AF93" s="807"/>
      <c r="AG93" s="807"/>
      <c r="AH93" s="807"/>
      <c r="AI93" s="807"/>
      <c r="AJ93" s="807"/>
      <c r="AK93" s="419"/>
      <c r="AL93" s="807" t="s">
        <v>84</v>
      </c>
      <c r="AM93" s="807"/>
      <c r="AN93" s="807"/>
      <c r="AO93" s="807"/>
      <c r="AP93" s="807"/>
      <c r="AQ93" s="807"/>
    </row>
    <row r="94" spans="3:43" s="63" customFormat="1" ht="15.95" customHeight="1" thickBot="1" x14ac:dyDescent="0.3">
      <c r="C94" s="825"/>
      <c r="D94" s="810"/>
      <c r="E94" s="810"/>
      <c r="F94" s="810"/>
      <c r="G94" s="810"/>
      <c r="H94" s="811"/>
      <c r="I94" s="419"/>
      <c r="J94" s="825"/>
      <c r="K94" s="810"/>
      <c r="L94" s="810"/>
      <c r="M94" s="810"/>
      <c r="N94" s="810"/>
      <c r="O94" s="811"/>
      <c r="P94" s="419"/>
      <c r="Q94" s="825"/>
      <c r="R94" s="810"/>
      <c r="S94" s="810"/>
      <c r="T94" s="810"/>
      <c r="U94" s="810"/>
      <c r="V94" s="811"/>
      <c r="W94" s="419"/>
      <c r="X94" s="825"/>
      <c r="Y94" s="810"/>
      <c r="Z94" s="810"/>
      <c r="AA94" s="810"/>
      <c r="AB94" s="810"/>
      <c r="AC94" s="811"/>
      <c r="AD94" s="419"/>
      <c r="AE94" s="882"/>
      <c r="AF94" s="883"/>
      <c r="AG94" s="883"/>
      <c r="AH94" s="883"/>
      <c r="AI94" s="883"/>
      <c r="AJ94" s="884"/>
      <c r="AK94" s="419"/>
      <c r="AL94" s="882"/>
      <c r="AM94" s="883"/>
      <c r="AN94" s="883"/>
      <c r="AO94" s="883"/>
      <c r="AP94" s="883"/>
      <c r="AQ94" s="884"/>
    </row>
    <row r="95" spans="3:43" s="63" customFormat="1" ht="15.95" customHeight="1" x14ac:dyDescent="0.25">
      <c r="C95" s="419"/>
      <c r="D95" s="419"/>
      <c r="E95" s="419"/>
      <c r="F95" s="419"/>
      <c r="G95" s="419"/>
      <c r="H95" s="419"/>
      <c r="I95" s="419"/>
      <c r="J95" s="419"/>
      <c r="K95" s="419"/>
      <c r="L95" s="419"/>
      <c r="M95" s="419"/>
      <c r="N95" s="419"/>
      <c r="O95" s="419"/>
      <c r="P95" s="419"/>
      <c r="Q95" s="419"/>
      <c r="R95" s="419"/>
      <c r="S95" s="419"/>
      <c r="T95" s="419"/>
      <c r="U95" s="419"/>
      <c r="V95" s="419"/>
      <c r="W95" s="419"/>
      <c r="X95" s="419"/>
      <c r="Y95" s="419"/>
      <c r="Z95" s="419"/>
      <c r="AA95" s="419"/>
      <c r="AB95" s="419"/>
      <c r="AC95" s="419"/>
      <c r="AD95" s="419"/>
      <c r="AE95" s="419"/>
      <c r="AF95" s="419"/>
      <c r="AG95" s="419"/>
      <c r="AH95" s="419"/>
      <c r="AI95" s="419"/>
      <c r="AJ95" s="419"/>
      <c r="AK95" s="419"/>
      <c r="AL95" s="419"/>
      <c r="AM95" s="419"/>
      <c r="AN95" s="419"/>
      <c r="AO95" s="419"/>
      <c r="AP95" s="419"/>
      <c r="AQ95" s="419"/>
    </row>
    <row r="96" spans="3:43" s="63" customFormat="1" ht="15.95" customHeight="1" thickBot="1" x14ac:dyDescent="0.3">
      <c r="C96" s="807" t="s">
        <v>254</v>
      </c>
      <c r="D96" s="807"/>
      <c r="E96" s="807"/>
      <c r="F96" s="807"/>
      <c r="G96" s="807"/>
      <c r="H96" s="807"/>
      <c r="I96" s="419"/>
      <c r="J96" s="807" t="s">
        <v>89</v>
      </c>
      <c r="K96" s="807"/>
      <c r="L96" s="807"/>
      <c r="M96" s="807"/>
      <c r="N96" s="807"/>
      <c r="O96" s="807"/>
      <c r="P96" s="419"/>
      <c r="Q96" s="807" t="s">
        <v>85</v>
      </c>
      <c r="R96" s="807"/>
      <c r="S96" s="807"/>
      <c r="T96" s="807"/>
      <c r="U96" s="807"/>
      <c r="V96" s="807"/>
      <c r="W96" s="419"/>
      <c r="X96" s="815" t="s">
        <v>2354</v>
      </c>
      <c r="Y96" s="807"/>
      <c r="Z96" s="807"/>
      <c r="AA96" s="807"/>
      <c r="AB96" s="807"/>
      <c r="AC96" s="807"/>
      <c r="AD96" s="419"/>
      <c r="AE96" s="815" t="s">
        <v>2355</v>
      </c>
      <c r="AF96" s="807"/>
      <c r="AG96" s="807"/>
      <c r="AH96" s="807"/>
      <c r="AI96" s="807"/>
      <c r="AJ96" s="807"/>
      <c r="AK96" s="419"/>
      <c r="AL96" s="807"/>
      <c r="AM96" s="807"/>
      <c r="AN96" s="807"/>
      <c r="AO96" s="807"/>
      <c r="AP96" s="807"/>
      <c r="AQ96" s="807"/>
    </row>
    <row r="97" spans="3:43" s="63" customFormat="1" ht="15.95" customHeight="1" thickBot="1" x14ac:dyDescent="0.3">
      <c r="C97" s="892"/>
      <c r="D97" s="810"/>
      <c r="E97" s="810"/>
      <c r="F97" s="810"/>
      <c r="G97" s="810"/>
      <c r="H97" s="811"/>
      <c r="I97" s="419"/>
      <c r="J97" s="825"/>
      <c r="K97" s="810"/>
      <c r="L97" s="810"/>
      <c r="M97" s="810"/>
      <c r="N97" s="810"/>
      <c r="O97" s="811"/>
      <c r="P97" s="419"/>
      <c r="Q97" s="825"/>
      <c r="R97" s="810"/>
      <c r="S97" s="810"/>
      <c r="T97" s="810"/>
      <c r="U97" s="810"/>
      <c r="V97" s="811"/>
      <c r="W97" s="419"/>
      <c r="X97" s="825"/>
      <c r="Y97" s="810"/>
      <c r="Z97" s="810"/>
      <c r="AA97" s="810"/>
      <c r="AB97" s="810"/>
      <c r="AC97" s="811"/>
      <c r="AD97" s="419"/>
      <c r="AE97" s="868"/>
      <c r="AF97" s="869"/>
      <c r="AG97" s="869"/>
      <c r="AH97" s="869"/>
      <c r="AI97" s="869"/>
      <c r="AJ97" s="870"/>
      <c r="AK97" s="419"/>
      <c r="AL97" s="807"/>
      <c r="AM97" s="807"/>
      <c r="AN97" s="807"/>
      <c r="AO97" s="807"/>
      <c r="AP97" s="807"/>
      <c r="AQ97" s="807"/>
    </row>
    <row r="98" spans="3:43" s="63" customFormat="1" ht="15.95" customHeight="1" x14ac:dyDescent="0.2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row>
    <row r="99" spans="3:43" s="63" customFormat="1" ht="15.95" hidden="1" customHeight="1" x14ac:dyDescent="0.25">
      <c r="F99" s="905" t="s">
        <v>1667</v>
      </c>
      <c r="G99" s="905"/>
      <c r="H99" s="905"/>
      <c r="I99" s="905"/>
      <c r="J99" s="905"/>
      <c r="K99" s="905"/>
      <c r="L99" s="905"/>
      <c r="M99" s="905"/>
      <c r="N99" s="905"/>
      <c r="O99" s="905"/>
      <c r="P99" s="905"/>
      <c r="Q99" s="905"/>
      <c r="R99" s="905"/>
      <c r="S99" s="905"/>
      <c r="T99" s="905"/>
      <c r="U99" s="905"/>
      <c r="V99" s="905"/>
      <c r="W99" s="905"/>
      <c r="X99" s="905"/>
      <c r="Y99" s="905"/>
      <c r="Z99" s="905"/>
      <c r="AA99" s="905"/>
      <c r="AB99" s="905"/>
      <c r="AC99" s="905"/>
      <c r="AD99" s="905"/>
      <c r="AE99" s="905"/>
      <c r="AF99" s="905"/>
      <c r="AG99" s="905"/>
      <c r="AH99" s="905"/>
      <c r="AI99" s="905"/>
      <c r="AJ99" s="905"/>
      <c r="AK99" s="905"/>
      <c r="AL99" s="905"/>
      <c r="AM99" s="905"/>
      <c r="AN99" s="905"/>
    </row>
    <row r="100" spans="3:43" s="63" customFormat="1" ht="15.95" hidden="1" customHeight="1" x14ac:dyDescent="0.25"/>
    <row r="101" spans="3:43" s="63" customFormat="1" ht="15.95" hidden="1" customHeight="1" thickBot="1" x14ac:dyDescent="0.3">
      <c r="C101" s="891" t="s">
        <v>1657</v>
      </c>
      <c r="D101" s="891"/>
      <c r="E101" s="891"/>
      <c r="F101" s="891"/>
      <c r="G101" s="891"/>
      <c r="H101" s="891"/>
      <c r="I101" s="246"/>
      <c r="J101" s="65"/>
      <c r="K101" s="65"/>
      <c r="L101" s="65"/>
      <c r="M101" s="65"/>
      <c r="N101" s="65"/>
      <c r="O101" s="65"/>
      <c r="P101" s="246"/>
      <c r="Q101" s="891" t="s">
        <v>1658</v>
      </c>
      <c r="R101" s="891"/>
      <c r="S101" s="891"/>
      <c r="T101" s="891"/>
      <c r="U101" s="891"/>
      <c r="V101" s="891"/>
      <c r="W101" s="246"/>
      <c r="X101" s="891" t="s">
        <v>1659</v>
      </c>
      <c r="Y101" s="891"/>
      <c r="Z101" s="891"/>
      <c r="AA101" s="891"/>
      <c r="AB101" s="891"/>
      <c r="AC101" s="891"/>
      <c r="AD101" s="246"/>
      <c r="AE101" s="891" t="s">
        <v>1660</v>
      </c>
      <c r="AF101" s="891"/>
      <c r="AG101" s="891"/>
      <c r="AH101" s="891"/>
      <c r="AI101" s="891"/>
      <c r="AJ101" s="891"/>
      <c r="AK101" s="246"/>
      <c r="AL101" s="891" t="s">
        <v>1661</v>
      </c>
      <c r="AM101" s="891"/>
      <c r="AN101" s="891"/>
      <c r="AO101" s="891"/>
      <c r="AP101" s="891"/>
      <c r="AQ101" s="891"/>
    </row>
    <row r="102" spans="3:43" s="63" customFormat="1" ht="15.95" hidden="1" customHeight="1" thickBot="1" x14ac:dyDescent="0.3">
      <c r="C102" s="829"/>
      <c r="D102" s="830"/>
      <c r="E102" s="830"/>
      <c r="F102" s="830"/>
      <c r="G102" s="830"/>
      <c r="H102" s="830"/>
      <c r="I102" s="830"/>
      <c r="J102" s="830"/>
      <c r="K102" s="830"/>
      <c r="L102" s="830"/>
      <c r="M102" s="830"/>
      <c r="N102" s="830"/>
      <c r="O102" s="831"/>
      <c r="P102" s="144"/>
      <c r="Q102" s="825"/>
      <c r="R102" s="810"/>
      <c r="S102" s="810"/>
      <c r="T102" s="810"/>
      <c r="U102" s="810"/>
      <c r="V102" s="811"/>
      <c r="W102" s="144"/>
      <c r="X102" s="826"/>
      <c r="Y102" s="827"/>
      <c r="Z102" s="827"/>
      <c r="AA102" s="827"/>
      <c r="AB102" s="827"/>
      <c r="AC102" s="828"/>
      <c r="AD102" s="144"/>
      <c r="AE102" s="896"/>
      <c r="AF102" s="897"/>
      <c r="AG102" s="897"/>
      <c r="AH102" s="897"/>
      <c r="AI102" s="897"/>
      <c r="AJ102" s="898"/>
      <c r="AK102" s="144"/>
      <c r="AL102" s="896"/>
      <c r="AM102" s="897"/>
      <c r="AN102" s="897"/>
      <c r="AO102" s="897"/>
      <c r="AP102" s="897"/>
      <c r="AQ102" s="898"/>
    </row>
    <row r="103" spans="3:43" s="63" customFormat="1" ht="15.95" hidden="1" customHeight="1" x14ac:dyDescent="0.25"/>
    <row r="104" spans="3:43" s="63" customFormat="1" ht="15.95" hidden="1" customHeight="1" x14ac:dyDescent="0.25"/>
    <row r="105" spans="3:43" s="63" customFormat="1" ht="15.95" customHeight="1" x14ac:dyDescent="0.25"/>
    <row r="106" spans="3:43" s="63" customFormat="1" ht="15.95" customHeight="1" x14ac:dyDescent="0.3">
      <c r="F106" s="904" t="s">
        <v>1668</v>
      </c>
      <c r="G106" s="904"/>
      <c r="H106" s="904"/>
      <c r="I106" s="904"/>
      <c r="J106" s="904"/>
      <c r="K106" s="904"/>
      <c r="L106" s="904"/>
      <c r="M106" s="904"/>
      <c r="N106" s="904"/>
      <c r="O106" s="904"/>
      <c r="P106" s="904"/>
      <c r="Q106" s="904"/>
      <c r="R106" s="904"/>
      <c r="S106" s="904"/>
      <c r="T106" s="904"/>
      <c r="U106" s="904"/>
      <c r="V106" s="904"/>
      <c r="W106" s="904"/>
      <c r="X106" s="904"/>
      <c r="Y106" s="904"/>
      <c r="Z106" s="904"/>
      <c r="AA106" s="904"/>
      <c r="AB106" s="904"/>
      <c r="AC106" s="904"/>
      <c r="AD106" s="904"/>
      <c r="AE106" s="904"/>
      <c r="AF106" s="904"/>
      <c r="AG106" s="904"/>
      <c r="AH106" s="904"/>
      <c r="AI106" s="904"/>
      <c r="AJ106" s="904"/>
      <c r="AK106" s="904"/>
      <c r="AL106" s="904"/>
      <c r="AM106" s="904"/>
      <c r="AN106" s="904"/>
    </row>
    <row r="107" spans="3:43" s="63" customFormat="1" ht="15.95" customHeight="1" x14ac:dyDescent="0.25"/>
    <row r="108" spans="3:43" s="63" customFormat="1" ht="15.95" customHeight="1" thickBot="1" x14ac:dyDescent="0.3">
      <c r="C108" s="807" t="s">
        <v>110</v>
      </c>
      <c r="D108" s="807"/>
      <c r="E108" s="807"/>
      <c r="F108" s="807"/>
      <c r="G108" s="807"/>
      <c r="H108" s="807"/>
      <c r="I108" s="419"/>
      <c r="J108" s="807" t="s">
        <v>1654</v>
      </c>
      <c r="K108" s="807"/>
      <c r="L108" s="807"/>
      <c r="M108" s="807"/>
      <c r="N108" s="807"/>
      <c r="O108" s="807"/>
      <c r="P108" s="419"/>
      <c r="Q108" s="807" t="s">
        <v>1655</v>
      </c>
      <c r="R108" s="807"/>
      <c r="S108" s="807"/>
      <c r="T108" s="807"/>
      <c r="U108" s="807"/>
      <c r="V108" s="807"/>
      <c r="W108" s="419"/>
      <c r="X108" s="807" t="s">
        <v>82</v>
      </c>
      <c r="Y108" s="807"/>
      <c r="Z108" s="807"/>
      <c r="AA108" s="807"/>
      <c r="AB108" s="807"/>
      <c r="AC108" s="807"/>
      <c r="AD108" s="419"/>
      <c r="AE108" s="807" t="s">
        <v>83</v>
      </c>
      <c r="AF108" s="807"/>
      <c r="AG108" s="807"/>
      <c r="AH108" s="807"/>
      <c r="AI108" s="807"/>
      <c r="AJ108" s="807"/>
      <c r="AK108" s="419"/>
      <c r="AL108" s="807" t="s">
        <v>84</v>
      </c>
      <c r="AM108" s="807"/>
      <c r="AN108" s="807"/>
      <c r="AO108" s="807"/>
      <c r="AP108" s="807"/>
      <c r="AQ108" s="807"/>
    </row>
    <row r="109" spans="3:43" s="63" customFormat="1" ht="15.95" customHeight="1" thickBot="1" x14ac:dyDescent="0.3">
      <c r="C109" s="825"/>
      <c r="D109" s="810"/>
      <c r="E109" s="810"/>
      <c r="F109" s="810"/>
      <c r="G109" s="810"/>
      <c r="H109" s="811"/>
      <c r="I109" s="419"/>
      <c r="J109" s="825"/>
      <c r="K109" s="810"/>
      <c r="L109" s="810"/>
      <c r="M109" s="810"/>
      <c r="N109" s="810"/>
      <c r="O109" s="811"/>
      <c r="P109" s="419"/>
      <c r="Q109" s="825"/>
      <c r="R109" s="810"/>
      <c r="S109" s="810"/>
      <c r="T109" s="810"/>
      <c r="U109" s="810"/>
      <c r="V109" s="811"/>
      <c r="W109" s="419"/>
      <c r="X109" s="825"/>
      <c r="Y109" s="810"/>
      <c r="Z109" s="810"/>
      <c r="AA109" s="810"/>
      <c r="AB109" s="810"/>
      <c r="AC109" s="811"/>
      <c r="AD109" s="419"/>
      <c r="AE109" s="882"/>
      <c r="AF109" s="883"/>
      <c r="AG109" s="883"/>
      <c r="AH109" s="883"/>
      <c r="AI109" s="883"/>
      <c r="AJ109" s="884"/>
      <c r="AK109" s="419"/>
      <c r="AL109" s="882"/>
      <c r="AM109" s="883"/>
      <c r="AN109" s="883"/>
      <c r="AO109" s="883"/>
      <c r="AP109" s="883"/>
      <c r="AQ109" s="884"/>
    </row>
    <row r="110" spans="3:43" s="63" customFormat="1" ht="15.95" customHeight="1" x14ac:dyDescent="0.25">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419"/>
      <c r="AB110" s="419"/>
      <c r="AC110" s="419"/>
      <c r="AD110" s="419"/>
      <c r="AE110" s="419"/>
      <c r="AF110" s="419"/>
      <c r="AG110" s="419"/>
      <c r="AH110" s="419"/>
      <c r="AI110" s="419"/>
      <c r="AJ110" s="419"/>
      <c r="AK110" s="419"/>
      <c r="AL110" s="419"/>
      <c r="AM110" s="419"/>
      <c r="AN110" s="419"/>
      <c r="AO110" s="419"/>
      <c r="AP110" s="419"/>
      <c r="AQ110" s="419"/>
    </row>
    <row r="111" spans="3:43" s="63" customFormat="1" ht="15.95" customHeight="1" thickBot="1" x14ac:dyDescent="0.3">
      <c r="C111" s="807" t="s">
        <v>254</v>
      </c>
      <c r="D111" s="807"/>
      <c r="E111" s="807"/>
      <c r="F111" s="807"/>
      <c r="G111" s="807"/>
      <c r="H111" s="807"/>
      <c r="I111" s="419"/>
      <c r="J111" s="807" t="s">
        <v>89</v>
      </c>
      <c r="K111" s="807"/>
      <c r="L111" s="807"/>
      <c r="M111" s="807"/>
      <c r="N111" s="807"/>
      <c r="O111" s="807"/>
      <c r="P111" s="419"/>
      <c r="Q111" s="807" t="s">
        <v>85</v>
      </c>
      <c r="R111" s="807"/>
      <c r="S111" s="807"/>
      <c r="T111" s="807"/>
      <c r="U111" s="807"/>
      <c r="V111" s="807"/>
      <c r="W111" s="419"/>
      <c r="X111" s="815" t="s">
        <v>2354</v>
      </c>
      <c r="Y111" s="807"/>
      <c r="Z111" s="807"/>
      <c r="AA111" s="807"/>
      <c r="AB111" s="807"/>
      <c r="AC111" s="807"/>
      <c r="AD111" s="419"/>
      <c r="AE111" s="815" t="s">
        <v>2355</v>
      </c>
      <c r="AF111" s="807"/>
      <c r="AG111" s="807"/>
      <c r="AH111" s="807"/>
      <c r="AI111" s="807"/>
      <c r="AJ111" s="807"/>
      <c r="AK111" s="419"/>
      <c r="AL111" s="807"/>
      <c r="AM111" s="807"/>
      <c r="AN111" s="807"/>
      <c r="AO111" s="807"/>
      <c r="AP111" s="807"/>
      <c r="AQ111" s="807"/>
    </row>
    <row r="112" spans="3:43" s="63" customFormat="1" ht="15.95" customHeight="1" thickBot="1" x14ac:dyDescent="0.3">
      <c r="C112" s="892"/>
      <c r="D112" s="810"/>
      <c r="E112" s="810"/>
      <c r="F112" s="810"/>
      <c r="G112" s="810"/>
      <c r="H112" s="811"/>
      <c r="I112" s="419"/>
      <c r="J112" s="825"/>
      <c r="K112" s="810"/>
      <c r="L112" s="810"/>
      <c r="M112" s="810"/>
      <c r="N112" s="810"/>
      <c r="O112" s="811"/>
      <c r="P112" s="419"/>
      <c r="Q112" s="825"/>
      <c r="R112" s="810"/>
      <c r="S112" s="810"/>
      <c r="T112" s="810"/>
      <c r="U112" s="810"/>
      <c r="V112" s="811"/>
      <c r="W112" s="419"/>
      <c r="X112" s="825"/>
      <c r="Y112" s="810"/>
      <c r="Z112" s="810"/>
      <c r="AA112" s="810"/>
      <c r="AB112" s="810"/>
      <c r="AC112" s="811"/>
      <c r="AD112" s="419"/>
      <c r="AE112" s="868"/>
      <c r="AF112" s="869"/>
      <c r="AG112" s="869"/>
      <c r="AH112" s="869"/>
      <c r="AI112" s="869"/>
      <c r="AJ112" s="870"/>
      <c r="AK112" s="419"/>
      <c r="AL112" s="807"/>
      <c r="AM112" s="807"/>
      <c r="AN112" s="807"/>
      <c r="AO112" s="807"/>
      <c r="AP112" s="807"/>
      <c r="AQ112" s="807"/>
    </row>
    <row r="113" spans="3:43" s="63" customFormat="1" ht="15.95" customHeight="1" x14ac:dyDescent="0.2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row>
    <row r="114" spans="3:43" s="63" customFormat="1" ht="15.95" hidden="1" customHeight="1" x14ac:dyDescent="0.25">
      <c r="F114" s="905" t="s">
        <v>1669</v>
      </c>
      <c r="G114" s="905"/>
      <c r="H114" s="905"/>
      <c r="I114" s="905"/>
      <c r="J114" s="905"/>
      <c r="K114" s="905"/>
      <c r="L114" s="905"/>
      <c r="M114" s="905"/>
      <c r="N114" s="905"/>
      <c r="O114" s="905"/>
      <c r="P114" s="905"/>
      <c r="Q114" s="905"/>
      <c r="R114" s="905"/>
      <c r="S114" s="905"/>
      <c r="T114" s="905"/>
      <c r="U114" s="905"/>
      <c r="V114" s="905"/>
      <c r="W114" s="905"/>
      <c r="X114" s="905"/>
      <c r="Y114" s="905"/>
      <c r="Z114" s="905"/>
      <c r="AA114" s="905"/>
      <c r="AB114" s="905"/>
      <c r="AC114" s="905"/>
      <c r="AD114" s="905"/>
      <c r="AE114" s="905"/>
      <c r="AF114" s="905"/>
      <c r="AG114" s="905"/>
      <c r="AH114" s="905"/>
      <c r="AI114" s="905"/>
      <c r="AJ114" s="905"/>
      <c r="AK114" s="905"/>
      <c r="AL114" s="905"/>
      <c r="AM114" s="905"/>
      <c r="AN114" s="905"/>
    </row>
    <row r="115" spans="3:43" s="63" customFormat="1" ht="15.95" hidden="1" customHeight="1" x14ac:dyDescent="0.25"/>
    <row r="116" spans="3:43" s="63" customFormat="1" ht="15.95" hidden="1" customHeight="1" thickBot="1" x14ac:dyDescent="0.3">
      <c r="C116" s="891" t="s">
        <v>1657</v>
      </c>
      <c r="D116" s="891"/>
      <c r="E116" s="891"/>
      <c r="F116" s="891"/>
      <c r="G116" s="891"/>
      <c r="H116" s="891"/>
      <c r="I116" s="246"/>
      <c r="J116" s="65"/>
      <c r="K116" s="65"/>
      <c r="L116" s="65"/>
      <c r="M116" s="65"/>
      <c r="N116" s="65"/>
      <c r="O116" s="65"/>
      <c r="P116" s="246"/>
      <c r="Q116" s="891" t="s">
        <v>1658</v>
      </c>
      <c r="R116" s="891"/>
      <c r="S116" s="891"/>
      <c r="T116" s="891"/>
      <c r="U116" s="891"/>
      <c r="V116" s="891"/>
      <c r="W116" s="246"/>
      <c r="X116" s="891" t="s">
        <v>1659</v>
      </c>
      <c r="Y116" s="891"/>
      <c r="Z116" s="891"/>
      <c r="AA116" s="891"/>
      <c r="AB116" s="891"/>
      <c r="AC116" s="891"/>
      <c r="AD116" s="246"/>
      <c r="AE116" s="891" t="s">
        <v>1660</v>
      </c>
      <c r="AF116" s="891"/>
      <c r="AG116" s="891"/>
      <c r="AH116" s="891"/>
      <c r="AI116" s="891"/>
      <c r="AJ116" s="891"/>
      <c r="AK116" s="246"/>
      <c r="AL116" s="891" t="s">
        <v>1661</v>
      </c>
      <c r="AM116" s="891"/>
      <c r="AN116" s="891"/>
      <c r="AO116" s="891"/>
      <c r="AP116" s="891"/>
      <c r="AQ116" s="891"/>
    </row>
    <row r="117" spans="3:43" s="63" customFormat="1" ht="15.95" hidden="1" customHeight="1" thickBot="1" x14ac:dyDescent="0.3">
      <c r="C117" s="829"/>
      <c r="D117" s="830"/>
      <c r="E117" s="830"/>
      <c r="F117" s="830"/>
      <c r="G117" s="830"/>
      <c r="H117" s="830"/>
      <c r="I117" s="830"/>
      <c r="J117" s="830"/>
      <c r="K117" s="830"/>
      <c r="L117" s="830"/>
      <c r="M117" s="830"/>
      <c r="N117" s="830"/>
      <c r="O117" s="831"/>
      <c r="P117" s="144"/>
      <c r="Q117" s="825"/>
      <c r="R117" s="810"/>
      <c r="S117" s="810"/>
      <c r="T117" s="810"/>
      <c r="U117" s="810"/>
      <c r="V117" s="811"/>
      <c r="W117" s="144"/>
      <c r="X117" s="826"/>
      <c r="Y117" s="827"/>
      <c r="Z117" s="827"/>
      <c r="AA117" s="827"/>
      <c r="AB117" s="827"/>
      <c r="AC117" s="828"/>
      <c r="AD117" s="144"/>
      <c r="AE117" s="896"/>
      <c r="AF117" s="897"/>
      <c r="AG117" s="897"/>
      <c r="AH117" s="897"/>
      <c r="AI117" s="897"/>
      <c r="AJ117" s="898"/>
      <c r="AK117" s="144"/>
      <c r="AL117" s="896"/>
      <c r="AM117" s="897"/>
      <c r="AN117" s="897"/>
      <c r="AO117" s="897"/>
      <c r="AP117" s="897"/>
      <c r="AQ117" s="898"/>
    </row>
    <row r="118" spans="3:43" s="63" customFormat="1" ht="15.95" hidden="1" customHeight="1" x14ac:dyDescent="0.25"/>
    <row r="119" spans="3:43" s="63" customFormat="1" ht="15.95" hidden="1" customHeight="1" x14ac:dyDescent="0.25"/>
    <row r="120" spans="3:43" s="63" customFormat="1" ht="15.95" customHeight="1" x14ac:dyDescent="0.25"/>
    <row r="121" spans="3:43" s="63" customFormat="1" ht="15.95" hidden="1" customHeight="1" x14ac:dyDescent="0.25"/>
    <row r="122" spans="3:43" s="63" customFormat="1" ht="15.95" hidden="1" customHeight="1" x14ac:dyDescent="0.25"/>
    <row r="123" spans="3:43" s="63" customFormat="1" ht="15.95" hidden="1" customHeight="1" x14ac:dyDescent="0.25"/>
    <row r="124" spans="3:43" s="63" customFormat="1" ht="15.95" hidden="1" customHeight="1" x14ac:dyDescent="0.25"/>
    <row r="125" spans="3:43" s="63" customFormat="1" ht="15.95" hidden="1" customHeight="1" x14ac:dyDescent="0.25"/>
    <row r="126" spans="3:43" s="63" customFormat="1" ht="15.95" hidden="1" customHeight="1" x14ac:dyDescent="0.25"/>
    <row r="127" spans="3:43" s="63" customFormat="1" ht="15.95" hidden="1" customHeight="1" x14ac:dyDescent="0.25"/>
    <row r="128" spans="3:43" s="63" customFormat="1" ht="15.95" hidden="1" customHeight="1" x14ac:dyDescent="0.25"/>
    <row r="129" s="63" customFormat="1" ht="15.95" hidden="1" customHeight="1" x14ac:dyDescent="0.25"/>
    <row r="130" s="63" customFormat="1" ht="15.95" hidden="1" customHeight="1" x14ac:dyDescent="0.25"/>
    <row r="131" s="63" customFormat="1" ht="15.95" hidden="1" customHeight="1" x14ac:dyDescent="0.25"/>
    <row r="132" s="63" customFormat="1" ht="15.95" hidden="1" customHeight="1" x14ac:dyDescent="0.25"/>
    <row r="133" s="63" customFormat="1" ht="15.95" hidden="1" customHeight="1" x14ac:dyDescent="0.25"/>
    <row r="134" s="63" customFormat="1" ht="15.95" hidden="1" customHeight="1" x14ac:dyDescent="0.25"/>
    <row r="135" s="63" customFormat="1" ht="15.95" hidden="1" customHeight="1" x14ac:dyDescent="0.25"/>
    <row r="136" s="63" customFormat="1" ht="15.95" hidden="1" customHeight="1" x14ac:dyDescent="0.25"/>
    <row r="137" s="63" customFormat="1" ht="15.95" hidden="1" customHeight="1" x14ac:dyDescent="0.25"/>
    <row r="138" s="63" customFormat="1" ht="15.95" hidden="1" customHeight="1" x14ac:dyDescent="0.25"/>
    <row r="139" s="63" customFormat="1" ht="15.95" hidden="1" customHeight="1" x14ac:dyDescent="0.25"/>
    <row r="140" s="63" customFormat="1" ht="15.95" hidden="1" customHeight="1" x14ac:dyDescent="0.25"/>
    <row r="141" s="63" customFormat="1" ht="15.95" hidden="1" customHeight="1" x14ac:dyDescent="0.25"/>
    <row r="142" s="63" customFormat="1" ht="15.95" hidden="1" customHeight="1" x14ac:dyDescent="0.25"/>
    <row r="143" s="63" customFormat="1" ht="15.95" hidden="1" customHeight="1" x14ac:dyDescent="0.25"/>
    <row r="144" s="63" customFormat="1" ht="15.95" hidden="1" customHeight="1" x14ac:dyDescent="0.25"/>
    <row r="145" s="63" customFormat="1" ht="15.95" hidden="1" customHeight="1" x14ac:dyDescent="0.25"/>
    <row r="146" s="63" customFormat="1" ht="15.95" hidden="1" customHeight="1" x14ac:dyDescent="0.25"/>
    <row r="147" s="63" customFormat="1" ht="15.95" hidden="1" customHeight="1" x14ac:dyDescent="0.25"/>
    <row r="148" s="63" customFormat="1" ht="15.95" hidden="1" customHeight="1" x14ac:dyDescent="0.25"/>
    <row r="149" s="63" customFormat="1" ht="15.95" hidden="1" customHeight="1" x14ac:dyDescent="0.25"/>
    <row r="150" s="63" customFormat="1" ht="15.95" hidden="1" customHeight="1" x14ac:dyDescent="0.25"/>
    <row r="151" s="63" customFormat="1" ht="15.95" hidden="1" customHeight="1" x14ac:dyDescent="0.25"/>
    <row r="152" s="63" customFormat="1" ht="15.95" hidden="1" customHeight="1" x14ac:dyDescent="0.25"/>
    <row r="153" s="63" customFormat="1" ht="15.95" hidden="1" customHeight="1" x14ac:dyDescent="0.25"/>
    <row r="154" s="63" customFormat="1" ht="15.95" hidden="1" customHeight="1" x14ac:dyDescent="0.25"/>
    <row r="155" s="63" customFormat="1" ht="15.95" hidden="1" customHeight="1" x14ac:dyDescent="0.25"/>
    <row r="156" s="63" customFormat="1" ht="15.95" hidden="1" customHeight="1" x14ac:dyDescent="0.25"/>
    <row r="157" s="63" customFormat="1" ht="15.95" hidden="1" customHeight="1" x14ac:dyDescent="0.25"/>
    <row r="158" s="63" customFormat="1" ht="15.95" hidden="1" customHeight="1" x14ac:dyDescent="0.25"/>
    <row r="159" s="63" customFormat="1" ht="15.95" hidden="1" customHeight="1" x14ac:dyDescent="0.25"/>
    <row r="160" s="63" customFormat="1" ht="15.95" hidden="1" customHeight="1" x14ac:dyDescent="0.25"/>
    <row r="161" s="63" customFormat="1" ht="15.95" hidden="1" customHeight="1" x14ac:dyDescent="0.25"/>
    <row r="162" s="63" customFormat="1" ht="15.95" hidden="1" customHeight="1" x14ac:dyDescent="0.25"/>
    <row r="163" s="63" customFormat="1" ht="15.95" hidden="1" customHeight="1" x14ac:dyDescent="0.25"/>
    <row r="164" s="63" customFormat="1" ht="15.95" hidden="1" customHeight="1" x14ac:dyDescent="0.25"/>
    <row r="165" s="63" customFormat="1" ht="15.95" hidden="1" customHeight="1" x14ac:dyDescent="0.25"/>
    <row r="166" s="63" customFormat="1" ht="15.95" hidden="1" customHeight="1" x14ac:dyDescent="0.25"/>
    <row r="167" s="63" customFormat="1" ht="15.95" hidden="1" customHeight="1" x14ac:dyDescent="0.25"/>
    <row r="168" s="63" customFormat="1" ht="15.95" hidden="1" customHeight="1" x14ac:dyDescent="0.25"/>
    <row r="169" s="63" customFormat="1" ht="15.95" hidden="1" customHeight="1" x14ac:dyDescent="0.25"/>
    <row r="170" s="63" customFormat="1" ht="15.95" hidden="1" customHeight="1" x14ac:dyDescent="0.25"/>
    <row r="171" s="63" customFormat="1" ht="15.95" hidden="1" customHeight="1" x14ac:dyDescent="0.25"/>
    <row r="172" s="63" customFormat="1" ht="15.95" hidden="1" customHeight="1" x14ac:dyDescent="0.25"/>
    <row r="173" s="63" customFormat="1" ht="15.95" hidden="1" customHeight="1" x14ac:dyDescent="0.25"/>
    <row r="174" s="63" customFormat="1" ht="15.95" hidden="1" customHeight="1" x14ac:dyDescent="0.25"/>
    <row r="175" s="63" customFormat="1" ht="15.95" hidden="1" customHeight="1" x14ac:dyDescent="0.25"/>
    <row r="176" s="63" customFormat="1" ht="15.95" hidden="1" customHeight="1" x14ac:dyDescent="0.25"/>
    <row r="177" s="63" customFormat="1" ht="15.95" hidden="1" customHeight="1" x14ac:dyDescent="0.25"/>
    <row r="178" s="63" customFormat="1" ht="15.95" hidden="1" customHeight="1" x14ac:dyDescent="0.25"/>
    <row r="179" s="63" customFormat="1" ht="15.95" hidden="1" customHeight="1" x14ac:dyDescent="0.25"/>
    <row r="180" s="63" customFormat="1" ht="15.95" hidden="1" customHeight="1" x14ac:dyDescent="0.25"/>
    <row r="181" s="63" customFormat="1" ht="15.95" hidden="1" customHeight="1" x14ac:dyDescent="0.25"/>
    <row r="182" s="63" customFormat="1" ht="15.95" hidden="1" customHeight="1" x14ac:dyDescent="0.25"/>
    <row r="183" s="63" customFormat="1" ht="15.95" hidden="1" customHeight="1" x14ac:dyDescent="0.25"/>
    <row r="184" s="63" customFormat="1" ht="15.95" hidden="1" customHeight="1" x14ac:dyDescent="0.25"/>
    <row r="185" s="63" customFormat="1" ht="15.95" hidden="1" customHeight="1" x14ac:dyDescent="0.25"/>
    <row r="186" s="63" customFormat="1" ht="15.95" hidden="1" customHeight="1" x14ac:dyDescent="0.25"/>
    <row r="187" s="63" customFormat="1" ht="15.95" hidden="1" customHeight="1" x14ac:dyDescent="0.25"/>
    <row r="188" s="63" customFormat="1" ht="15.95" hidden="1" customHeight="1" x14ac:dyDescent="0.25"/>
    <row r="189" s="63" customFormat="1" ht="15.95" hidden="1" customHeight="1" x14ac:dyDescent="0.25"/>
    <row r="190" s="63" customFormat="1" ht="15.95" hidden="1" customHeight="1" x14ac:dyDescent="0.25"/>
    <row r="191" s="63" customFormat="1" ht="15.95" hidden="1" customHeight="1" x14ac:dyDescent="0.25"/>
    <row r="192" s="63" customFormat="1" ht="15.95" hidden="1" customHeight="1" x14ac:dyDescent="0.25"/>
    <row r="193" spans="2:44" s="63" customFormat="1" ht="15.95" hidden="1" customHeight="1" x14ac:dyDescent="0.25"/>
    <row r="194" spans="2:44" s="63" customFormat="1" ht="15.95" hidden="1" customHeight="1" x14ac:dyDescent="0.25"/>
    <row r="195" spans="2:44" s="63" customFormat="1" ht="15.95" hidden="1" customHeight="1" x14ac:dyDescent="0.25"/>
    <row r="196" spans="2:44" s="63" customFormat="1" ht="15.95" hidden="1" customHeight="1" x14ac:dyDescent="0.25"/>
    <row r="197" spans="2:44" s="63" customFormat="1" ht="15.95" hidden="1" customHeight="1" x14ac:dyDescent="0.25"/>
    <row r="198" spans="2:44" s="63" customFormat="1" ht="15.95" hidden="1" customHeight="1" x14ac:dyDescent="0.25"/>
    <row r="199" spans="2:44" ht="15.95" hidden="1" customHeight="1" x14ac:dyDescent="0.25"/>
    <row r="200" spans="2:44" ht="15.95" customHeight="1" x14ac:dyDescent="0.25">
      <c r="B200" s="136" t="str">
        <f>FOOT1</f>
        <v>Ameren Missouri BizSavers program</v>
      </c>
      <c r="C200" s="136"/>
      <c r="D200" s="136"/>
      <c r="E200" s="136"/>
      <c r="F200" s="136"/>
      <c r="G200" s="136"/>
      <c r="H200" s="136"/>
      <c r="I200" s="136"/>
      <c r="J200" s="136"/>
      <c r="K200" s="136"/>
      <c r="L200" s="136"/>
      <c r="M200" s="729" t="str">
        <f>FOOTDISCLAIM</f>
        <v/>
      </c>
      <c r="N200" s="729"/>
      <c r="O200" s="729"/>
      <c r="P200" s="729"/>
      <c r="Q200" s="729"/>
      <c r="R200" s="729"/>
      <c r="S200" s="729"/>
      <c r="T200" s="729"/>
      <c r="U200" s="729"/>
      <c r="V200" s="729"/>
      <c r="W200" s="729"/>
      <c r="X200" s="729"/>
      <c r="Y200" s="729"/>
      <c r="Z200" s="729"/>
      <c r="AA200" s="729"/>
      <c r="AB200" s="729"/>
      <c r="AC200" s="729"/>
      <c r="AD200" s="729"/>
      <c r="AE200" s="729"/>
      <c r="AF200" s="729"/>
      <c r="AG200" s="729"/>
      <c r="AH200" s="136"/>
      <c r="AI200" s="136"/>
      <c r="AJ200" s="136"/>
      <c r="AK200" s="136"/>
      <c r="AL200" s="136"/>
      <c r="AM200" s="136"/>
      <c r="AN200" s="136"/>
      <c r="AO200" s="136"/>
      <c r="AP200" s="136"/>
      <c r="AQ200" s="136"/>
      <c r="AR200" s="300" t="str">
        <f>FOOT4</f>
        <v/>
      </c>
    </row>
    <row r="201" spans="2:44" ht="15.95" customHeight="1" x14ac:dyDescent="0.25">
      <c r="B201" s="136" t="str">
        <f>FOOT2</f>
        <v>Toll-Free 866-941-7299</v>
      </c>
      <c r="C201" s="136"/>
      <c r="D201" s="136"/>
      <c r="E201" s="136"/>
      <c r="F201" s="136"/>
      <c r="G201" s="136"/>
      <c r="H201" s="136"/>
      <c r="I201" s="136"/>
      <c r="J201" s="136"/>
      <c r="K201" s="136"/>
      <c r="L201" s="136"/>
      <c r="M201" s="729"/>
      <c r="N201" s="729"/>
      <c r="O201" s="729"/>
      <c r="P201" s="729"/>
      <c r="Q201" s="729"/>
      <c r="R201" s="729"/>
      <c r="S201" s="729"/>
      <c r="T201" s="729"/>
      <c r="U201" s="729"/>
      <c r="V201" s="729"/>
      <c r="W201" s="729"/>
      <c r="X201" s="729"/>
      <c r="Y201" s="729"/>
      <c r="Z201" s="729"/>
      <c r="AA201" s="729"/>
      <c r="AB201" s="729"/>
      <c r="AC201" s="729"/>
      <c r="AD201" s="729"/>
      <c r="AE201" s="729"/>
      <c r="AF201" s="729"/>
      <c r="AG201" s="729"/>
      <c r="AH201" s="136"/>
      <c r="AI201" s="136"/>
      <c r="AJ201" s="136"/>
      <c r="AK201" s="136"/>
      <c r="AL201" s="136"/>
      <c r="AM201" s="136"/>
      <c r="AN201" s="136"/>
      <c r="AO201" s="136"/>
      <c r="AP201" s="136"/>
      <c r="AQ201" s="136"/>
      <c r="AR201" s="300" t="str">
        <f>FOOT5</f>
        <v/>
      </c>
    </row>
    <row r="202" spans="2:44" ht="15.95" customHeight="1" x14ac:dyDescent="0.25">
      <c r="B202" s="138" t="str">
        <f>FOOT3</f>
        <v>BizSavers@ameren.com</v>
      </c>
      <c r="C202" s="136"/>
      <c r="D202" s="136"/>
      <c r="E202" s="136"/>
      <c r="F202" s="136"/>
      <c r="G202" s="136"/>
      <c r="H202" s="136"/>
      <c r="I202" s="136"/>
      <c r="J202" s="136"/>
      <c r="K202" s="136"/>
      <c r="L202" s="136"/>
      <c r="M202" s="139"/>
      <c r="N202" s="136"/>
      <c r="O202" s="136"/>
      <c r="P202" s="139"/>
      <c r="Q202" s="139"/>
      <c r="R202" s="139"/>
      <c r="S202" s="139"/>
      <c r="T202" s="139"/>
      <c r="U202" s="139"/>
      <c r="V202" s="139"/>
      <c r="W202" s="140" t="str">
        <f>VERSION</f>
        <v>New Construction v3.8.0</v>
      </c>
      <c r="X202" s="139"/>
      <c r="Y202" s="139"/>
      <c r="Z202" s="139"/>
      <c r="AA202" s="139"/>
      <c r="AB202" s="139"/>
      <c r="AC202" s="139"/>
      <c r="AD202" s="139"/>
      <c r="AE202" s="136"/>
      <c r="AF202" s="136"/>
      <c r="AG202" s="136"/>
      <c r="AH202" s="136"/>
      <c r="AI202" s="136"/>
      <c r="AJ202" s="136"/>
      <c r="AK202" s="136"/>
      <c r="AL202" s="136"/>
      <c r="AM202" s="136"/>
      <c r="AN202" s="136"/>
      <c r="AO202" s="136"/>
      <c r="AP202" s="136"/>
      <c r="AQ202" s="136"/>
      <c r="AR202" s="300" t="str">
        <f>FOOT6</f>
        <v>Product of TRC Companies</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sheetData>
  <sheetProtection algorithmName="SHA-512" hashValue="v1rloGM9FK1up4fbylIwHjmlsApAY0yWnXYkBFCOqwnb0LMnsCODM/C3rFITj6V1GfN+k143gy3wVoiBGa50XQ==" saltValue="k/NMouIMx4tR/jTyNzZqbQ==" spinCount="100000" sheet="1" objects="1" scenarios="1" selectLockedCells="1"/>
  <mergeCells count="262">
    <mergeCell ref="C117:O117"/>
    <mergeCell ref="Q117:V117"/>
    <mergeCell ref="X117:AC117"/>
    <mergeCell ref="AE117:AJ117"/>
    <mergeCell ref="AL117:AQ117"/>
    <mergeCell ref="AL112:AQ112"/>
    <mergeCell ref="F114:AN114"/>
    <mergeCell ref="C116:H116"/>
    <mergeCell ref="Q116:V116"/>
    <mergeCell ref="X116:AC116"/>
    <mergeCell ref="AE116:AJ116"/>
    <mergeCell ref="AL116:AQ116"/>
    <mergeCell ref="C112:H112"/>
    <mergeCell ref="J112:O112"/>
    <mergeCell ref="Q112:V112"/>
    <mergeCell ref="X112:AC112"/>
    <mergeCell ref="AE112:AJ112"/>
    <mergeCell ref="AL109:AQ109"/>
    <mergeCell ref="C111:H111"/>
    <mergeCell ref="J111:O111"/>
    <mergeCell ref="Q111:V111"/>
    <mergeCell ref="X111:AC111"/>
    <mergeCell ref="AE111:AJ111"/>
    <mergeCell ref="AL111:AQ111"/>
    <mergeCell ref="C109:H109"/>
    <mergeCell ref="J109:O109"/>
    <mergeCell ref="Q109:V109"/>
    <mergeCell ref="X109:AC109"/>
    <mergeCell ref="AE109:AJ109"/>
    <mergeCell ref="F106:AN106"/>
    <mergeCell ref="C108:H108"/>
    <mergeCell ref="J108:O108"/>
    <mergeCell ref="Q108:V108"/>
    <mergeCell ref="X108:AC108"/>
    <mergeCell ref="AE108:AJ108"/>
    <mergeCell ref="AL108:AQ108"/>
    <mergeCell ref="C102:O102"/>
    <mergeCell ref="Q102:V102"/>
    <mergeCell ref="X102:AC102"/>
    <mergeCell ref="AE102:AJ102"/>
    <mergeCell ref="AL102:AQ102"/>
    <mergeCell ref="AL97:AQ97"/>
    <mergeCell ref="F99:AN99"/>
    <mergeCell ref="C101:H101"/>
    <mergeCell ref="Q101:V101"/>
    <mergeCell ref="X101:AC101"/>
    <mergeCell ref="AE101:AJ101"/>
    <mergeCell ref="AL101:AQ101"/>
    <mergeCell ref="C97:H97"/>
    <mergeCell ref="J97:O97"/>
    <mergeCell ref="Q97:V97"/>
    <mergeCell ref="X97:AC97"/>
    <mergeCell ref="AE97:AJ97"/>
    <mergeCell ref="AL94:AQ94"/>
    <mergeCell ref="C96:H96"/>
    <mergeCell ref="J96:O96"/>
    <mergeCell ref="Q96:V96"/>
    <mergeCell ref="X96:AC96"/>
    <mergeCell ref="AE96:AJ96"/>
    <mergeCell ref="AL96:AQ96"/>
    <mergeCell ref="C94:H94"/>
    <mergeCell ref="J94:O94"/>
    <mergeCell ref="Q94:V94"/>
    <mergeCell ref="X94:AC94"/>
    <mergeCell ref="AE94:AJ94"/>
    <mergeCell ref="F91:AN91"/>
    <mergeCell ref="C93:H93"/>
    <mergeCell ref="J93:O93"/>
    <mergeCell ref="Q93:V93"/>
    <mergeCell ref="X93:AC93"/>
    <mergeCell ref="AE93:AJ93"/>
    <mergeCell ref="AL93:AQ93"/>
    <mergeCell ref="C87:O87"/>
    <mergeCell ref="Q87:V87"/>
    <mergeCell ref="X87:AC87"/>
    <mergeCell ref="AE87:AJ87"/>
    <mergeCell ref="AL87:AQ87"/>
    <mergeCell ref="AL82:AQ82"/>
    <mergeCell ref="F84:AN84"/>
    <mergeCell ref="C86:H86"/>
    <mergeCell ref="Q86:V86"/>
    <mergeCell ref="X86:AC86"/>
    <mergeCell ref="AE86:AJ86"/>
    <mergeCell ref="AL86:AQ86"/>
    <mergeCell ref="C82:H82"/>
    <mergeCell ref="J82:O82"/>
    <mergeCell ref="Q82:V82"/>
    <mergeCell ref="X82:AC82"/>
    <mergeCell ref="AE82:AJ82"/>
    <mergeCell ref="AL79:AQ79"/>
    <mergeCell ref="C81:H81"/>
    <mergeCell ref="J81:O81"/>
    <mergeCell ref="Q81:V81"/>
    <mergeCell ref="X81:AC81"/>
    <mergeCell ref="AE81:AJ81"/>
    <mergeCell ref="AL81:AQ81"/>
    <mergeCell ref="C79:H79"/>
    <mergeCell ref="J79:O79"/>
    <mergeCell ref="Q79:V79"/>
    <mergeCell ref="X79:AC79"/>
    <mergeCell ref="AE79:AJ79"/>
    <mergeCell ref="F76:AN76"/>
    <mergeCell ref="C78:H78"/>
    <mergeCell ref="J78:O78"/>
    <mergeCell ref="Q78:V78"/>
    <mergeCell ref="X78:AC78"/>
    <mergeCell ref="AE78:AJ78"/>
    <mergeCell ref="AL78:AQ78"/>
    <mergeCell ref="C72:O72"/>
    <mergeCell ref="Q72:V72"/>
    <mergeCell ref="X72:AC72"/>
    <mergeCell ref="AE72:AJ72"/>
    <mergeCell ref="AL72:AQ72"/>
    <mergeCell ref="AL67:AQ67"/>
    <mergeCell ref="F69:AN69"/>
    <mergeCell ref="C71:H71"/>
    <mergeCell ref="Q71:V71"/>
    <mergeCell ref="X71:AC71"/>
    <mergeCell ref="AE71:AJ71"/>
    <mergeCell ref="AL71:AQ71"/>
    <mergeCell ref="C67:H67"/>
    <mergeCell ref="J67:O67"/>
    <mergeCell ref="Q67:V67"/>
    <mergeCell ref="X67:AC67"/>
    <mergeCell ref="AE67:AJ67"/>
    <mergeCell ref="AL64:AQ64"/>
    <mergeCell ref="C66:H66"/>
    <mergeCell ref="J66:O66"/>
    <mergeCell ref="Q66:V66"/>
    <mergeCell ref="X66:AC66"/>
    <mergeCell ref="AE66:AJ66"/>
    <mergeCell ref="AL66:AQ66"/>
    <mergeCell ref="C64:H64"/>
    <mergeCell ref="J64:O64"/>
    <mergeCell ref="Q64:V64"/>
    <mergeCell ref="X64:AC64"/>
    <mergeCell ref="AE64:AJ64"/>
    <mergeCell ref="F61:AN61"/>
    <mergeCell ref="C63:H63"/>
    <mergeCell ref="J63:O63"/>
    <mergeCell ref="Q63:V63"/>
    <mergeCell ref="X63:AC63"/>
    <mergeCell ref="AE63:AJ63"/>
    <mergeCell ref="AL63:AQ63"/>
    <mergeCell ref="C57:O57"/>
    <mergeCell ref="Q57:V57"/>
    <mergeCell ref="X57:AC57"/>
    <mergeCell ref="AE57:AJ57"/>
    <mergeCell ref="AL57:AQ57"/>
    <mergeCell ref="AL52:AQ52"/>
    <mergeCell ref="F54:AN54"/>
    <mergeCell ref="C56:H56"/>
    <mergeCell ref="Q56:V56"/>
    <mergeCell ref="X56:AC56"/>
    <mergeCell ref="AE56:AJ56"/>
    <mergeCell ref="AL56:AQ56"/>
    <mergeCell ref="C52:H52"/>
    <mergeCell ref="J52:O52"/>
    <mergeCell ref="Q52:V52"/>
    <mergeCell ref="X52:AC52"/>
    <mergeCell ref="AE52:AJ52"/>
    <mergeCell ref="AL49:AQ49"/>
    <mergeCell ref="C51:H51"/>
    <mergeCell ref="J51:O51"/>
    <mergeCell ref="Q51:V51"/>
    <mergeCell ref="X51:AC51"/>
    <mergeCell ref="AE51:AJ51"/>
    <mergeCell ref="AL51:AQ51"/>
    <mergeCell ref="C49:H49"/>
    <mergeCell ref="J49:O49"/>
    <mergeCell ref="Q49:V49"/>
    <mergeCell ref="X49:AC49"/>
    <mergeCell ref="AE49:AJ49"/>
    <mergeCell ref="F46:AN46"/>
    <mergeCell ref="C48:H48"/>
    <mergeCell ref="J48:O48"/>
    <mergeCell ref="Q48:V48"/>
    <mergeCell ref="X48:AC48"/>
    <mergeCell ref="AE48:AJ48"/>
    <mergeCell ref="AL48:AQ48"/>
    <mergeCell ref="C42:O42"/>
    <mergeCell ref="Q42:V42"/>
    <mergeCell ref="X42:AC42"/>
    <mergeCell ref="AE42:AJ42"/>
    <mergeCell ref="AL42:AQ42"/>
    <mergeCell ref="AE41:AJ41"/>
    <mergeCell ref="AL41:AQ41"/>
    <mergeCell ref="AL36:AQ36"/>
    <mergeCell ref="C37:H37"/>
    <mergeCell ref="J37:O37"/>
    <mergeCell ref="Q37:V37"/>
    <mergeCell ref="X37:AC37"/>
    <mergeCell ref="AE37:AJ37"/>
    <mergeCell ref="AL37:AQ37"/>
    <mergeCell ref="C36:H36"/>
    <mergeCell ref="J36:O36"/>
    <mergeCell ref="Q36:V36"/>
    <mergeCell ref="X36:AC36"/>
    <mergeCell ref="AE36:AJ36"/>
    <mergeCell ref="F23:AN23"/>
    <mergeCell ref="C26:H26"/>
    <mergeCell ref="Q26:V26"/>
    <mergeCell ref="X26:AC26"/>
    <mergeCell ref="AE26:AJ26"/>
    <mergeCell ref="AL26:AQ26"/>
    <mergeCell ref="AQ1:AR1"/>
    <mergeCell ref="AQ2:AR3"/>
    <mergeCell ref="AH1:AK1"/>
    <mergeCell ref="AL1:AP1"/>
    <mergeCell ref="AH2:AK3"/>
    <mergeCell ref="AL2:AP3"/>
    <mergeCell ref="F10:AN10"/>
    <mergeCell ref="C14:H14"/>
    <mergeCell ref="F11:AN11"/>
    <mergeCell ref="AL17:AQ17"/>
    <mergeCell ref="C16:H16"/>
    <mergeCell ref="J16:O16"/>
    <mergeCell ref="Q16:V16"/>
    <mergeCell ref="X16:AC16"/>
    <mergeCell ref="AE16:AJ16"/>
    <mergeCell ref="AL16:AQ16"/>
    <mergeCell ref="C17:H17"/>
    <mergeCell ref="J17:O17"/>
    <mergeCell ref="Q17:V17"/>
    <mergeCell ref="X17:AC17"/>
    <mergeCell ref="AE17:AJ17"/>
    <mergeCell ref="AL20:AQ20"/>
    <mergeCell ref="C19:H19"/>
    <mergeCell ref="J19:O19"/>
    <mergeCell ref="Q19:V19"/>
    <mergeCell ref="X19:AC19"/>
    <mergeCell ref="AE19:AJ19"/>
    <mergeCell ref="AL19:AQ19"/>
    <mergeCell ref="C20:H20"/>
    <mergeCell ref="J20:O20"/>
    <mergeCell ref="Q20:V20"/>
    <mergeCell ref="X20:AC20"/>
    <mergeCell ref="AE20:AJ20"/>
    <mergeCell ref="F24:AN24"/>
    <mergeCell ref="Q27:V27"/>
    <mergeCell ref="X27:AC27"/>
    <mergeCell ref="AE27:AJ27"/>
    <mergeCell ref="C27:O27"/>
    <mergeCell ref="AL27:AQ27"/>
    <mergeCell ref="M200:AG201"/>
    <mergeCell ref="F31:AN31"/>
    <mergeCell ref="C33:H33"/>
    <mergeCell ref="J33:O33"/>
    <mergeCell ref="Q33:V33"/>
    <mergeCell ref="X33:AC33"/>
    <mergeCell ref="AE33:AJ33"/>
    <mergeCell ref="AL33:AQ33"/>
    <mergeCell ref="C34:H34"/>
    <mergeCell ref="J34:O34"/>
    <mergeCell ref="Q34:V34"/>
    <mergeCell ref="X34:AC34"/>
    <mergeCell ref="AE34:AJ34"/>
    <mergeCell ref="AL34:AQ34"/>
    <mergeCell ref="F39:AN39"/>
    <mergeCell ref="C41:H41"/>
    <mergeCell ref="Q41:V41"/>
    <mergeCell ref="X41:AC41"/>
  </mergeCells>
  <conditionalFormatting sqref="C17 J17 Q17 X17 AE17 AL17 C20 J20 Q20 X20 AE20 C27 Q27 X27 AE27">
    <cfRule type="expression" dxfId="295" priority="38">
      <formula>M02S03F01="No"</formula>
    </cfRule>
  </conditionalFormatting>
  <conditionalFormatting sqref="C27 Q27 X27 AE27">
    <cfRule type="expression" dxfId="294" priority="37">
      <formula>M02S03F13="Not Applicable"</formula>
    </cfRule>
  </conditionalFormatting>
  <conditionalFormatting sqref="C34 J34 Q34 X34 AE34 AL34 C37 J37 Q37 X37 AE37">
    <cfRule type="expression" dxfId="293" priority="36">
      <formula>M02S03F01="Self-Installed"</formula>
    </cfRule>
  </conditionalFormatting>
  <conditionalFormatting sqref="C42 Q42 X42 AE42 AL42">
    <cfRule type="expression" dxfId="292" priority="35">
      <formula>M02S03F01="Self-Installed"</formula>
    </cfRule>
  </conditionalFormatting>
  <conditionalFormatting sqref="C42 Q42 X42 AE42 AL42">
    <cfRule type="expression" dxfId="291" priority="34">
      <formula>M02S03F13="Not Applicable"</formula>
    </cfRule>
  </conditionalFormatting>
  <conditionalFormatting sqref="C49 J49 Q49 X49 AE49 AL49 C52 J52 Q52 X52 AE52">
    <cfRule type="expression" dxfId="290" priority="33">
      <formula>M02S03F01="Self-Installed"</formula>
    </cfRule>
  </conditionalFormatting>
  <conditionalFormatting sqref="C57 Q57 X57 AE57 AL57">
    <cfRule type="expression" dxfId="289" priority="32">
      <formula>M02S03F01="Self-Installed"</formula>
    </cfRule>
  </conditionalFormatting>
  <conditionalFormatting sqref="C57 Q57 X57 AE57 AL57">
    <cfRule type="expression" dxfId="288" priority="31">
      <formula>M02S03F13="Not Applicable"</formula>
    </cfRule>
  </conditionalFormatting>
  <conditionalFormatting sqref="C64 J64 Q64 X64 AE64 AL64 C67 J67 Q67 X67 AE67">
    <cfRule type="expression" dxfId="287" priority="30">
      <formula>M02S03F01="Self-Installed"</formula>
    </cfRule>
  </conditionalFormatting>
  <conditionalFormatting sqref="C72 Q72 X72 AE72 AL72">
    <cfRule type="expression" dxfId="286" priority="29">
      <formula>M02S03F01="Self-Installed"</formula>
    </cfRule>
  </conditionalFormatting>
  <conditionalFormatting sqref="C72 Q72 X72 AE72 AL72">
    <cfRule type="expression" dxfId="285" priority="28">
      <formula>M02S03F13="Not Applicable"</formula>
    </cfRule>
  </conditionalFormatting>
  <conditionalFormatting sqref="C79 J79 Q79 X79 AE79 AL79 C82 J82 Q82 X82 AE82">
    <cfRule type="expression" dxfId="284" priority="27">
      <formula>M02S03F01="Self-Installed"</formula>
    </cfRule>
  </conditionalFormatting>
  <conditionalFormatting sqref="C87 Q87 X87 AE87 AL87">
    <cfRule type="expression" dxfId="283" priority="26">
      <formula>M02S03F01="Self-Installed"</formula>
    </cfRule>
  </conditionalFormatting>
  <conditionalFormatting sqref="C87 Q87 X87 AE87 AL87">
    <cfRule type="expression" dxfId="282" priority="25">
      <formula>M02S03F13="Not Applicable"</formula>
    </cfRule>
  </conditionalFormatting>
  <conditionalFormatting sqref="C94 J94 Q94 X94 AE94 AL94 C97 J97 Q97 X97 AE97">
    <cfRule type="expression" dxfId="281" priority="24">
      <formula>M02S03F01="Self-Installed"</formula>
    </cfRule>
  </conditionalFormatting>
  <conditionalFormatting sqref="C102 Q102 X102 AE102 AL102">
    <cfRule type="expression" dxfId="280" priority="23">
      <formula>M02S03F01="Self-Installed"</formula>
    </cfRule>
  </conditionalFormatting>
  <conditionalFormatting sqref="C102 Q102 X102 AE102 AL102">
    <cfRule type="expression" dxfId="279" priority="22">
      <formula>M02S03F13="Not Applicable"</formula>
    </cfRule>
  </conditionalFormatting>
  <conditionalFormatting sqref="C109 J109 Q109 X109 AE109 AL109 C112 J112 Q112 X112 AE112">
    <cfRule type="expression" dxfId="278" priority="21">
      <formula>M02S03F01="Self-Installed"</formula>
    </cfRule>
  </conditionalFormatting>
  <conditionalFormatting sqref="C117 Q117 X117 AE117 AL117">
    <cfRule type="expression" dxfId="277" priority="20">
      <formula>M02S03F01="Self-Installed"</formula>
    </cfRule>
  </conditionalFormatting>
  <conditionalFormatting sqref="C117 Q117 X117 AE117 AL117">
    <cfRule type="expression" dxfId="276" priority="19">
      <formula>M02S03F13="Not Applicable"</formula>
    </cfRule>
  </conditionalFormatting>
  <conditionalFormatting sqref="C14">
    <cfRule type="expression" dxfId="275" priority="18">
      <formula>M02S03F01="Self-Installed"</formula>
    </cfRule>
  </conditionalFormatting>
  <conditionalFormatting sqref="AQ2:AR3">
    <cfRule type="cellIs" dxfId="274" priority="5" operator="equal">
      <formula>1</formula>
    </cfRule>
    <cfRule type="cellIs" dxfId="273" priority="6" operator="between">
      <formula>0.51</formula>
      <formula>0.99</formula>
    </cfRule>
    <cfRule type="cellIs" dxfId="272" priority="7" operator="lessThanOrEqual">
      <formula>0.5</formula>
    </cfRule>
  </conditionalFormatting>
  <conditionalFormatting sqref="AH2 AL2">
    <cfRule type="expression" dxfId="271" priority="3">
      <formula>OR(PROJSTATUS=PROJSTATELI,PROJSTATUS=PROJSTATEXP,PROJSTATUS=PROJSTATUNDER)</formula>
    </cfRule>
    <cfRule type="expression" dxfId="270" priority="4">
      <formula>PROJSTATUS=PROJSTATFILLINITIAL</formula>
    </cfRule>
    <cfRule type="expression" dxfId="269" priority="8">
      <formula>PROJSTATUS=PROJSTATPREAPPROVE</formula>
    </cfRule>
    <cfRule type="expression" dxfId="268" priority="9">
      <formula>OR(PROJSTATUS=PROJSTATSSUBMITINITIAL,PROJSTATUS=PROJSTATREVIEW)</formula>
    </cfRule>
  </conditionalFormatting>
  <conditionalFormatting sqref="AL27">
    <cfRule type="expression" dxfId="267" priority="2">
      <formula>M02S03F01="No"</formula>
    </cfRule>
  </conditionalFormatting>
  <conditionalFormatting sqref="AL27">
    <cfRule type="expression" dxfId="266" priority="1">
      <formula>M02S03F13="Not Applicable"</formula>
    </cfRule>
  </conditionalFormatting>
  <dataValidations count="7">
    <dataValidation type="list" allowBlank="1" showInputMessage="1" showErrorMessage="1" sqref="C14:H14" xr:uid="{00000000-0002-0000-1100-000000000000}">
      <formula1>"Yes,No"</formula1>
    </dataValidation>
    <dataValidation type="list" allowBlank="1" showInputMessage="1" showErrorMessage="1" sqref="X20:AC20 X22:AC22 X37:AC37 X52:AC52 X67:AC67 X82:AC82 X97:AC97 X112:AC112" xr:uid="{00000000-0002-0000-1100-000001000000}">
      <formula1>STATESABBREV</formula1>
    </dataValidation>
    <dataValidation type="custom" allowBlank="1" showInputMessage="1" showErrorMessage="1" sqref="C20:H20 C37:H37 C52:H52 C67:H67 C82:H82 C97:H97 C112:H112" xr:uid="{00000000-0002-0000-1100-000002000000}">
      <formula1>AND(FIND(".",C20),FIND("@",C20))</formula1>
    </dataValidation>
    <dataValidation type="custom" allowBlank="1" showInputMessage="1" showErrorMessage="1" error="Please enter a valid email address." sqref="F22:H22 C22:E25" xr:uid="{00000000-0002-0000-1100-000003000000}">
      <formula1>AND(FIND(".",C22),FIND("@",C22))</formula1>
    </dataValidation>
    <dataValidation type="list" allowBlank="1" showInputMessage="1" showErrorMessage="1" sqref="Q27:V27 Q42:V42 Q57:V57 Q72:V72 Q87:V87 Q102:V102 Q117:V117" xr:uid="{00000000-0002-0000-1100-000004000000}">
      <formula1>DIVERSITYORG</formula1>
    </dataValidation>
    <dataValidation type="list" allowBlank="1" showInputMessage="1" showErrorMessage="1" sqref="C27 C42 C57 C72 C87 C102 C117" xr:uid="{00000000-0002-0000-1100-000005000000}">
      <formula1>DIVERSITYBUSTYPE</formula1>
    </dataValidation>
    <dataValidation type="date" allowBlank="1" showInputMessage="1" showErrorMessage="1" error="Please enter date in the format MM/DD/YYYY" sqref="AL27:AQ27 AE27:AJ27" xr:uid="{00000000-0002-0000-1100-000006000000}">
      <formula1>18264</formula1>
      <formula2>55153</formula2>
    </dataValidation>
  </dataValidations>
  <hyperlinks>
    <hyperlink ref="B202" r:id="rId1" display="NIPSCO.Savings@LMCO.com" xr:uid="{00000000-0004-0000-1100-000000000000}"/>
  </hyperlinks>
  <pageMargins left="0.25" right="0.25" top="0.25" bottom="0.25" header="0.25" footer="0.25"/>
  <pageSetup scale="62" fitToHeight="0" orientation="landscape"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AS365"/>
  <sheetViews>
    <sheetView showGridLines="0" showRowColHeaders="0" showZeros="0" zoomScale="85" zoomScaleNormal="85" workbookViewId="0">
      <selection activeCell="C6" sqref="C6"/>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AH1" s="711" t="s">
        <v>494</v>
      </c>
      <c r="AI1" s="712"/>
      <c r="AJ1" s="712"/>
      <c r="AK1" s="712"/>
      <c r="AL1" s="723" t="s">
        <v>911</v>
      </c>
      <c r="AM1" s="723"/>
      <c r="AN1" s="723"/>
      <c r="AO1" s="723"/>
      <c r="AP1" s="723"/>
      <c r="AQ1" s="717" t="s">
        <v>499</v>
      </c>
      <c r="AR1" s="718"/>
    </row>
    <row r="2" spans="3:44" ht="15.95" customHeight="1" x14ac:dyDescent="0.25">
      <c r="AH2" s="713" t="str">
        <f ca="1">INCENSTATUS</f>
        <v>---</v>
      </c>
      <c r="AI2" s="714"/>
      <c r="AJ2" s="714"/>
      <c r="AK2" s="714"/>
      <c r="AL2" s="724" t="str">
        <f ca="1">PROJSTATUS</f>
        <v>Please Complete Initial Application</v>
      </c>
      <c r="AM2" s="724"/>
      <c r="AN2" s="724"/>
      <c r="AO2" s="724"/>
      <c r="AP2" s="724"/>
      <c r="AQ2" s="719">
        <f ca="1">PROGRESSSTATUS</f>
        <v>0</v>
      </c>
      <c r="AR2" s="720"/>
    </row>
    <row r="3" spans="3:44" ht="15.95" customHeight="1" x14ac:dyDescent="0.25">
      <c r="AH3" s="715"/>
      <c r="AI3" s="716"/>
      <c r="AJ3" s="716"/>
      <c r="AK3" s="716"/>
      <c r="AL3" s="725"/>
      <c r="AM3" s="725"/>
      <c r="AN3" s="725"/>
      <c r="AO3" s="725"/>
      <c r="AP3" s="725"/>
      <c r="AQ3" s="721"/>
      <c r="AR3" s="722"/>
    </row>
    <row r="4" spans="3:44" ht="15.95" customHeight="1" x14ac:dyDescent="0.25"/>
    <row r="5" spans="3:44" ht="15.95" customHeight="1" x14ac:dyDescent="0.25"/>
    <row r="6" spans="3:44" ht="15.95" customHeight="1" x14ac:dyDescent="0.25"/>
    <row r="7" spans="3:44" ht="15.95" customHeight="1" x14ac:dyDescent="0.25"/>
    <row r="8" spans="3:44" ht="15.95" customHeight="1" x14ac:dyDescent="0.25"/>
    <row r="9" spans="3:44" ht="15.95" customHeight="1" x14ac:dyDescent="0.25">
      <c r="C9" s="135"/>
      <c r="D9" s="135"/>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row>
    <row r="10" spans="3:44" ht="15.95" customHeight="1" x14ac:dyDescent="0.3">
      <c r="C10" s="135"/>
      <c r="D10" s="135"/>
      <c r="E10" s="135"/>
      <c r="F10" s="732" t="s">
        <v>1670</v>
      </c>
      <c r="G10" s="732"/>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c r="AO10" s="135"/>
      <c r="AP10" s="135"/>
      <c r="AQ10" s="135"/>
    </row>
    <row r="11" spans="3:44" ht="15.95" customHeight="1" x14ac:dyDescent="0.25">
      <c r="C11" s="135"/>
      <c r="D11" s="135"/>
      <c r="E11" s="135"/>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135"/>
      <c r="AP11" s="135"/>
      <c r="AQ11" s="135"/>
    </row>
    <row r="12" spans="3:44" ht="15.95" customHeight="1" x14ac:dyDescent="0.25">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row>
    <row r="13" spans="3:44" ht="15.95" customHeight="1" x14ac:dyDescent="0.25">
      <c r="C13" s="178" t="s">
        <v>477</v>
      </c>
      <c r="D13" s="176"/>
      <c r="E13" s="176"/>
      <c r="F13" s="176"/>
      <c r="G13" s="176"/>
      <c r="H13" s="176"/>
      <c r="I13" s="176"/>
      <c r="J13" s="176"/>
      <c r="K13" s="176"/>
      <c r="L13" s="176"/>
      <c r="M13" s="176"/>
      <c r="N13" s="177"/>
      <c r="O13" s="135"/>
      <c r="P13" s="135"/>
      <c r="Q13" s="178" t="s">
        <v>478</v>
      </c>
      <c r="R13" s="176"/>
      <c r="S13" s="176"/>
      <c r="T13" s="176"/>
      <c r="U13" s="176"/>
      <c r="V13" s="176"/>
      <c r="W13" s="176"/>
      <c r="X13" s="176"/>
      <c r="Y13" s="176"/>
      <c r="Z13" s="176"/>
      <c r="AA13" s="176"/>
      <c r="AB13" s="176"/>
      <c r="AC13" s="177"/>
      <c r="AD13" s="135"/>
      <c r="AE13" s="135"/>
      <c r="AF13" s="178" t="s">
        <v>479</v>
      </c>
      <c r="AG13" s="176"/>
      <c r="AH13" s="176"/>
      <c r="AI13" s="176"/>
      <c r="AJ13" s="176"/>
      <c r="AK13" s="176"/>
      <c r="AL13" s="176"/>
      <c r="AM13" s="176"/>
      <c r="AN13" s="176"/>
      <c r="AO13" s="176"/>
      <c r="AP13" s="176"/>
      <c r="AQ13" s="177"/>
    </row>
    <row r="14" spans="3:44" ht="15.95" customHeight="1" x14ac:dyDescent="0.25">
      <c r="C14" s="172"/>
      <c r="D14" s="171"/>
      <c r="E14" s="171"/>
      <c r="F14" s="171"/>
      <c r="G14" s="171"/>
      <c r="H14" s="171"/>
      <c r="I14" s="171"/>
      <c r="J14" s="171"/>
      <c r="K14" s="171"/>
      <c r="L14" s="171"/>
      <c r="M14" s="171"/>
      <c r="N14" s="173"/>
      <c r="O14" s="135"/>
      <c r="P14" s="135"/>
      <c r="Q14" s="172"/>
      <c r="R14" s="171"/>
      <c r="S14" s="171"/>
      <c r="T14" s="171"/>
      <c r="U14" s="171"/>
      <c r="V14" s="171"/>
      <c r="W14" s="171"/>
      <c r="X14" s="171"/>
      <c r="Y14" s="171"/>
      <c r="Z14" s="171"/>
      <c r="AA14" s="171"/>
      <c r="AB14" s="171"/>
      <c r="AC14" s="173"/>
      <c r="AD14" s="135"/>
      <c r="AE14" s="135"/>
      <c r="AF14" s="172"/>
      <c r="AG14" s="171"/>
      <c r="AH14" s="171"/>
      <c r="AI14" s="171"/>
      <c r="AJ14" s="171"/>
      <c r="AK14" s="171"/>
      <c r="AL14" s="171"/>
      <c r="AM14" s="171"/>
      <c r="AN14" s="171"/>
      <c r="AO14" s="171"/>
      <c r="AP14" s="171"/>
      <c r="AQ14" s="173"/>
    </row>
    <row r="15" spans="3:44" ht="15.95" customHeight="1" x14ac:dyDescent="0.25">
      <c r="C15" s="216" t="s">
        <v>482</v>
      </c>
      <c r="D15" s="907" t="s">
        <v>1085</v>
      </c>
      <c r="E15" s="907"/>
      <c r="F15" s="907"/>
      <c r="G15" s="907"/>
      <c r="H15" s="907"/>
      <c r="I15" s="907"/>
      <c r="J15" s="907"/>
      <c r="K15" s="908" t="str">
        <f ca="1">IF(TEMPLATE!A72/TEMPLATE!D72=1,"Completed",IF(TEMPLATE!A72/TEMPLATE!D72&gt;0.7,"Almost!","Incomplete"))</f>
        <v>Incomplete</v>
      </c>
      <c r="L15" s="908"/>
      <c r="M15" s="908"/>
      <c r="N15" s="210"/>
      <c r="O15" s="135"/>
      <c r="P15" s="135"/>
      <c r="Q15" s="174" t="s">
        <v>482</v>
      </c>
      <c r="R15" s="171" t="s">
        <v>486</v>
      </c>
      <c r="S15" s="171"/>
      <c r="T15" s="171"/>
      <c r="U15" s="171"/>
      <c r="V15" s="171"/>
      <c r="W15" s="171"/>
      <c r="X15" s="171"/>
      <c r="Y15" s="171"/>
      <c r="Z15" s="171"/>
      <c r="AA15" s="171"/>
      <c r="AB15" s="171"/>
      <c r="AC15" s="173"/>
      <c r="AD15" s="135"/>
      <c r="AE15" s="135"/>
      <c r="AF15" s="174" t="s">
        <v>482</v>
      </c>
      <c r="AG15" s="909" t="s">
        <v>1300</v>
      </c>
      <c r="AH15" s="909"/>
      <c r="AI15" s="909"/>
      <c r="AJ15" s="909"/>
      <c r="AK15" s="909"/>
      <c r="AL15" s="909"/>
      <c r="AM15" s="909"/>
      <c r="AN15" s="909"/>
      <c r="AO15" s="909"/>
      <c r="AP15" s="909"/>
      <c r="AQ15" s="910"/>
    </row>
    <row r="16" spans="3:44" ht="15.95" customHeight="1" x14ac:dyDescent="0.25">
      <c r="C16" s="211"/>
      <c r="D16" s="907"/>
      <c r="E16" s="907"/>
      <c r="F16" s="907"/>
      <c r="G16" s="907"/>
      <c r="H16" s="907"/>
      <c r="I16" s="907"/>
      <c r="J16" s="907"/>
      <c r="K16" s="908"/>
      <c r="L16" s="908"/>
      <c r="M16" s="908"/>
      <c r="N16" s="212"/>
      <c r="O16" s="135"/>
      <c r="P16" s="135"/>
      <c r="Q16" s="208"/>
      <c r="R16" s="60"/>
      <c r="S16" s="60"/>
      <c r="T16" s="60"/>
      <c r="U16" s="60"/>
      <c r="V16" s="60"/>
      <c r="W16" s="60"/>
      <c r="X16" s="60"/>
      <c r="Y16" s="60"/>
      <c r="Z16" s="171"/>
      <c r="AA16" s="171"/>
      <c r="AB16" s="171"/>
      <c r="AC16" s="173"/>
      <c r="AD16" s="135"/>
      <c r="AE16" s="135"/>
      <c r="AF16" s="174"/>
      <c r="AG16" s="909"/>
      <c r="AH16" s="909"/>
      <c r="AI16" s="909"/>
      <c r="AJ16" s="909"/>
      <c r="AK16" s="909"/>
      <c r="AL16" s="909"/>
      <c r="AM16" s="909"/>
      <c r="AN16" s="909"/>
      <c r="AO16" s="909"/>
      <c r="AP16" s="909"/>
      <c r="AQ16" s="910"/>
    </row>
    <row r="17" spans="3:43" ht="15.95" customHeight="1" x14ac:dyDescent="0.25">
      <c r="C17" s="208"/>
      <c r="D17" s="60"/>
      <c r="E17" s="60"/>
      <c r="F17" s="60"/>
      <c r="G17" s="60"/>
      <c r="H17" s="60"/>
      <c r="I17" s="60"/>
      <c r="J17" s="60"/>
      <c r="K17" s="60"/>
      <c r="L17" s="60"/>
      <c r="M17" s="60"/>
      <c r="N17" s="209"/>
      <c r="O17" s="135"/>
      <c r="P17" s="135"/>
      <c r="Q17" s="174" t="s">
        <v>483</v>
      </c>
      <c r="R17" s="909" t="s">
        <v>985</v>
      </c>
      <c r="S17" s="909"/>
      <c r="T17" s="909"/>
      <c r="U17" s="909"/>
      <c r="V17" s="909"/>
      <c r="W17" s="909"/>
      <c r="X17" s="909"/>
      <c r="Y17" s="909"/>
      <c r="Z17" s="909"/>
      <c r="AA17" s="909"/>
      <c r="AB17" s="909"/>
      <c r="AC17" s="910"/>
      <c r="AD17" s="135"/>
      <c r="AE17" s="135"/>
      <c r="AF17" s="172"/>
      <c r="AG17" s="909"/>
      <c r="AH17" s="909"/>
      <c r="AI17" s="909"/>
      <c r="AJ17" s="909"/>
      <c r="AK17" s="909"/>
      <c r="AL17" s="909"/>
      <c r="AM17" s="909"/>
      <c r="AN17" s="909"/>
      <c r="AO17" s="909"/>
      <c r="AP17" s="909"/>
      <c r="AQ17" s="910"/>
    </row>
    <row r="18" spans="3:43" ht="15.95" customHeight="1" x14ac:dyDescent="0.25">
      <c r="C18" s="216" t="s">
        <v>483</v>
      </c>
      <c r="D18" s="906" t="s">
        <v>81</v>
      </c>
      <c r="E18" s="906"/>
      <c r="F18" s="906"/>
      <c r="G18" s="906"/>
      <c r="H18" s="906"/>
      <c r="I18" s="906"/>
      <c r="J18" s="906"/>
      <c r="K18" s="908" t="str">
        <f ca="1">IF(TEMPLATE!A81/TEMPLATE!D81=1,"Completed",IF(TEMPLATE!A81/TEMPLATE!D81&gt;0.7,"Almost!","Incomplete"))</f>
        <v>Incomplete</v>
      </c>
      <c r="L18" s="908"/>
      <c r="M18" s="908"/>
      <c r="N18" s="210"/>
      <c r="O18" s="135"/>
      <c r="P18" s="135"/>
      <c r="Q18" s="174"/>
      <c r="R18" s="909"/>
      <c r="S18" s="909"/>
      <c r="T18" s="909"/>
      <c r="U18" s="909"/>
      <c r="V18" s="909"/>
      <c r="W18" s="909"/>
      <c r="X18" s="909"/>
      <c r="Y18" s="909"/>
      <c r="Z18" s="909"/>
      <c r="AA18" s="909"/>
      <c r="AB18" s="909"/>
      <c r="AC18" s="910"/>
      <c r="AD18" s="135"/>
      <c r="AE18" s="135"/>
      <c r="AF18" s="174" t="s">
        <v>483</v>
      </c>
      <c r="AG18" s="909" t="s">
        <v>1671</v>
      </c>
      <c r="AH18" s="909"/>
      <c r="AI18" s="909"/>
      <c r="AJ18" s="909"/>
      <c r="AK18" s="909"/>
      <c r="AL18" s="909"/>
      <c r="AM18" s="909"/>
      <c r="AN18" s="909"/>
      <c r="AO18" s="909"/>
      <c r="AP18" s="909"/>
      <c r="AQ18" s="910"/>
    </row>
    <row r="19" spans="3:43" ht="15.95" customHeight="1" x14ac:dyDescent="0.25">
      <c r="C19" s="208"/>
      <c r="D19" s="60"/>
      <c r="E19" s="60"/>
      <c r="F19" s="60"/>
      <c r="G19" s="60"/>
      <c r="H19" s="60"/>
      <c r="I19" s="60"/>
      <c r="J19" s="60"/>
      <c r="K19" s="60"/>
      <c r="L19" s="60"/>
      <c r="M19" s="60"/>
      <c r="N19" s="209"/>
      <c r="O19" s="135"/>
      <c r="P19" s="135"/>
      <c r="Q19" s="174"/>
      <c r="AC19" s="173"/>
      <c r="AD19" s="135"/>
      <c r="AE19" s="135"/>
      <c r="AF19" s="172"/>
      <c r="AG19" s="909"/>
      <c r="AH19" s="909"/>
      <c r="AI19" s="909"/>
      <c r="AJ19" s="909"/>
      <c r="AK19" s="909"/>
      <c r="AL19" s="909"/>
      <c r="AM19" s="909"/>
      <c r="AN19" s="909"/>
      <c r="AO19" s="909"/>
      <c r="AP19" s="909"/>
      <c r="AQ19" s="910"/>
    </row>
    <row r="20" spans="3:43" ht="15.95" customHeight="1" x14ac:dyDescent="0.25">
      <c r="C20" s="216" t="s">
        <v>484</v>
      </c>
      <c r="D20" s="906" t="s">
        <v>1450</v>
      </c>
      <c r="E20" s="906"/>
      <c r="F20" s="906"/>
      <c r="G20" s="906"/>
      <c r="H20" s="906"/>
      <c r="I20" s="906"/>
      <c r="J20" s="906"/>
      <c r="K20" s="908" t="str">
        <f ca="1">IF(TEMPLATE!A135/TEMPLATE!D135=1,"Completed",IF(TEMPLATE!A135/TEMPLATE!D135&gt;0.7,"Almost!","Incomplete"))</f>
        <v>Incomplete</v>
      </c>
      <c r="L20" s="908"/>
      <c r="M20" s="908"/>
      <c r="N20" s="210"/>
      <c r="O20" s="135"/>
      <c r="P20" s="135"/>
      <c r="Q20" s="174"/>
      <c r="AC20" s="173"/>
      <c r="AD20" s="135"/>
      <c r="AE20" s="135"/>
      <c r="AF20" s="172"/>
      <c r="AG20" s="909"/>
      <c r="AH20" s="909"/>
      <c r="AI20" s="909"/>
      <c r="AJ20" s="909"/>
      <c r="AK20" s="909"/>
      <c r="AL20" s="909"/>
      <c r="AM20" s="909"/>
      <c r="AN20" s="909"/>
      <c r="AO20" s="909"/>
      <c r="AP20" s="909"/>
      <c r="AQ20" s="910"/>
    </row>
    <row r="21" spans="3:43" ht="15.95" customHeight="1" x14ac:dyDescent="0.25">
      <c r="C21" s="208"/>
      <c r="D21" s="60"/>
      <c r="E21" s="60"/>
      <c r="F21" s="60"/>
      <c r="G21" s="60"/>
      <c r="H21" s="60"/>
      <c r="I21" s="60"/>
      <c r="J21" s="60"/>
      <c r="K21" s="60"/>
      <c r="L21" s="60"/>
      <c r="M21" s="60"/>
      <c r="N21" s="209"/>
      <c r="O21" s="135"/>
      <c r="P21" s="135"/>
      <c r="Q21" s="208"/>
      <c r="AC21" s="209"/>
      <c r="AD21" s="135"/>
      <c r="AE21" s="135"/>
      <c r="AF21" s="174" t="s">
        <v>484</v>
      </c>
      <c r="AG21" s="909" t="s">
        <v>1672</v>
      </c>
      <c r="AH21" s="909"/>
      <c r="AI21" s="909"/>
      <c r="AJ21" s="909"/>
      <c r="AK21" s="909"/>
      <c r="AL21" s="909"/>
      <c r="AM21" s="909"/>
      <c r="AN21" s="909"/>
      <c r="AO21" s="909"/>
      <c r="AP21" s="909"/>
      <c r="AQ21" s="910"/>
    </row>
    <row r="22" spans="3:43" ht="15.95" customHeight="1" x14ac:dyDescent="0.25">
      <c r="C22" s="216"/>
      <c r="D22" s="906"/>
      <c r="E22" s="906"/>
      <c r="F22" s="906"/>
      <c r="G22" s="906"/>
      <c r="H22" s="906"/>
      <c r="I22" s="906"/>
      <c r="J22" s="906"/>
      <c r="K22" s="908"/>
      <c r="L22" s="908"/>
      <c r="M22" s="908"/>
      <c r="N22" s="210"/>
      <c r="O22" s="135"/>
      <c r="P22" s="135"/>
      <c r="Q22" s="208"/>
      <c r="AC22" s="209"/>
      <c r="AD22" s="135"/>
      <c r="AE22" s="135"/>
      <c r="AF22" s="172"/>
      <c r="AG22" s="909"/>
      <c r="AH22" s="909"/>
      <c r="AI22" s="909"/>
      <c r="AJ22" s="909"/>
      <c r="AK22" s="909"/>
      <c r="AL22" s="909"/>
      <c r="AM22" s="909"/>
      <c r="AN22" s="909"/>
      <c r="AO22" s="909"/>
      <c r="AP22" s="909"/>
      <c r="AQ22" s="910"/>
    </row>
    <row r="23" spans="3:43" ht="15.95" customHeight="1" x14ac:dyDescent="0.25">
      <c r="C23" s="208"/>
      <c r="D23" s="63"/>
      <c r="E23" s="63"/>
      <c r="F23" s="63"/>
      <c r="G23" s="63"/>
      <c r="H23" s="63"/>
      <c r="I23" s="63"/>
      <c r="J23" s="63"/>
      <c r="K23" s="63"/>
      <c r="L23" s="63"/>
      <c r="M23" s="63"/>
      <c r="N23" s="209"/>
      <c r="O23" s="135"/>
      <c r="P23" s="135"/>
      <c r="Q23" s="208"/>
      <c r="AC23" s="209"/>
      <c r="AD23" s="135"/>
      <c r="AE23" s="135"/>
      <c r="AF23" s="174" t="s">
        <v>485</v>
      </c>
      <c r="AG23" s="909" t="s">
        <v>481</v>
      </c>
      <c r="AH23" s="909"/>
      <c r="AI23" s="909"/>
      <c r="AJ23" s="909"/>
      <c r="AK23" s="909"/>
      <c r="AL23" s="909"/>
      <c r="AM23" s="909"/>
      <c r="AN23" s="909"/>
      <c r="AO23" s="909"/>
      <c r="AP23" s="909"/>
      <c r="AQ23" s="910"/>
    </row>
    <row r="24" spans="3:43" ht="15.95" customHeight="1" x14ac:dyDescent="0.25">
      <c r="C24" s="216"/>
      <c r="D24" s="63"/>
      <c r="E24" s="63"/>
      <c r="F24" s="63"/>
      <c r="G24" s="63"/>
      <c r="H24" s="63"/>
      <c r="I24" s="63"/>
      <c r="J24" s="63"/>
      <c r="K24" s="63"/>
      <c r="L24" s="63"/>
      <c r="M24" s="63"/>
      <c r="N24" s="210"/>
      <c r="O24" s="135"/>
      <c r="P24" s="135"/>
      <c r="Q24" s="174"/>
      <c r="AC24" s="293"/>
      <c r="AD24" s="135"/>
      <c r="AE24" s="135"/>
      <c r="AF24" s="172"/>
      <c r="AG24" s="909"/>
      <c r="AH24" s="909"/>
      <c r="AI24" s="909"/>
      <c r="AJ24" s="909"/>
      <c r="AK24" s="909"/>
      <c r="AL24" s="909"/>
      <c r="AM24" s="909"/>
      <c r="AN24" s="909"/>
      <c r="AO24" s="909"/>
      <c r="AP24" s="909"/>
      <c r="AQ24" s="910"/>
    </row>
    <row r="25" spans="3:43" ht="15.95" customHeight="1" x14ac:dyDescent="0.25">
      <c r="C25" s="216"/>
      <c r="D25" s="63"/>
      <c r="E25" s="63"/>
      <c r="F25" s="63"/>
      <c r="G25" s="63"/>
      <c r="H25" s="63"/>
      <c r="I25" s="63"/>
      <c r="J25" s="63"/>
      <c r="K25" s="63"/>
      <c r="L25" s="63"/>
      <c r="M25" s="63"/>
      <c r="N25" s="210"/>
      <c r="O25" s="135"/>
      <c r="P25" s="135"/>
      <c r="Q25" s="174"/>
      <c r="R25" s="909"/>
      <c r="S25" s="909"/>
      <c r="T25" s="909"/>
      <c r="U25" s="909"/>
      <c r="V25" s="909"/>
      <c r="W25" s="909"/>
      <c r="X25" s="909"/>
      <c r="Y25" s="909"/>
      <c r="Z25" s="909"/>
      <c r="AA25" s="909"/>
      <c r="AB25" s="909"/>
      <c r="AC25" s="910"/>
      <c r="AD25" s="135"/>
      <c r="AE25" s="135"/>
      <c r="AF25" s="174"/>
      <c r="AG25" s="909"/>
      <c r="AH25" s="909"/>
      <c r="AI25" s="909"/>
      <c r="AJ25" s="909"/>
      <c r="AK25" s="909"/>
      <c r="AL25" s="909"/>
      <c r="AM25" s="909"/>
      <c r="AN25" s="909"/>
      <c r="AO25" s="909"/>
      <c r="AP25" s="909"/>
      <c r="AQ25" s="910"/>
    </row>
    <row r="26" spans="3:43" ht="15.95" customHeight="1" x14ac:dyDescent="0.25">
      <c r="C26" s="294"/>
      <c r="D26" s="296" t="s">
        <v>1305</v>
      </c>
      <c r="E26" s="296"/>
      <c r="F26" s="296"/>
      <c r="G26" s="296"/>
      <c r="H26" s="296"/>
      <c r="I26" s="296"/>
      <c r="J26" s="296"/>
      <c r="K26" s="295"/>
      <c r="L26" s="295"/>
      <c r="M26" s="295"/>
      <c r="N26" s="184"/>
      <c r="O26" s="135"/>
      <c r="P26" s="135"/>
      <c r="Q26" s="182"/>
      <c r="R26" s="183"/>
      <c r="S26" s="183"/>
      <c r="T26" s="183"/>
      <c r="U26" s="183"/>
      <c r="V26" s="183"/>
      <c r="W26" s="183"/>
      <c r="X26" s="183"/>
      <c r="Y26" s="183"/>
      <c r="Z26" s="183"/>
      <c r="AA26" s="183"/>
      <c r="AB26" s="183"/>
      <c r="AC26" s="184"/>
      <c r="AD26" s="135"/>
      <c r="AE26" s="135"/>
      <c r="AF26" s="175"/>
      <c r="AG26" s="474"/>
      <c r="AH26" s="474"/>
      <c r="AI26" s="474"/>
      <c r="AJ26" s="474"/>
      <c r="AK26" s="474"/>
      <c r="AL26" s="474"/>
      <c r="AM26" s="474"/>
      <c r="AN26" s="474"/>
      <c r="AO26" s="474"/>
      <c r="AP26" s="474"/>
      <c r="AQ26" s="475"/>
    </row>
    <row r="27" spans="3:43" ht="15.95" customHeight="1" x14ac:dyDescent="0.25">
      <c r="C27" s="63"/>
      <c r="D27" s="63"/>
      <c r="E27" s="63"/>
      <c r="F27" s="63"/>
      <c r="G27" s="63"/>
      <c r="H27" s="63"/>
      <c r="I27" s="63"/>
      <c r="J27" s="63"/>
      <c r="K27" s="63"/>
      <c r="L27" s="63"/>
      <c r="M27" s="63"/>
      <c r="N27" s="63"/>
      <c r="O27" s="135"/>
      <c r="P27" s="135"/>
      <c r="Q27" s="135"/>
      <c r="R27" s="135"/>
      <c r="S27" s="135"/>
      <c r="T27" s="135"/>
      <c r="U27" s="135"/>
      <c r="V27" s="135"/>
      <c r="W27" s="135"/>
      <c r="X27" s="135"/>
      <c r="Y27" s="135"/>
      <c r="Z27" s="135"/>
      <c r="AA27" s="135"/>
      <c r="AB27" s="135"/>
      <c r="AC27" s="135"/>
      <c r="AD27" s="135"/>
      <c r="AE27" s="135"/>
      <c r="AF27" s="417"/>
      <c r="AG27" s="135"/>
      <c r="AH27" s="135"/>
      <c r="AI27" s="135"/>
      <c r="AJ27" s="135"/>
      <c r="AK27" s="135"/>
      <c r="AL27" s="135"/>
      <c r="AM27" s="135"/>
      <c r="AN27" s="135"/>
      <c r="AO27" s="135"/>
      <c r="AP27" s="135"/>
      <c r="AQ27" s="135"/>
    </row>
    <row r="28" spans="3:43" ht="15.95" customHeight="1" x14ac:dyDescent="0.25">
      <c r="C28" s="63"/>
      <c r="D28" s="63"/>
      <c r="E28" s="63"/>
      <c r="F28" s="63"/>
      <c r="G28" s="63"/>
      <c r="H28" s="63"/>
      <c r="I28" s="63"/>
      <c r="J28" s="63"/>
      <c r="K28" s="63"/>
      <c r="L28" s="63"/>
      <c r="M28" s="63"/>
      <c r="N28" s="63"/>
      <c r="O28" s="135"/>
      <c r="P28" s="135"/>
      <c r="Q28" s="135"/>
      <c r="R28" s="135"/>
      <c r="S28" s="135"/>
      <c r="T28" s="135"/>
      <c r="U28" s="135"/>
      <c r="V28" s="135"/>
      <c r="W28" s="135"/>
      <c r="X28" s="135"/>
      <c r="Y28" s="135"/>
      <c r="Z28" s="135"/>
      <c r="AA28" s="135"/>
      <c r="AB28" s="135"/>
      <c r="AC28" s="135"/>
      <c r="AD28" s="135"/>
      <c r="AE28" s="135"/>
      <c r="AF28" s="417"/>
      <c r="AG28" s="135"/>
      <c r="AH28" s="135"/>
      <c r="AI28" s="911"/>
      <c r="AJ28" s="911"/>
      <c r="AK28" s="911"/>
      <c r="AL28" s="911"/>
      <c r="AM28" s="911"/>
      <c r="AN28" s="911"/>
      <c r="AO28" s="911"/>
      <c r="AP28" s="135"/>
      <c r="AQ28" s="135"/>
    </row>
    <row r="29" spans="3:43" ht="15.95" customHeight="1" x14ac:dyDescent="0.25">
      <c r="C29" s="217"/>
      <c r="D29" s="217"/>
      <c r="E29" s="217"/>
      <c r="F29" s="217"/>
      <c r="G29" s="217"/>
      <c r="H29" s="217"/>
      <c r="I29" s="217"/>
      <c r="J29" s="217"/>
      <c r="K29" s="217"/>
      <c r="L29" s="217"/>
      <c r="M29" s="217"/>
      <c r="N29" s="135"/>
      <c r="O29" s="135"/>
      <c r="P29" s="135"/>
      <c r="Q29" s="135"/>
      <c r="R29" s="135"/>
      <c r="S29" s="135"/>
      <c r="T29" s="135"/>
      <c r="U29" s="135"/>
      <c r="V29" s="135"/>
      <c r="W29" s="135"/>
      <c r="X29" s="135"/>
      <c r="Y29" s="135"/>
      <c r="Z29" s="135"/>
      <c r="AA29" s="135"/>
      <c r="AB29" s="135"/>
      <c r="AC29" s="135"/>
      <c r="AD29" s="135"/>
      <c r="AE29" s="135"/>
      <c r="AF29" s="135"/>
      <c r="AG29" s="135"/>
      <c r="AH29" s="135"/>
      <c r="AI29" s="911"/>
      <c r="AJ29" s="911"/>
      <c r="AK29" s="911"/>
      <c r="AL29" s="911"/>
      <c r="AM29" s="911"/>
      <c r="AN29" s="911"/>
      <c r="AO29" s="911"/>
      <c r="AP29" s="135"/>
      <c r="AQ29" s="135"/>
    </row>
    <row r="30" spans="3:43" ht="15.95" customHeight="1" x14ac:dyDescent="0.25">
      <c r="C30" s="135"/>
      <c r="D30" s="135"/>
      <c r="E30" s="135"/>
      <c r="F30" s="135"/>
      <c r="G30" s="135"/>
      <c r="H30" s="135"/>
      <c r="I30" s="135"/>
      <c r="J30" s="135"/>
      <c r="K30" s="217"/>
      <c r="L30" s="217"/>
      <c r="M30" s="217"/>
      <c r="N30" s="135"/>
      <c r="O30" s="135"/>
      <c r="P30" s="135"/>
      <c r="Q30" s="135"/>
      <c r="R30" s="135"/>
      <c r="S30" s="135"/>
      <c r="T30" s="135"/>
      <c r="U30" s="135"/>
      <c r="V30" s="135"/>
      <c r="W30" s="135"/>
      <c r="X30" s="135"/>
      <c r="Y30" s="135"/>
      <c r="Z30" s="135"/>
      <c r="AA30" s="135"/>
      <c r="AB30" s="135"/>
      <c r="AC30" s="135"/>
      <c r="AD30" s="135"/>
      <c r="AE30" s="135"/>
      <c r="AF30" s="135"/>
      <c r="AG30" s="135"/>
      <c r="AH30" s="135"/>
      <c r="AI30" s="911"/>
      <c r="AJ30" s="911"/>
      <c r="AK30" s="911"/>
      <c r="AL30" s="911"/>
      <c r="AM30" s="911"/>
      <c r="AN30" s="911"/>
      <c r="AO30" s="911"/>
      <c r="AP30" s="135"/>
      <c r="AQ30" s="135"/>
    </row>
    <row r="31" spans="3:43" ht="15.95" customHeight="1" x14ac:dyDescent="0.25">
      <c r="C31" s="135"/>
      <c r="D31" s="135"/>
      <c r="E31" s="135"/>
      <c r="F31" s="135"/>
      <c r="G31" s="135"/>
      <c r="H31" s="135"/>
      <c r="I31" s="135"/>
      <c r="J31" s="135"/>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c r="AO31" s="135"/>
      <c r="AP31" s="135"/>
      <c r="AQ31" s="135"/>
    </row>
    <row r="32" spans="3:43" ht="15.95" customHeight="1" x14ac:dyDescent="0.25">
      <c r="C32" s="22"/>
      <c r="D32" s="133"/>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3"/>
      <c r="AF32" s="133"/>
      <c r="AG32" s="133"/>
      <c r="AH32" s="133"/>
      <c r="AI32" s="133"/>
      <c r="AJ32" s="133"/>
      <c r="AK32" s="133"/>
      <c r="AL32" s="133"/>
      <c r="AM32" s="133"/>
      <c r="AN32" s="133"/>
      <c r="AO32" s="133"/>
      <c r="AP32" s="133"/>
      <c r="AQ32" s="133"/>
    </row>
    <row r="33" spans="3:43" ht="15.95" customHeight="1" x14ac:dyDescent="0.25">
      <c r="C33" s="22"/>
      <c r="D33" s="133"/>
      <c r="E33" s="133"/>
      <c r="F33" s="133"/>
      <c r="G33" s="133"/>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33"/>
      <c r="AM33" s="133"/>
      <c r="AN33" s="133"/>
      <c r="AO33" s="133"/>
      <c r="AP33" s="133"/>
      <c r="AQ33" s="133"/>
    </row>
    <row r="34" spans="3:43" s="63" customFormat="1" ht="15.95" customHeight="1" x14ac:dyDescent="0.25">
      <c r="C34" s="22"/>
      <c r="D34" s="133"/>
      <c r="E34" s="133"/>
      <c r="F34" s="133"/>
      <c r="G34" s="133"/>
      <c r="H34" s="133"/>
      <c r="I34" s="133"/>
      <c r="J34" s="133"/>
      <c r="K34" s="133"/>
      <c r="L34" s="133"/>
      <c r="M34" s="133"/>
      <c r="N34" s="133"/>
      <c r="O34" s="133"/>
      <c r="P34" s="133"/>
      <c r="Q34" s="133"/>
      <c r="R34" s="133"/>
      <c r="S34" s="133"/>
      <c r="T34" s="133"/>
      <c r="U34" s="133"/>
      <c r="V34" s="133"/>
      <c r="W34" s="133"/>
      <c r="X34" s="133"/>
      <c r="Y34" s="133"/>
      <c r="Z34" s="133"/>
      <c r="AA34" s="133"/>
      <c r="AB34" s="133"/>
      <c r="AC34" s="133"/>
      <c r="AD34" s="133"/>
      <c r="AE34" s="133"/>
      <c r="AF34" s="133"/>
      <c r="AG34" s="133"/>
      <c r="AH34" s="133"/>
      <c r="AI34" s="133"/>
      <c r="AJ34" s="133"/>
      <c r="AK34" s="133"/>
      <c r="AL34" s="133"/>
      <c r="AM34" s="133"/>
      <c r="AN34" s="133"/>
      <c r="AO34" s="133"/>
      <c r="AP34" s="133"/>
      <c r="AQ34" s="133"/>
    </row>
    <row r="35" spans="3:43" s="63" customFormat="1" ht="15.95" customHeight="1" x14ac:dyDescent="0.25">
      <c r="C35" s="22"/>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row>
    <row r="36" spans="3:43" s="63" customFormat="1" ht="15.95" hidden="1" customHeight="1" x14ac:dyDescent="0.25">
      <c r="C36" s="22"/>
      <c r="D36" s="133"/>
      <c r="E36" s="133"/>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c r="AI36" s="133"/>
      <c r="AJ36" s="133"/>
      <c r="AK36" s="133"/>
      <c r="AL36" s="133"/>
      <c r="AM36" s="133"/>
      <c r="AN36" s="133"/>
      <c r="AO36" s="133"/>
      <c r="AP36" s="133"/>
      <c r="AQ36" s="133"/>
    </row>
    <row r="37" spans="3:43" s="63" customFormat="1" ht="15.95" hidden="1" customHeight="1" x14ac:dyDescent="0.25">
      <c r="C37" s="22"/>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row>
    <row r="38" spans="3:43" s="63" customFormat="1" ht="15.95" hidden="1" customHeight="1" x14ac:dyDescent="0.25">
      <c r="C38" s="22"/>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row>
    <row r="39" spans="3:43" s="63" customFormat="1" ht="15.95" hidden="1" customHeight="1" x14ac:dyDescent="0.25">
      <c r="C39" s="22"/>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row>
    <row r="40" spans="3:43" s="63" customFormat="1" ht="15.95" hidden="1" customHeight="1" x14ac:dyDescent="0.25">
      <c r="C40" s="22"/>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3"/>
      <c r="AQ40" s="123"/>
    </row>
    <row r="41" spans="3:43" s="63" customFormat="1" ht="15.95" hidden="1" customHeight="1" x14ac:dyDescent="0.25">
      <c r="C41" s="22"/>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123"/>
      <c r="AN41" s="123"/>
      <c r="AO41" s="123"/>
      <c r="AP41" s="123"/>
      <c r="AQ41" s="123"/>
    </row>
    <row r="42" spans="3:43" s="63" customFormat="1" ht="15.95" hidden="1" customHeight="1" x14ac:dyDescent="0.25">
      <c r="C42" s="22"/>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row>
    <row r="43" spans="3:43" s="63" customFormat="1" ht="15.95" hidden="1" customHeight="1" x14ac:dyDescent="0.25">
      <c r="C43" s="22"/>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row>
    <row r="44" spans="3:43" s="63" customFormat="1" ht="15.95" hidden="1" customHeight="1" x14ac:dyDescent="0.25">
      <c r="C44" s="22"/>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row>
    <row r="45" spans="3:43" s="63" customFormat="1" ht="15.95" hidden="1" customHeight="1" x14ac:dyDescent="0.25">
      <c r="C45" s="22"/>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row>
    <row r="46" spans="3:43" s="63" customFormat="1" ht="15.95" hidden="1" customHeight="1" x14ac:dyDescent="0.25">
      <c r="C46" s="22"/>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row>
    <row r="47" spans="3:43" s="63" customFormat="1" ht="15.95" hidden="1" customHeight="1" x14ac:dyDescent="0.25">
      <c r="C47" s="22"/>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row>
    <row r="48" spans="3:43" s="63" customFormat="1" ht="15.95" hidden="1" customHeight="1" x14ac:dyDescent="0.25">
      <c r="C48" s="22"/>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row>
    <row r="49" spans="3:43" s="63" customFormat="1" ht="15.95" hidden="1" customHeight="1" x14ac:dyDescent="0.25">
      <c r="C49" s="22"/>
      <c r="D49" s="123"/>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row>
    <row r="50" spans="3:43" s="63" customFormat="1" ht="15.95" hidden="1" customHeight="1" x14ac:dyDescent="0.25">
      <c r="C50" s="22"/>
      <c r="D50" s="123"/>
      <c r="E50" s="12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3"/>
      <c r="AP50" s="123"/>
      <c r="AQ50" s="123"/>
    </row>
    <row r="51" spans="3:43" s="63" customFormat="1" ht="15.95" hidden="1" customHeight="1" x14ac:dyDescent="0.25">
      <c r="C51" s="22"/>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row>
    <row r="52" spans="3:43" s="63" customFormat="1" ht="15.95" hidden="1" customHeight="1" x14ac:dyDescent="0.25">
      <c r="C52" s="22"/>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row>
    <row r="53" spans="3:43" s="63" customFormat="1" ht="15.95" hidden="1" customHeight="1" x14ac:dyDescent="0.25">
      <c r="C53" s="22"/>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row>
    <row r="54" spans="3:43" s="63" customFormat="1" ht="15.95" hidden="1" customHeight="1" x14ac:dyDescent="0.25">
      <c r="C54" s="22"/>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row>
    <row r="55" spans="3:43" s="63" customFormat="1" ht="15.95" hidden="1" customHeight="1" x14ac:dyDescent="0.25">
      <c r="C55" s="22"/>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row>
    <row r="56" spans="3:43" s="63" customFormat="1" ht="15.95" hidden="1" customHeight="1" x14ac:dyDescent="0.25">
      <c r="C56" s="22"/>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row>
    <row r="57" spans="3:43" s="63" customFormat="1" ht="15.95" hidden="1" customHeight="1" x14ac:dyDescent="0.25">
      <c r="C57" s="22"/>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row>
    <row r="58" spans="3:43" s="63" customFormat="1" ht="15.95" hidden="1" customHeight="1" x14ac:dyDescent="0.25">
      <c r="C58" s="22"/>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row>
    <row r="59" spans="3:43" s="63" customFormat="1" ht="15.95" hidden="1" customHeight="1" x14ac:dyDescent="0.25">
      <c r="C59" s="22"/>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row>
    <row r="60" spans="3:43" s="63" customFormat="1" ht="15.95" hidden="1" customHeight="1" x14ac:dyDescent="0.25">
      <c r="C60" s="22"/>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row>
    <row r="61" spans="3:43" s="63" customFormat="1" ht="15.95" hidden="1" customHeight="1" x14ac:dyDescent="0.25">
      <c r="C61" s="22"/>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row>
    <row r="62" spans="3:43" s="63" customFormat="1" ht="15.95" hidden="1" customHeight="1" x14ac:dyDescent="0.25">
      <c r="C62" s="22"/>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row>
    <row r="63" spans="3:43" s="63" customFormat="1" ht="15.95" hidden="1" customHeight="1" x14ac:dyDescent="0.25">
      <c r="C63" s="22"/>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row>
    <row r="64" spans="3:43" s="63" customFormat="1" ht="15.95" hidden="1" customHeight="1" x14ac:dyDescent="0.25">
      <c r="C64" s="22"/>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row>
    <row r="65" spans="3:43" s="63" customFormat="1" ht="15.95" hidden="1" customHeight="1" x14ac:dyDescent="0.25">
      <c r="C65" s="22"/>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row>
    <row r="66" spans="3:43" s="63" customFormat="1" ht="15.95" hidden="1" customHeight="1" x14ac:dyDescent="0.25">
      <c r="C66" s="22"/>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row>
    <row r="67" spans="3:43" s="63" customFormat="1" ht="15.95" hidden="1" customHeight="1" x14ac:dyDescent="0.25">
      <c r="C67" s="22"/>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row>
    <row r="68" spans="3:43" s="63" customFormat="1" ht="15.95" hidden="1" customHeight="1" x14ac:dyDescent="0.25">
      <c r="C68" s="22"/>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row>
    <row r="69" spans="3:43" s="63" customFormat="1" ht="15.95" hidden="1" customHeight="1" x14ac:dyDescent="0.25">
      <c r="C69" s="22"/>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row>
    <row r="70" spans="3:43" s="63" customFormat="1" ht="15.95" hidden="1" customHeight="1" x14ac:dyDescent="0.25">
      <c r="C70" s="22"/>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row>
    <row r="71" spans="3:43" s="63" customFormat="1" ht="15.95" hidden="1" customHeight="1" x14ac:dyDescent="0.25">
      <c r="C71" s="22"/>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row>
    <row r="72" spans="3:43" s="63" customFormat="1" ht="15.95" hidden="1" customHeight="1" x14ac:dyDescent="0.25">
      <c r="C72" s="22"/>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row>
    <row r="73" spans="3:43" s="63" customFormat="1" ht="15.95" hidden="1" customHeight="1" x14ac:dyDescent="0.25">
      <c r="C73" s="22"/>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row>
    <row r="74" spans="3:43" s="63" customFormat="1" ht="15.95" hidden="1" customHeight="1" x14ac:dyDescent="0.25">
      <c r="C74" s="22"/>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row>
    <row r="75" spans="3:43" s="63" customFormat="1" ht="15.95" hidden="1" customHeight="1" x14ac:dyDescent="0.25">
      <c r="C75" s="22"/>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row>
    <row r="76" spans="3:43" s="63" customFormat="1" ht="15.95" hidden="1" customHeight="1" x14ac:dyDescent="0.25">
      <c r="C76" s="22"/>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row>
    <row r="77" spans="3:43" s="63" customFormat="1" ht="15.95" hidden="1" customHeight="1" x14ac:dyDescent="0.25">
      <c r="C77" s="22"/>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row>
    <row r="78" spans="3:43" s="63" customFormat="1" ht="15.95" hidden="1" customHeight="1" x14ac:dyDescent="0.25">
      <c r="C78" s="22"/>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row>
    <row r="79" spans="3:43" s="63" customFormat="1" ht="15.95" hidden="1" customHeight="1" x14ac:dyDescent="0.25">
      <c r="C79" s="22"/>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row>
    <row r="80" spans="3:43" s="63" customFormat="1" ht="15.95" hidden="1" customHeight="1" x14ac:dyDescent="0.25">
      <c r="C80" s="22"/>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row>
    <row r="81" spans="3:43" s="63" customFormat="1" ht="15.95" hidden="1" customHeight="1" x14ac:dyDescent="0.25">
      <c r="C81" s="22"/>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row>
    <row r="82" spans="3:43" s="63" customFormat="1" ht="15.95" hidden="1" customHeight="1" x14ac:dyDescent="0.25">
      <c r="C82" s="22"/>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row>
    <row r="83" spans="3:43" s="63" customFormat="1" ht="15.95" hidden="1" customHeight="1" x14ac:dyDescent="0.25">
      <c r="C83" s="22"/>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row>
    <row r="84" spans="3:43" s="63" customFormat="1" ht="15.95" hidden="1" customHeight="1" x14ac:dyDescent="0.25">
      <c r="C84" s="22"/>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row>
    <row r="85" spans="3:43" s="63" customFormat="1" ht="15.95" hidden="1" customHeight="1" x14ac:dyDescent="0.25">
      <c r="C85" s="22"/>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row>
    <row r="86" spans="3:43" s="63" customFormat="1" ht="15.95" hidden="1" customHeight="1" x14ac:dyDescent="0.25">
      <c r="C86" s="22"/>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row>
    <row r="87" spans="3:43" s="63" customFormat="1" ht="15.95" hidden="1" customHeight="1" x14ac:dyDescent="0.25">
      <c r="C87" s="22"/>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row>
    <row r="88" spans="3:43" s="63" customFormat="1" ht="15.95" hidden="1" customHeight="1" x14ac:dyDescent="0.25">
      <c r="C88" s="22"/>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row>
    <row r="89" spans="3:43" s="63" customFormat="1" ht="15.95" hidden="1" customHeight="1" x14ac:dyDescent="0.25">
      <c r="C89" s="22"/>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row>
    <row r="90" spans="3:43" s="63" customFormat="1" ht="15.95" hidden="1" customHeight="1" x14ac:dyDescent="0.25">
      <c r="C90" s="22"/>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row>
    <row r="91" spans="3:43" s="63" customFormat="1" ht="15.95" hidden="1" customHeight="1" x14ac:dyDescent="0.25">
      <c r="C91" s="22"/>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row>
    <row r="92" spans="3:43" s="63" customFormat="1" ht="15.95" hidden="1" customHeight="1" x14ac:dyDescent="0.25">
      <c r="C92" s="22"/>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row>
    <row r="93" spans="3:43" s="63" customFormat="1" ht="15.95" hidden="1" customHeight="1" x14ac:dyDescent="0.25">
      <c r="C93" s="22"/>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row>
    <row r="94" spans="3:43" s="63" customFormat="1" ht="15.95" hidden="1" customHeight="1" x14ac:dyDescent="0.25">
      <c r="C94" s="22"/>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row>
    <row r="95" spans="3:43" s="63" customFormat="1" ht="15.95" hidden="1" customHeight="1" x14ac:dyDescent="0.25">
      <c r="C95" s="22"/>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row>
    <row r="96" spans="3:43" s="63" customFormat="1" ht="15.95" hidden="1" customHeight="1" x14ac:dyDescent="0.25">
      <c r="C96" s="22"/>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row>
    <row r="97" spans="3:43" s="63" customFormat="1" ht="15.95" hidden="1" customHeight="1" x14ac:dyDescent="0.25">
      <c r="C97" s="22"/>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row>
    <row r="98" spans="3:43" s="63" customFormat="1" ht="15.95" hidden="1" customHeight="1" x14ac:dyDescent="0.25">
      <c r="C98" s="22"/>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row>
    <row r="99" spans="3:43" s="63" customFormat="1" ht="15.95" hidden="1" customHeight="1" x14ac:dyDescent="0.25">
      <c r="C99" s="22"/>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row>
    <row r="100" spans="3:43" s="63" customFormat="1" ht="15.95" hidden="1" customHeight="1" x14ac:dyDescent="0.25">
      <c r="C100" s="22"/>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row>
    <row r="101" spans="3:43" s="63" customFormat="1" ht="15.95" hidden="1" customHeight="1" x14ac:dyDescent="0.25">
      <c r="C101" s="22"/>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row>
    <row r="102" spans="3:43" s="63" customFormat="1" ht="15.95" hidden="1" customHeight="1" x14ac:dyDescent="0.25">
      <c r="C102" s="22"/>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row>
    <row r="103" spans="3:43" s="63" customFormat="1" ht="15.95" hidden="1" customHeight="1" x14ac:dyDescent="0.25">
      <c r="C103" s="22"/>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row>
    <row r="104" spans="3:43" s="63" customFormat="1" ht="15.95" hidden="1" customHeight="1" x14ac:dyDescent="0.25">
      <c r="C104" s="22"/>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row>
    <row r="105" spans="3:43" s="63" customFormat="1" ht="15.95" hidden="1" customHeight="1" x14ac:dyDescent="0.25">
      <c r="C105" s="22"/>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row>
    <row r="106" spans="3:43" s="63" customFormat="1" ht="15.95" hidden="1" customHeight="1" x14ac:dyDescent="0.25">
      <c r="C106" s="22"/>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row>
    <row r="107" spans="3:43" s="63" customFormat="1" ht="15.95" hidden="1" customHeight="1" x14ac:dyDescent="0.25">
      <c r="C107" s="22"/>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row>
    <row r="108" spans="3:43" s="63" customFormat="1" ht="15.95" hidden="1" customHeight="1" x14ac:dyDescent="0.25">
      <c r="C108" s="22"/>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row>
    <row r="109" spans="3:43" s="63" customFormat="1" ht="15.95" hidden="1" customHeight="1" x14ac:dyDescent="0.25">
      <c r="C109" s="22"/>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row>
    <row r="110" spans="3:43" s="63" customFormat="1" ht="15.95" hidden="1" customHeight="1" x14ac:dyDescent="0.25">
      <c r="C110" s="22"/>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row>
    <row r="111" spans="3:43" s="63" customFormat="1" ht="15.95" hidden="1" customHeight="1" x14ac:dyDescent="0.25">
      <c r="C111" s="22"/>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row>
    <row r="112" spans="3:43" s="63" customFormat="1" ht="15.95" hidden="1" customHeight="1" x14ac:dyDescent="0.25">
      <c r="C112" s="22"/>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row>
    <row r="113" spans="3:43" s="63" customFormat="1" ht="15.95" hidden="1" customHeight="1" x14ac:dyDescent="0.25">
      <c r="C113" s="22"/>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row>
    <row r="114" spans="3:43" s="63" customFormat="1" ht="15.95" hidden="1" customHeight="1" x14ac:dyDescent="0.25">
      <c r="C114" s="22"/>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row>
    <row r="115" spans="3:43" s="63" customFormat="1" ht="15.95" hidden="1" customHeight="1" x14ac:dyDescent="0.25">
      <c r="C115" s="22"/>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row>
    <row r="116" spans="3:43" s="63" customFormat="1" ht="15.95" hidden="1" customHeight="1" x14ac:dyDescent="0.25">
      <c r="C116" s="22"/>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row>
    <row r="117" spans="3:43" s="63" customFormat="1" ht="15.95" hidden="1" customHeight="1" x14ac:dyDescent="0.25">
      <c r="C117" s="22"/>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row>
    <row r="118" spans="3:43" s="63" customFormat="1" ht="15.95" hidden="1" customHeight="1" x14ac:dyDescent="0.25">
      <c r="C118" s="22"/>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row>
    <row r="119" spans="3:43" s="63" customFormat="1" ht="15.95" hidden="1" customHeight="1" x14ac:dyDescent="0.25">
      <c r="C119" s="22"/>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row>
    <row r="120" spans="3:43" s="63" customFormat="1" ht="15.95" hidden="1" customHeight="1" x14ac:dyDescent="0.25">
      <c r="C120" s="22"/>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row>
    <row r="121" spans="3:43" s="63" customFormat="1" ht="15.95" hidden="1" customHeight="1" x14ac:dyDescent="0.25">
      <c r="C121" s="22"/>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row>
    <row r="122" spans="3:43" s="63" customFormat="1" ht="15.95" hidden="1" customHeight="1" x14ac:dyDescent="0.25">
      <c r="C122" s="22"/>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row>
    <row r="123" spans="3:43" s="63" customFormat="1" ht="15.95" hidden="1" customHeight="1" x14ac:dyDescent="0.25">
      <c r="C123" s="22"/>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row>
    <row r="124" spans="3:43" s="63" customFormat="1" ht="15.95" hidden="1" customHeight="1" x14ac:dyDescent="0.25">
      <c r="C124" s="22"/>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row>
    <row r="125" spans="3:43" s="63" customFormat="1" ht="15.95" hidden="1" customHeight="1" x14ac:dyDescent="0.25">
      <c r="C125" s="22"/>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row>
    <row r="126" spans="3:43" s="63" customFormat="1" ht="15.95" hidden="1" customHeight="1" x14ac:dyDescent="0.25">
      <c r="C126" s="22"/>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row>
    <row r="127" spans="3:43" s="63" customFormat="1" ht="15.95" hidden="1" customHeight="1" x14ac:dyDescent="0.25">
      <c r="C127" s="22"/>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row>
    <row r="128" spans="3:43" s="63" customFormat="1" ht="15.95" hidden="1" customHeight="1" x14ac:dyDescent="0.25">
      <c r="C128" s="22"/>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row>
    <row r="129" spans="3:43" s="63" customFormat="1" ht="15.95" hidden="1" customHeight="1" x14ac:dyDescent="0.25">
      <c r="C129" s="22"/>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row>
    <row r="130" spans="3:43" s="63" customFormat="1" ht="15.95" hidden="1" customHeight="1" x14ac:dyDescent="0.25">
      <c r="C130" s="22"/>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row>
    <row r="131" spans="3:43" s="63" customFormat="1" ht="15.95" hidden="1" customHeight="1" x14ac:dyDescent="0.25">
      <c r="C131" s="22"/>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row>
    <row r="132" spans="3:43" s="63" customFormat="1" ht="15.95" hidden="1" customHeight="1" x14ac:dyDescent="0.25">
      <c r="C132" s="22"/>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row>
    <row r="133" spans="3:43" s="63" customFormat="1" ht="15.95" hidden="1" customHeight="1" x14ac:dyDescent="0.25">
      <c r="C133" s="22"/>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row>
    <row r="134" spans="3:43" s="63" customFormat="1" ht="15.95" hidden="1" customHeight="1" x14ac:dyDescent="0.25">
      <c r="C134" s="22"/>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row>
    <row r="135" spans="3:43" s="63" customFormat="1" ht="15.95" hidden="1" customHeight="1" x14ac:dyDescent="0.25">
      <c r="C135" s="22"/>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row>
    <row r="136" spans="3:43" s="63" customFormat="1" ht="15.95" hidden="1" customHeight="1" x14ac:dyDescent="0.25">
      <c r="C136" s="22"/>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row>
    <row r="137" spans="3:43" s="63" customFormat="1" ht="15.95" hidden="1" customHeight="1" x14ac:dyDescent="0.25">
      <c r="C137" s="22"/>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row>
    <row r="138" spans="3:43" s="63" customFormat="1" ht="15.95" hidden="1" customHeight="1" x14ac:dyDescent="0.25">
      <c r="C138" s="22"/>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row>
    <row r="139" spans="3:43" s="63" customFormat="1" ht="15.95" hidden="1" customHeight="1" x14ac:dyDescent="0.25">
      <c r="C139" s="22"/>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row>
    <row r="140" spans="3:43" s="63" customFormat="1" ht="15.95" hidden="1" customHeight="1" x14ac:dyDescent="0.25">
      <c r="C140" s="22"/>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row>
    <row r="141" spans="3:43" s="63" customFormat="1" ht="15.95" hidden="1" customHeight="1" x14ac:dyDescent="0.25">
      <c r="C141" s="22"/>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row>
    <row r="142" spans="3:43" s="63" customFormat="1" ht="15.95" hidden="1" customHeight="1" x14ac:dyDescent="0.25">
      <c r="C142" s="22"/>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row>
    <row r="143" spans="3:43" s="63" customFormat="1" ht="15.95" hidden="1" customHeight="1" x14ac:dyDescent="0.25">
      <c r="C143" s="22"/>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row>
    <row r="144" spans="3:43" s="63" customFormat="1" ht="15.95" hidden="1" customHeight="1" x14ac:dyDescent="0.25">
      <c r="C144" s="22"/>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row>
    <row r="145" spans="3:43" s="63" customFormat="1" ht="15.95" hidden="1" customHeight="1" x14ac:dyDescent="0.25">
      <c r="C145" s="22"/>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row>
    <row r="146" spans="3:43" s="63" customFormat="1" ht="15.95" hidden="1" customHeight="1" x14ac:dyDescent="0.25">
      <c r="C146" s="22"/>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row>
    <row r="147" spans="3:43" s="63" customFormat="1" ht="15.95" hidden="1" customHeight="1" x14ac:dyDescent="0.25">
      <c r="C147" s="22"/>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row>
    <row r="148" spans="3:43" s="63" customFormat="1" ht="15.95" hidden="1" customHeight="1" x14ac:dyDescent="0.25">
      <c r="C148" s="22"/>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row>
    <row r="149" spans="3:43" s="63" customFormat="1" ht="15.95" hidden="1" customHeight="1" x14ac:dyDescent="0.25">
      <c r="C149" s="22"/>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row>
    <row r="150" spans="3:43" s="63" customFormat="1" ht="15.95" hidden="1" customHeight="1" x14ac:dyDescent="0.25">
      <c r="C150" s="22"/>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row>
    <row r="151" spans="3:43" s="63" customFormat="1" ht="15.95" hidden="1" customHeight="1" x14ac:dyDescent="0.25">
      <c r="C151" s="22"/>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row>
    <row r="152" spans="3:43" s="63" customFormat="1" ht="15.95" hidden="1" customHeight="1" x14ac:dyDescent="0.25">
      <c r="C152" s="22"/>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row>
    <row r="153" spans="3:43" s="63" customFormat="1" ht="15.95" hidden="1" customHeight="1" x14ac:dyDescent="0.25">
      <c r="C153" s="22"/>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row>
    <row r="154" spans="3:43" s="63" customFormat="1" ht="15.95" hidden="1" customHeight="1" x14ac:dyDescent="0.25">
      <c r="C154" s="22"/>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row>
    <row r="155" spans="3:43" s="63" customFormat="1" ht="15.95" hidden="1" customHeight="1" x14ac:dyDescent="0.25">
      <c r="C155" s="22"/>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row>
    <row r="156" spans="3:43" s="63" customFormat="1" ht="15.95" hidden="1" customHeight="1" x14ac:dyDescent="0.25">
      <c r="C156" s="22"/>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row>
    <row r="157" spans="3:43" s="63" customFormat="1" ht="15.95" hidden="1" customHeight="1" x14ac:dyDescent="0.25">
      <c r="C157" s="22"/>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row>
    <row r="158" spans="3:43" s="63" customFormat="1" ht="15.95" hidden="1" customHeight="1" x14ac:dyDescent="0.25">
      <c r="C158" s="22"/>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row>
    <row r="159" spans="3:43" s="63" customFormat="1" ht="15.95" hidden="1" customHeight="1" x14ac:dyDescent="0.25">
      <c r="C159" s="22"/>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row>
    <row r="160" spans="3:43" s="63" customFormat="1" ht="15.95" hidden="1" customHeight="1" x14ac:dyDescent="0.25">
      <c r="C160" s="22"/>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row>
    <row r="161" spans="3:43" s="63" customFormat="1" ht="15.95" hidden="1" customHeight="1" x14ac:dyDescent="0.25">
      <c r="C161" s="22"/>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row>
    <row r="162" spans="3:43" s="63" customFormat="1" ht="15.95" hidden="1" customHeight="1" x14ac:dyDescent="0.25">
      <c r="C162" s="22"/>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row>
    <row r="163" spans="3:43" s="63" customFormat="1" ht="15.95" hidden="1" customHeight="1" x14ac:dyDescent="0.25">
      <c r="C163" s="22"/>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row>
    <row r="164" spans="3:43" s="63" customFormat="1" ht="15.95" hidden="1" customHeight="1" x14ac:dyDescent="0.25">
      <c r="C164" s="22"/>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row>
    <row r="165" spans="3:43" s="63" customFormat="1" ht="15.95" hidden="1" customHeight="1" x14ac:dyDescent="0.25">
      <c r="C165" s="22"/>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row>
    <row r="166" spans="3:43" s="63" customFormat="1" ht="15.95" hidden="1" customHeight="1" x14ac:dyDescent="0.25">
      <c r="C166" s="22"/>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row>
    <row r="167" spans="3:43" s="63" customFormat="1" ht="15.95" hidden="1" customHeight="1" x14ac:dyDescent="0.25">
      <c r="C167" s="22"/>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row>
    <row r="168" spans="3:43" s="63" customFormat="1" ht="15.95" hidden="1" customHeight="1" x14ac:dyDescent="0.25">
      <c r="C168" s="22"/>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row>
    <row r="169" spans="3:43" s="63" customFormat="1" ht="15.95" hidden="1" customHeight="1" x14ac:dyDescent="0.25">
      <c r="C169" s="22"/>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row>
    <row r="170" spans="3:43" s="63" customFormat="1" ht="15.95" hidden="1" customHeight="1" x14ac:dyDescent="0.25">
      <c r="C170" s="22"/>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row>
    <row r="171" spans="3:43" s="63" customFormat="1" ht="15.95" hidden="1" customHeight="1" x14ac:dyDescent="0.25">
      <c r="C171" s="22"/>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row>
    <row r="172" spans="3:43" s="63" customFormat="1" ht="15.95" hidden="1" customHeight="1" x14ac:dyDescent="0.25">
      <c r="C172" s="22"/>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row>
    <row r="173" spans="3:43" s="63" customFormat="1" ht="15.95" hidden="1" customHeight="1" x14ac:dyDescent="0.25">
      <c r="C173" s="22"/>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row>
    <row r="174" spans="3:43" s="63" customFormat="1" ht="15.95" hidden="1" customHeight="1" x14ac:dyDescent="0.25">
      <c r="C174" s="22"/>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row>
    <row r="175" spans="3:43" s="63" customFormat="1" ht="15.95" hidden="1" customHeight="1" x14ac:dyDescent="0.25">
      <c r="C175" s="22"/>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row>
    <row r="176" spans="3:43" s="63" customFormat="1" ht="15.95" hidden="1" customHeight="1" x14ac:dyDescent="0.25">
      <c r="C176" s="22"/>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row>
    <row r="177" spans="3:43" s="63" customFormat="1" ht="15.95" hidden="1" customHeight="1" x14ac:dyDescent="0.25">
      <c r="C177" s="22"/>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row>
    <row r="178" spans="3:43" s="63" customFormat="1" ht="15.95" hidden="1" customHeight="1" x14ac:dyDescent="0.25">
      <c r="C178" s="22"/>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row>
    <row r="179" spans="3:43" s="63" customFormat="1" ht="15.95" hidden="1" customHeight="1" x14ac:dyDescent="0.25">
      <c r="C179" s="22"/>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row>
    <row r="180" spans="3:43" s="63" customFormat="1" ht="15.95" hidden="1" customHeight="1" x14ac:dyDescent="0.25">
      <c r="C180" s="22"/>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row>
    <row r="181" spans="3:43" s="63" customFormat="1" ht="15.95" hidden="1" customHeight="1" x14ac:dyDescent="0.25">
      <c r="C181" s="22"/>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row>
    <row r="182" spans="3:43" s="63" customFormat="1" ht="15.95" hidden="1" customHeight="1" x14ac:dyDescent="0.25">
      <c r="C182" s="22"/>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row>
    <row r="183" spans="3:43" s="63" customFormat="1" ht="15.95" hidden="1" customHeight="1" x14ac:dyDescent="0.25">
      <c r="C183" s="22"/>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row>
    <row r="184" spans="3:43" s="63" customFormat="1" ht="15.95" hidden="1" customHeight="1" x14ac:dyDescent="0.25">
      <c r="C184" s="22"/>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row>
    <row r="185" spans="3:43" s="63" customFormat="1" ht="15.95" hidden="1" customHeight="1" x14ac:dyDescent="0.25">
      <c r="C185" s="22"/>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row>
    <row r="186" spans="3:43" s="63" customFormat="1" ht="15.95" hidden="1" customHeight="1" x14ac:dyDescent="0.25">
      <c r="C186" s="22"/>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row>
    <row r="187" spans="3:43" s="63" customFormat="1" ht="15.95" hidden="1" customHeight="1" x14ac:dyDescent="0.25">
      <c r="C187" s="22"/>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row>
    <row r="188" spans="3:43" s="63" customFormat="1" ht="15.95" hidden="1" customHeight="1" x14ac:dyDescent="0.25">
      <c r="C188" s="22"/>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row>
    <row r="189" spans="3:43" s="63" customFormat="1" ht="15.95" hidden="1" customHeight="1" x14ac:dyDescent="0.25">
      <c r="C189" s="22"/>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row>
    <row r="190" spans="3:43" s="63" customFormat="1" ht="15.95" hidden="1" customHeight="1" x14ac:dyDescent="0.25">
      <c r="C190" s="22"/>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row>
    <row r="191" spans="3:43" s="63" customFormat="1" ht="15.95" hidden="1" customHeight="1" x14ac:dyDescent="0.25">
      <c r="C191" s="22"/>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row>
    <row r="192" spans="3:43" s="63" customFormat="1" ht="15.95" hidden="1" customHeight="1" x14ac:dyDescent="0.25">
      <c r="C192" s="22"/>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row>
    <row r="193" spans="2:44" s="63" customFormat="1" ht="15.95" hidden="1" customHeight="1" x14ac:dyDescent="0.25">
      <c r="C193" s="22"/>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row>
    <row r="194" spans="2:44" s="63" customFormat="1" ht="15.95" hidden="1" customHeight="1" x14ac:dyDescent="0.25">
      <c r="C194" s="22"/>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row>
    <row r="195" spans="2:44" s="63" customFormat="1" ht="15.95" hidden="1" customHeight="1" x14ac:dyDescent="0.25">
      <c r="C195" s="22"/>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row>
    <row r="196" spans="2:44" s="63" customFormat="1" ht="15.95" hidden="1" customHeight="1" x14ac:dyDescent="0.25">
      <c r="C196" s="22"/>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row>
    <row r="197" spans="2:44" s="63" customFormat="1" ht="15.95" hidden="1" customHeight="1" x14ac:dyDescent="0.25">
      <c r="C197" s="22"/>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c r="AA197" s="133"/>
      <c r="AB197" s="133"/>
      <c r="AC197" s="133"/>
      <c r="AD197" s="133"/>
      <c r="AE197" s="133"/>
      <c r="AF197" s="133"/>
      <c r="AG197" s="133"/>
      <c r="AH197" s="133"/>
      <c r="AI197" s="133"/>
      <c r="AJ197" s="133"/>
      <c r="AK197" s="133"/>
      <c r="AL197" s="133"/>
      <c r="AM197" s="133"/>
      <c r="AN197" s="133"/>
      <c r="AO197" s="133"/>
      <c r="AP197" s="133"/>
      <c r="AQ197" s="133"/>
    </row>
    <row r="198" spans="2:44" s="63" customFormat="1" ht="15.95" hidden="1" customHeight="1" x14ac:dyDescent="0.25">
      <c r="C198" s="22"/>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row>
    <row r="199" spans="2:44" ht="15.95" hidden="1" customHeight="1" x14ac:dyDescent="0.25"/>
    <row r="200" spans="2:44" ht="15.95" customHeight="1" x14ac:dyDescent="0.25">
      <c r="B200" s="136" t="str">
        <f>FOOT1</f>
        <v>Ameren Missouri BizSavers program</v>
      </c>
      <c r="C200" s="136"/>
      <c r="D200" s="136"/>
      <c r="E200" s="136"/>
      <c r="F200" s="136"/>
      <c r="G200" s="136"/>
      <c r="H200" s="136"/>
      <c r="I200" s="136"/>
      <c r="J200" s="136"/>
      <c r="K200" s="136"/>
      <c r="L200" s="136"/>
      <c r="M200" s="729" t="str">
        <f>FOOTDISCLAIM</f>
        <v/>
      </c>
      <c r="N200" s="729"/>
      <c r="O200" s="729"/>
      <c r="P200" s="729"/>
      <c r="Q200" s="729"/>
      <c r="R200" s="729"/>
      <c r="S200" s="729"/>
      <c r="T200" s="729"/>
      <c r="U200" s="729"/>
      <c r="V200" s="729"/>
      <c r="W200" s="729"/>
      <c r="X200" s="729"/>
      <c r="Y200" s="729"/>
      <c r="Z200" s="729"/>
      <c r="AA200" s="729"/>
      <c r="AB200" s="729"/>
      <c r="AC200" s="729"/>
      <c r="AD200" s="729"/>
      <c r="AE200" s="729"/>
      <c r="AF200" s="729"/>
      <c r="AG200" s="729"/>
      <c r="AH200" s="136"/>
      <c r="AI200" s="136"/>
      <c r="AJ200" s="136"/>
      <c r="AK200" s="136"/>
      <c r="AL200" s="136"/>
      <c r="AM200" s="136"/>
      <c r="AN200" s="136"/>
      <c r="AO200" s="136"/>
      <c r="AP200" s="136"/>
      <c r="AQ200" s="136"/>
      <c r="AR200" s="300" t="str">
        <f>FOOT4</f>
        <v/>
      </c>
    </row>
    <row r="201" spans="2:44" ht="15.95" customHeight="1" x14ac:dyDescent="0.25">
      <c r="B201" s="136" t="str">
        <f>FOOT2</f>
        <v>Toll-Free 866-941-7299</v>
      </c>
      <c r="C201" s="136"/>
      <c r="D201" s="136"/>
      <c r="E201" s="136"/>
      <c r="F201" s="136"/>
      <c r="G201" s="136"/>
      <c r="H201" s="136"/>
      <c r="I201" s="136"/>
      <c r="J201" s="136"/>
      <c r="K201" s="136"/>
      <c r="L201" s="136"/>
      <c r="M201" s="729"/>
      <c r="N201" s="729"/>
      <c r="O201" s="729"/>
      <c r="P201" s="729"/>
      <c r="Q201" s="729"/>
      <c r="R201" s="729"/>
      <c r="S201" s="729"/>
      <c r="T201" s="729"/>
      <c r="U201" s="729"/>
      <c r="V201" s="729"/>
      <c r="W201" s="729"/>
      <c r="X201" s="729"/>
      <c r="Y201" s="729"/>
      <c r="Z201" s="729"/>
      <c r="AA201" s="729"/>
      <c r="AB201" s="729"/>
      <c r="AC201" s="729"/>
      <c r="AD201" s="729"/>
      <c r="AE201" s="729"/>
      <c r="AF201" s="729"/>
      <c r="AG201" s="729"/>
      <c r="AH201" s="136"/>
      <c r="AI201" s="136"/>
      <c r="AJ201" s="136"/>
      <c r="AK201" s="136"/>
      <c r="AL201" s="136"/>
      <c r="AM201" s="136"/>
      <c r="AN201" s="136"/>
      <c r="AO201" s="136"/>
      <c r="AP201" s="136"/>
      <c r="AQ201" s="136"/>
      <c r="AR201" s="300" t="str">
        <f>FOOT5</f>
        <v/>
      </c>
    </row>
    <row r="202" spans="2:44" ht="15.95" customHeight="1" x14ac:dyDescent="0.25">
      <c r="B202" s="138" t="str">
        <f>FOOT3</f>
        <v>BizSavers@ameren.com</v>
      </c>
      <c r="C202" s="136"/>
      <c r="D202" s="136"/>
      <c r="E202" s="136"/>
      <c r="F202" s="136"/>
      <c r="G202" s="136"/>
      <c r="H202" s="136"/>
      <c r="I202" s="136"/>
      <c r="J202" s="136"/>
      <c r="K202" s="136"/>
      <c r="L202" s="136"/>
      <c r="M202" s="139"/>
      <c r="N202" s="136"/>
      <c r="O202" s="136"/>
      <c r="P202" s="139"/>
      <c r="Q202" s="139"/>
      <c r="R202" s="139"/>
      <c r="S202" s="139"/>
      <c r="T202" s="139"/>
      <c r="U202" s="139"/>
      <c r="V202" s="139"/>
      <c r="W202" s="140" t="str">
        <f>VERSION</f>
        <v>New Construction v3.8.0</v>
      </c>
      <c r="X202" s="139"/>
      <c r="Y202" s="139"/>
      <c r="Z202" s="139"/>
      <c r="AA202" s="139"/>
      <c r="AB202" s="139"/>
      <c r="AC202" s="139"/>
      <c r="AD202" s="139"/>
      <c r="AE202" s="136"/>
      <c r="AF202" s="136"/>
      <c r="AG202" s="136"/>
      <c r="AH202" s="136"/>
      <c r="AI202" s="136"/>
      <c r="AJ202" s="136"/>
      <c r="AK202" s="136"/>
      <c r="AL202" s="136"/>
      <c r="AM202" s="136"/>
      <c r="AN202" s="136"/>
      <c r="AO202" s="136"/>
      <c r="AP202" s="136"/>
      <c r="AQ202" s="136"/>
      <c r="AR202" s="300" t="str">
        <f>FOOT6</f>
        <v>Product of TRC Companies</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sheetData>
  <sheetProtection algorithmName="SHA-512" hashValue="mwt/n+KjPoI2qsEHVRRgpYjqWd6Cbjo5+B5DjiIZir7+aVKn5/HwcEpJZkawTGbeHxQ/xwUyePHSQ8gpQ3szeA==" saltValue="6KsaDSkpo0sg5QHFQRpPvw==" spinCount="100000" sheet="1" objects="1" scenarios="1" selectLockedCells="1"/>
  <mergeCells count="23">
    <mergeCell ref="AG18:AQ20"/>
    <mergeCell ref="AQ1:AR1"/>
    <mergeCell ref="AQ2:AR3"/>
    <mergeCell ref="AH1:AK1"/>
    <mergeCell ref="AL1:AP1"/>
    <mergeCell ref="AH2:AK3"/>
    <mergeCell ref="AL2:AP3"/>
    <mergeCell ref="M200:AG201"/>
    <mergeCell ref="D18:J18"/>
    <mergeCell ref="F10:AN10"/>
    <mergeCell ref="D15:J16"/>
    <mergeCell ref="K15:M16"/>
    <mergeCell ref="AG15:AQ17"/>
    <mergeCell ref="R17:AC18"/>
    <mergeCell ref="D20:J20"/>
    <mergeCell ref="K20:M20"/>
    <mergeCell ref="AG21:AQ22"/>
    <mergeCell ref="D22:J22"/>
    <mergeCell ref="K22:M22"/>
    <mergeCell ref="AG23:AQ25"/>
    <mergeCell ref="R25:AC25"/>
    <mergeCell ref="AI28:AO30"/>
    <mergeCell ref="K18:M18"/>
  </mergeCells>
  <conditionalFormatting sqref="K15 K18 K20 K22">
    <cfRule type="expression" dxfId="265" priority="16">
      <formula>K15="Incomplete"</formula>
    </cfRule>
    <cfRule type="expression" dxfId="264" priority="17">
      <formula>K15="Almost!"</formula>
    </cfRule>
    <cfRule type="expression" dxfId="263" priority="18">
      <formula>K15="Completed"</formula>
    </cfRule>
  </conditionalFormatting>
  <conditionalFormatting sqref="AQ2:AR3">
    <cfRule type="cellIs" dxfId="262" priority="3" operator="equal">
      <formula>1</formula>
    </cfRule>
    <cfRule type="cellIs" dxfId="261" priority="4" operator="between">
      <formula>0.51</formula>
      <formula>0.99</formula>
    </cfRule>
    <cfRule type="cellIs" dxfId="260" priority="5" operator="lessThanOrEqual">
      <formula>0.5</formula>
    </cfRule>
  </conditionalFormatting>
  <conditionalFormatting sqref="AH2 AL2">
    <cfRule type="expression" dxfId="259" priority="1">
      <formula>OR(PROJSTATUS=PROJSTATELI,PROJSTATUS=PROJSTATEXP,PROJSTATUS=PROJSTATUNDER)</formula>
    </cfRule>
    <cfRule type="expression" dxfId="258" priority="2">
      <formula>PROJSTATUS=PROJSTATFILLINITIAL</formula>
    </cfRule>
    <cfRule type="expression" dxfId="257" priority="6">
      <formula>PROJSTATUS=PROJSTATPREAPPROVE</formula>
    </cfRule>
    <cfRule type="expression" dxfId="256" priority="7">
      <formula>OR(PROJSTATUS=PROJSTATSSUBMITINITIAL,PROJSTATUS=PROJSTATREVIEW)</formula>
    </cfRule>
  </conditionalFormatting>
  <dataValidations count="6">
    <dataValidation type="list" allowBlank="1" showInputMessage="1" showErrorMessage="1" prompt="Selecting the Payment Type will autopopulate with selected option. If Other, enter in the payee manually." sqref="J13:O13" xr:uid="{00000000-0002-0000-1200-000000000000}">
      <formula1>" Company (Check),Site (Check),Site (Bill Credit),Trade Ally (Check),Other (Check)"</formula1>
    </dataValidation>
    <dataValidation type="list" allowBlank="1" showInputMessage="1" showErrorMessage="1" sqref="Q19" xr:uid="{00000000-0002-0000-1200-000001000000}">
      <formula1>STATESABBREV</formula1>
    </dataValidation>
    <dataValidation type="textLength" operator="equal" allowBlank="1" showInputMessage="1" showErrorMessage="1" error="Please enter only the first 2 digits of the Tax ID" prompt="Please enter only the first 2 digits of the Tax ID" sqref="AL19" xr:uid="{00000000-0002-0000-1200-000002000000}">
      <formula1>2</formula1>
    </dataValidation>
    <dataValidation type="textLength" operator="equal" allowBlank="1" showInputMessage="1" showErrorMessage="1" error="Please enter only the last 7 digits of the Tax ID" prompt="Please enter only the last 7 digits of the Tax ID" sqref="AN19:AQ19" xr:uid="{00000000-0002-0000-1200-000003000000}">
      <formula1>7</formula1>
    </dataValidation>
    <dataValidation type="list" allowBlank="1" showInputMessage="1" showErrorMessage="1" sqref="AE19:AJ19" xr:uid="{00000000-0002-0000-1200-000004000000}">
      <formula1>TAX</formula1>
    </dataValidation>
    <dataValidation type="textLength" allowBlank="1" showInputMessage="1" sqref="AL16:AQ16" xr:uid="{00000000-0002-0000-1200-000005000000}">
      <formula1>5</formula1>
      <formula2>10</formula2>
    </dataValidation>
  </dataValidations>
  <hyperlinks>
    <hyperlink ref="B202" r:id="rId1" display="NIPSCO.Savings@LMCO.com" xr:uid="{00000000-0004-0000-1200-000000000000}"/>
    <hyperlink ref="D18:I18" location="'M02-S02'!A1" display="Company and Site Information" xr:uid="{00000000-0004-0000-1200-000001000000}"/>
    <hyperlink ref="D15:J16" location="'M02-S01'!A1" display="Read and Accept Program Terms and Conditions" xr:uid="{00000000-0004-0000-1200-000002000000}"/>
    <hyperlink ref="D20:I20" location="'M02-S03'!A1" display="Contractor/Vendor Information" xr:uid="{00000000-0004-0000-1200-000003000000}"/>
  </hyperlinks>
  <pageMargins left="0.25" right="0.25" top="0.25" bottom="0.25" header="0.25" footer="0.25"/>
  <pageSetup scale="62" fitToHeight="0"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4">
    <tabColor theme="4" tint="-0.249977111117893"/>
  </sheetPr>
  <dimension ref="A1:BP178"/>
  <sheetViews>
    <sheetView topLeftCell="AL17" zoomScaleNormal="100" workbookViewId="0">
      <selection activeCell="AU34" sqref="AU34"/>
    </sheetView>
  </sheetViews>
  <sheetFormatPr defaultRowHeight="12.75" x14ac:dyDescent="0.2"/>
  <cols>
    <col min="1" max="1" width="12.85546875" style="222" customWidth="1"/>
    <col min="2" max="2" width="8.5703125" style="223" customWidth="1"/>
    <col min="3" max="3" width="31.85546875" style="222" customWidth="1"/>
    <col min="4" max="4" width="12.7109375" style="222" customWidth="1"/>
    <col min="5" max="5" width="27.85546875" style="222" customWidth="1"/>
    <col min="6" max="6" width="32.85546875" style="222" customWidth="1"/>
    <col min="7" max="7" width="8.5703125" style="222" customWidth="1"/>
    <col min="8" max="8" width="24.42578125" style="222" customWidth="1"/>
    <col min="9" max="9" width="11.42578125" style="222" customWidth="1"/>
    <col min="10" max="10" width="5.5703125" style="222" customWidth="1"/>
    <col min="11" max="11" width="6.28515625" style="223" customWidth="1"/>
    <col min="12" max="12" width="8.42578125" style="224" customWidth="1"/>
    <col min="13" max="13" width="12.42578125" style="225" customWidth="1"/>
    <col min="14" max="14" width="6.28515625" style="222" customWidth="1"/>
    <col min="15" max="15" width="11.42578125" style="222" customWidth="1"/>
    <col min="16" max="16" width="9.42578125" style="222" customWidth="1"/>
    <col min="17" max="17" width="8.140625" style="224" customWidth="1"/>
    <col min="18" max="18" width="9.140625" style="222" customWidth="1"/>
    <col min="19" max="19" width="10" style="222" hidden="1" customWidth="1"/>
    <col min="20" max="20" width="8.42578125" style="222" hidden="1" customWidth="1"/>
    <col min="21" max="21" width="14.5703125" style="222" hidden="1" customWidth="1"/>
    <col min="22" max="22" width="13" style="222" hidden="1" customWidth="1"/>
    <col min="23" max="23" width="11.42578125" style="222" hidden="1" customWidth="1"/>
    <col min="24" max="24" width="10.28515625" style="222" hidden="1" customWidth="1"/>
    <col min="25" max="25" width="6.85546875" style="222" hidden="1" customWidth="1"/>
    <col min="26" max="26" width="11.5703125" style="222" customWidth="1"/>
    <col min="27" max="27" width="6.85546875" style="222" hidden="1" customWidth="1"/>
    <col min="28" max="28" width="10.5703125" style="222" customWidth="1"/>
    <col min="29" max="29" width="34.28515625" style="31" customWidth="1"/>
    <col min="30" max="30" width="13.5703125" style="31" customWidth="1"/>
    <col min="31" max="31" width="19.5703125" style="31" customWidth="1"/>
    <col min="32" max="32" width="11.85546875" style="31" customWidth="1"/>
    <col min="33" max="33" width="24" style="31" customWidth="1"/>
    <col min="34" max="39" width="9.140625" style="31"/>
    <col min="40" max="40" width="23.140625" style="31" customWidth="1"/>
    <col min="41" max="46" width="9.140625" style="31"/>
    <col min="47" max="47" width="19.140625" style="31" customWidth="1"/>
    <col min="48" max="48" width="13.5703125" style="31" customWidth="1"/>
    <col min="49" max="49" width="14.5703125" style="31" customWidth="1"/>
    <col min="50" max="16384" width="9.140625" style="31"/>
  </cols>
  <sheetData>
    <row r="1" spans="1:68" s="29" customFormat="1" ht="12.75" customHeight="1" x14ac:dyDescent="0.25">
      <c r="A1" s="222" t="s">
        <v>1168</v>
      </c>
      <c r="B1" s="223" t="s">
        <v>1169</v>
      </c>
      <c r="C1" s="222" t="s">
        <v>1170</v>
      </c>
      <c r="D1" s="222" t="s">
        <v>1171</v>
      </c>
      <c r="E1" s="222" t="s">
        <v>1172</v>
      </c>
      <c r="F1" s="222" t="s">
        <v>146</v>
      </c>
      <c r="G1" s="222" t="s">
        <v>1173</v>
      </c>
      <c r="H1" s="222" t="s">
        <v>1174</v>
      </c>
      <c r="I1" s="222" t="s">
        <v>147</v>
      </c>
      <c r="J1" s="222" t="s">
        <v>1175</v>
      </c>
      <c r="K1" s="223" t="s">
        <v>1176</v>
      </c>
      <c r="L1" s="224" t="s">
        <v>151</v>
      </c>
      <c r="M1" s="225" t="s">
        <v>1177</v>
      </c>
      <c r="N1" s="222" t="s">
        <v>159</v>
      </c>
      <c r="O1" s="226" t="s">
        <v>799</v>
      </c>
      <c r="P1" s="226" t="s">
        <v>150</v>
      </c>
      <c r="Q1" s="224" t="s">
        <v>153</v>
      </c>
      <c r="R1" s="222" t="s">
        <v>1178</v>
      </c>
      <c r="S1" s="222" t="s">
        <v>1179</v>
      </c>
      <c r="T1" s="222" t="s">
        <v>1180</v>
      </c>
      <c r="U1" s="222" t="s">
        <v>142</v>
      </c>
      <c r="V1" s="222" t="s">
        <v>0</v>
      </c>
      <c r="W1" s="222" t="s">
        <v>1181</v>
      </c>
      <c r="X1" s="222" t="s">
        <v>521</v>
      </c>
      <c r="Y1" s="222" t="s">
        <v>156</v>
      </c>
      <c r="Z1" s="222" t="s">
        <v>1074</v>
      </c>
      <c r="AA1" s="222" t="s">
        <v>1182</v>
      </c>
      <c r="AB1" s="222" t="s">
        <v>99</v>
      </c>
      <c r="AC1" s="240" t="s">
        <v>181</v>
      </c>
      <c r="AD1" s="240" t="s">
        <v>182</v>
      </c>
      <c r="AE1" s="240" t="s">
        <v>185</v>
      </c>
      <c r="AF1" s="240" t="s">
        <v>238</v>
      </c>
      <c r="AG1" s="240" t="s">
        <v>183</v>
      </c>
      <c r="AH1" s="240" t="s">
        <v>184</v>
      </c>
      <c r="AI1" s="240" t="s">
        <v>186</v>
      </c>
      <c r="AJ1" s="241" t="s">
        <v>200</v>
      </c>
      <c r="AK1" s="241" t="s">
        <v>1375</v>
      </c>
      <c r="AL1" s="241" t="s">
        <v>1376</v>
      </c>
      <c r="AN1" s="46" t="s">
        <v>181</v>
      </c>
      <c r="AO1" s="46" t="s">
        <v>182</v>
      </c>
      <c r="AP1" s="46" t="s">
        <v>185</v>
      </c>
      <c r="AQ1" s="46" t="s">
        <v>970</v>
      </c>
      <c r="AR1" s="46" t="s">
        <v>659</v>
      </c>
      <c r="AT1" s="348" t="s">
        <v>2212</v>
      </c>
      <c r="AU1" s="348" t="s">
        <v>1404</v>
      </c>
      <c r="AV1" s="348" t="s">
        <v>1168</v>
      </c>
      <c r="AW1" s="348" t="s">
        <v>150</v>
      </c>
      <c r="AX1" s="348" t="s">
        <v>198</v>
      </c>
      <c r="AY1" s="348" t="s">
        <v>238</v>
      </c>
      <c r="AZ1" s="348" t="s">
        <v>199</v>
      </c>
      <c r="BA1" s="348" t="s">
        <v>200</v>
      </c>
      <c r="BB1" s="348" t="s">
        <v>1375</v>
      </c>
      <c r="BC1" s="348" t="s">
        <v>1376</v>
      </c>
      <c r="BD1" s="348" t="s">
        <v>799</v>
      </c>
      <c r="BF1" s="63" t="s">
        <v>141</v>
      </c>
      <c r="BG1" s="63" t="s">
        <v>181</v>
      </c>
      <c r="BH1" s="63" t="s">
        <v>182</v>
      </c>
      <c r="BI1" s="63" t="s">
        <v>198</v>
      </c>
      <c r="BJ1" s="63" t="s">
        <v>238</v>
      </c>
      <c r="BK1" s="63" t="s">
        <v>144</v>
      </c>
      <c r="BL1" s="63" t="s">
        <v>654</v>
      </c>
      <c r="BM1" s="63" t="s">
        <v>655</v>
      </c>
      <c r="BN1" s="63" t="s">
        <v>149</v>
      </c>
      <c r="BO1" s="63" t="s">
        <v>659</v>
      </c>
      <c r="BP1" s="63" t="s">
        <v>892</v>
      </c>
    </row>
    <row r="2" spans="1:68" ht="12.75" customHeight="1" x14ac:dyDescent="0.25">
      <c r="O2" s="226"/>
      <c r="P2" s="226"/>
      <c r="AC2" s="222"/>
      <c r="AD2" s="165"/>
      <c r="AE2" s="165"/>
      <c r="AF2" s="165"/>
      <c r="AG2" s="165"/>
      <c r="AH2" s="165"/>
      <c r="AI2" s="48"/>
      <c r="AJ2" s="75"/>
      <c r="AK2" s="343"/>
      <c r="AL2" s="343"/>
      <c r="AN2" s="165"/>
      <c r="AO2" s="48"/>
      <c r="AP2" s="165"/>
      <c r="AQ2" s="165"/>
      <c r="AR2" s="298"/>
      <c r="AT2" s="349" t="s">
        <v>180</v>
      </c>
      <c r="AU2" s="48" t="s">
        <v>2215</v>
      </c>
      <c r="AV2" s="48">
        <v>4060812</v>
      </c>
      <c r="AW2" s="48">
        <v>0.2</v>
      </c>
      <c r="AX2" s="349">
        <v>8</v>
      </c>
      <c r="AY2" s="349">
        <v>10</v>
      </c>
      <c r="AZ2" s="349">
        <v>5.5</v>
      </c>
      <c r="BA2" s="349"/>
      <c r="BB2" s="349">
        <v>0</v>
      </c>
      <c r="BC2" s="349">
        <v>8760</v>
      </c>
      <c r="BD2" s="349" t="s">
        <v>161</v>
      </c>
      <c r="BF2" s="63" t="s">
        <v>714</v>
      </c>
      <c r="BG2" s="63" t="s">
        <v>2086</v>
      </c>
      <c r="BH2" s="63" t="s">
        <v>2087</v>
      </c>
      <c r="BI2" s="63">
        <v>72</v>
      </c>
      <c r="BJ2" s="63"/>
      <c r="BK2" s="63" t="s">
        <v>755</v>
      </c>
      <c r="BL2" s="63" t="s">
        <v>767</v>
      </c>
      <c r="BM2" s="63"/>
      <c r="BN2" s="63" t="s">
        <v>164</v>
      </c>
      <c r="BO2" s="63">
        <v>1</v>
      </c>
      <c r="BP2" s="63" t="s">
        <v>894</v>
      </c>
    </row>
    <row r="3" spans="1:68" ht="12.75" customHeight="1" x14ac:dyDescent="0.25">
      <c r="O3" s="226"/>
      <c r="P3" s="226"/>
      <c r="AC3" s="165"/>
      <c r="AD3" s="165"/>
      <c r="AE3" s="165"/>
      <c r="AF3" s="165"/>
      <c r="AG3" s="165"/>
      <c r="AH3" s="165"/>
      <c r="AI3" s="48"/>
      <c r="AJ3" s="75"/>
      <c r="AK3" s="343"/>
      <c r="AL3" s="343"/>
      <c r="AN3" s="165"/>
      <c r="AO3" s="48"/>
      <c r="AP3" s="165"/>
      <c r="AQ3" s="165"/>
      <c r="AR3" s="298"/>
      <c r="AT3" s="349" t="s">
        <v>166</v>
      </c>
      <c r="AU3" s="48" t="s">
        <v>2216</v>
      </c>
      <c r="AV3" s="48">
        <v>4060712</v>
      </c>
      <c r="AW3" s="48">
        <v>0.2</v>
      </c>
      <c r="AX3" s="349">
        <v>6</v>
      </c>
      <c r="AY3" s="349">
        <v>9</v>
      </c>
      <c r="AZ3" s="349">
        <v>5.5</v>
      </c>
      <c r="BA3" s="349"/>
      <c r="BB3" s="349">
        <v>0</v>
      </c>
      <c r="BC3" s="349">
        <v>8760</v>
      </c>
      <c r="BD3" s="349" t="s">
        <v>161</v>
      </c>
      <c r="BF3" s="63" t="s">
        <v>714</v>
      </c>
      <c r="BG3" s="63" t="s">
        <v>708</v>
      </c>
      <c r="BH3" s="63" t="s">
        <v>886</v>
      </c>
      <c r="BI3" s="63">
        <v>95</v>
      </c>
      <c r="BJ3" s="63"/>
      <c r="BK3" s="63" t="s">
        <v>755</v>
      </c>
      <c r="BL3" s="63" t="s">
        <v>756</v>
      </c>
      <c r="BM3" s="63"/>
      <c r="BN3" s="63" t="s">
        <v>164</v>
      </c>
      <c r="BO3" s="63">
        <v>2</v>
      </c>
      <c r="BP3" s="63" t="s">
        <v>893</v>
      </c>
    </row>
    <row r="4" spans="1:68" ht="12.75" customHeight="1" x14ac:dyDescent="0.25">
      <c r="O4" s="226"/>
      <c r="P4" s="226"/>
      <c r="AC4" s="165"/>
      <c r="AD4" s="165"/>
      <c r="AE4" s="165"/>
      <c r="AF4" s="165"/>
      <c r="AG4" s="165"/>
      <c r="AH4" s="165"/>
      <c r="AI4" s="48"/>
      <c r="AJ4" s="75"/>
      <c r="AK4" s="343"/>
      <c r="AL4" s="343"/>
      <c r="AN4" s="165"/>
      <c r="AO4" s="48"/>
      <c r="AP4" s="165"/>
      <c r="AQ4" s="165"/>
      <c r="AR4" s="48"/>
      <c r="AT4" s="349" t="s">
        <v>165</v>
      </c>
      <c r="AU4" s="48" t="s">
        <v>2217</v>
      </c>
      <c r="AV4" s="48">
        <v>4060612</v>
      </c>
      <c r="AW4" s="48">
        <v>0.2</v>
      </c>
      <c r="AX4" s="349">
        <v>6</v>
      </c>
      <c r="AY4" s="349">
        <v>8</v>
      </c>
      <c r="AZ4" s="349">
        <v>3.5</v>
      </c>
      <c r="BA4" s="349"/>
      <c r="BB4" s="349">
        <v>0</v>
      </c>
      <c r="BC4" s="349">
        <v>8760</v>
      </c>
      <c r="BD4" s="349" t="s">
        <v>161</v>
      </c>
      <c r="BF4" s="63" t="s">
        <v>714</v>
      </c>
      <c r="BG4" s="63" t="s">
        <v>709</v>
      </c>
      <c r="BH4" s="63" t="s">
        <v>887</v>
      </c>
      <c r="BI4" s="63">
        <v>114</v>
      </c>
      <c r="BJ4" s="63"/>
      <c r="BK4" s="63" t="s">
        <v>755</v>
      </c>
      <c r="BL4" s="63" t="s">
        <v>757</v>
      </c>
      <c r="BM4" s="63"/>
      <c r="BN4" s="63" t="s">
        <v>164</v>
      </c>
      <c r="BO4" s="63">
        <v>3</v>
      </c>
      <c r="BP4" s="63" t="s">
        <v>893</v>
      </c>
    </row>
    <row r="5" spans="1:68" ht="12.75" customHeight="1" x14ac:dyDescent="0.25">
      <c r="O5" s="226"/>
      <c r="P5" s="226"/>
      <c r="AC5" s="165"/>
      <c r="AD5" s="165"/>
      <c r="AE5" s="165"/>
      <c r="AF5" s="165"/>
      <c r="AG5" s="165"/>
      <c r="AH5" s="165"/>
      <c r="AI5" s="48"/>
      <c r="AJ5" s="75"/>
      <c r="AK5" s="343"/>
      <c r="AL5" s="343"/>
      <c r="AN5" s="165"/>
      <c r="AO5" s="48"/>
      <c r="AP5" s="165"/>
      <c r="AQ5" s="165"/>
      <c r="AR5" s="298"/>
      <c r="AT5" s="349" t="s">
        <v>2213</v>
      </c>
      <c r="AU5" s="47" t="s">
        <v>2218</v>
      </c>
      <c r="AV5" s="48">
        <v>4060612</v>
      </c>
      <c r="AW5" s="48">
        <v>0.2</v>
      </c>
      <c r="AX5" s="349">
        <v>12</v>
      </c>
      <c r="AY5" s="349">
        <v>14</v>
      </c>
      <c r="AZ5" s="349">
        <v>7.5</v>
      </c>
      <c r="BA5" s="349"/>
      <c r="BB5" s="349">
        <v>0</v>
      </c>
      <c r="BC5" s="349">
        <v>8760</v>
      </c>
      <c r="BD5" s="349" t="s">
        <v>161</v>
      </c>
      <c r="BF5" s="63" t="s">
        <v>714</v>
      </c>
      <c r="BG5" s="63" t="s">
        <v>2088</v>
      </c>
      <c r="BH5" s="63" t="s">
        <v>2089</v>
      </c>
      <c r="BI5" s="63">
        <v>190</v>
      </c>
      <c r="BJ5" s="63"/>
      <c r="BK5" s="63" t="s">
        <v>755</v>
      </c>
      <c r="BL5" s="63" t="s">
        <v>769</v>
      </c>
      <c r="BM5" s="63"/>
      <c r="BN5" s="63" t="s">
        <v>164</v>
      </c>
      <c r="BO5" s="63">
        <v>4</v>
      </c>
      <c r="BP5" s="63" t="s">
        <v>894</v>
      </c>
    </row>
    <row r="6" spans="1:68" ht="12.75" customHeight="1" x14ac:dyDescent="0.25">
      <c r="O6" s="226"/>
      <c r="P6" s="226"/>
      <c r="AC6" s="165"/>
      <c r="AD6" s="165"/>
      <c r="AE6" s="165"/>
      <c r="AF6" s="165"/>
      <c r="AG6" s="165"/>
      <c r="AH6" s="165"/>
      <c r="AI6" s="48"/>
      <c r="AJ6" s="75"/>
      <c r="AK6" s="343"/>
      <c r="AL6" s="343"/>
      <c r="AN6" s="165"/>
      <c r="AO6" s="48"/>
      <c r="AP6" s="165"/>
      <c r="AQ6" s="165"/>
      <c r="AR6" s="298"/>
      <c r="AT6" s="349" t="s">
        <v>180</v>
      </c>
      <c r="AU6" s="48" t="s">
        <v>2219</v>
      </c>
      <c r="AV6" s="48">
        <v>4060813</v>
      </c>
      <c r="AW6" s="48">
        <v>0.2</v>
      </c>
      <c r="AX6" s="349">
        <v>8</v>
      </c>
      <c r="AY6" s="349">
        <v>10</v>
      </c>
      <c r="AZ6" s="349">
        <v>5.5</v>
      </c>
      <c r="BA6" s="349"/>
      <c r="BB6" s="349">
        <v>0</v>
      </c>
      <c r="BC6" s="349">
        <v>8760</v>
      </c>
      <c r="BD6" s="349" t="s">
        <v>161</v>
      </c>
      <c r="BF6" s="63" t="s">
        <v>714</v>
      </c>
      <c r="BG6" s="63" t="s">
        <v>710</v>
      </c>
      <c r="BH6" s="63" t="s">
        <v>888</v>
      </c>
      <c r="BI6" s="63">
        <v>199</v>
      </c>
      <c r="BJ6" s="63"/>
      <c r="BK6" s="63" t="s">
        <v>755</v>
      </c>
      <c r="BL6" s="63" t="s">
        <v>758</v>
      </c>
      <c r="BM6" s="63"/>
      <c r="BN6" s="63" t="s">
        <v>164</v>
      </c>
      <c r="BO6" s="63">
        <v>5</v>
      </c>
      <c r="BP6" s="63" t="s">
        <v>893</v>
      </c>
    </row>
    <row r="7" spans="1:68" ht="12.75" customHeight="1" x14ac:dyDescent="0.25">
      <c r="O7" s="226"/>
      <c r="P7" s="226"/>
      <c r="AC7" s="165"/>
      <c r="AD7" s="165"/>
      <c r="AE7" s="165"/>
      <c r="AF7" s="165"/>
      <c r="AG7" s="165"/>
      <c r="AH7" s="165"/>
      <c r="AI7" s="48"/>
      <c r="AJ7" s="75"/>
      <c r="AK7" s="343"/>
      <c r="AL7" s="343"/>
      <c r="AN7" s="165"/>
      <c r="AO7" s="48"/>
      <c r="AP7" s="165"/>
      <c r="AQ7" s="165"/>
      <c r="AR7" s="298"/>
      <c r="AT7" s="349" t="s">
        <v>166</v>
      </c>
      <c r="AU7" s="48" t="s">
        <v>2220</v>
      </c>
      <c r="AV7" s="48">
        <v>4060713</v>
      </c>
      <c r="AW7" s="48">
        <v>0.2</v>
      </c>
      <c r="AX7" s="349">
        <v>6</v>
      </c>
      <c r="AY7" s="349">
        <v>9</v>
      </c>
      <c r="AZ7" s="349">
        <v>5.5</v>
      </c>
      <c r="BA7" s="349"/>
      <c r="BB7" s="349">
        <v>0</v>
      </c>
      <c r="BC7" s="349">
        <v>8760</v>
      </c>
      <c r="BD7" s="349" t="s">
        <v>161</v>
      </c>
      <c r="BF7" s="63" t="s">
        <v>714</v>
      </c>
      <c r="BG7" s="63" t="s">
        <v>711</v>
      </c>
      <c r="BH7" s="63" t="s">
        <v>889</v>
      </c>
      <c r="BI7" s="63">
        <v>284</v>
      </c>
      <c r="BJ7" s="63"/>
      <c r="BK7" s="63" t="s">
        <v>755</v>
      </c>
      <c r="BL7" s="63" t="s">
        <v>759</v>
      </c>
      <c r="BM7" s="63"/>
      <c r="BN7" s="63" t="s">
        <v>164</v>
      </c>
      <c r="BO7" s="63">
        <v>6</v>
      </c>
      <c r="BP7" s="63" t="s">
        <v>893</v>
      </c>
    </row>
    <row r="8" spans="1:68" ht="12.75" customHeight="1" x14ac:dyDescent="0.25">
      <c r="O8" s="226"/>
      <c r="P8" s="226"/>
      <c r="AC8" s="165"/>
      <c r="AD8" s="165"/>
      <c r="AE8" s="165"/>
      <c r="AF8" s="165"/>
      <c r="AG8" s="165"/>
      <c r="AH8" s="165"/>
      <c r="AI8" s="48"/>
      <c r="AJ8" s="75"/>
      <c r="AK8" s="343"/>
      <c r="AL8" s="343"/>
      <c r="AN8" s="165"/>
      <c r="AO8" s="48"/>
      <c r="AP8" s="165"/>
      <c r="AQ8" s="165"/>
      <c r="AR8" s="48"/>
      <c r="AT8" s="349" t="s">
        <v>165</v>
      </c>
      <c r="AU8" s="48" t="s">
        <v>2221</v>
      </c>
      <c r="AV8" s="48">
        <v>4060613</v>
      </c>
      <c r="AW8" s="48">
        <v>0.2</v>
      </c>
      <c r="AX8" s="349">
        <v>6</v>
      </c>
      <c r="AY8" s="349">
        <v>8</v>
      </c>
      <c r="AZ8" s="349">
        <v>3.5</v>
      </c>
      <c r="BA8" s="349"/>
      <c r="BB8" s="349">
        <v>0</v>
      </c>
      <c r="BC8" s="349">
        <v>8760</v>
      </c>
      <c r="BD8" s="349" t="s">
        <v>161</v>
      </c>
      <c r="BF8" s="63" t="s">
        <v>714</v>
      </c>
      <c r="BG8" s="63" t="s">
        <v>712</v>
      </c>
      <c r="BH8" s="63" t="s">
        <v>890</v>
      </c>
      <c r="BI8" s="63">
        <v>455</v>
      </c>
      <c r="BJ8" s="63"/>
      <c r="BK8" s="63" t="s">
        <v>755</v>
      </c>
      <c r="BL8" s="63" t="s">
        <v>760</v>
      </c>
      <c r="BM8" s="63"/>
      <c r="BN8" s="63" t="s">
        <v>164</v>
      </c>
      <c r="BO8" s="63">
        <v>7</v>
      </c>
      <c r="BP8" s="63" t="s">
        <v>893</v>
      </c>
    </row>
    <row r="9" spans="1:68" ht="12.75" customHeight="1" x14ac:dyDescent="0.25">
      <c r="O9" s="226"/>
      <c r="P9" s="226"/>
      <c r="AC9" s="165"/>
      <c r="AD9" s="165"/>
      <c r="AE9" s="165"/>
      <c r="AF9" s="165"/>
      <c r="AG9" s="165"/>
      <c r="AH9" s="165"/>
      <c r="AI9" s="48"/>
      <c r="AJ9" s="75"/>
      <c r="AK9" s="343"/>
      <c r="AL9" s="343"/>
      <c r="AN9" s="165"/>
      <c r="AO9" s="48"/>
      <c r="AP9" s="165"/>
      <c r="AQ9" s="165"/>
      <c r="AR9" s="298"/>
      <c r="AT9" s="349" t="s">
        <v>2213</v>
      </c>
      <c r="AU9" s="47" t="s">
        <v>2222</v>
      </c>
      <c r="AV9" s="48">
        <v>4060613</v>
      </c>
      <c r="AW9" s="48">
        <v>0.2</v>
      </c>
      <c r="AX9" s="349">
        <v>12</v>
      </c>
      <c r="AY9" s="349">
        <v>14</v>
      </c>
      <c r="AZ9" s="349">
        <v>7.5</v>
      </c>
      <c r="BA9" s="349"/>
      <c r="BB9" s="349">
        <v>0</v>
      </c>
      <c r="BC9" s="349">
        <v>8760</v>
      </c>
      <c r="BD9" s="349" t="s">
        <v>161</v>
      </c>
      <c r="BF9" s="63" t="s">
        <v>714</v>
      </c>
      <c r="BG9" s="63" t="s">
        <v>713</v>
      </c>
      <c r="BH9" s="63" t="s">
        <v>891</v>
      </c>
      <c r="BI9" s="63">
        <v>1080</v>
      </c>
      <c r="BJ9" s="63"/>
      <c r="BK9" s="63" t="s">
        <v>755</v>
      </c>
      <c r="BL9" s="63" t="s">
        <v>761</v>
      </c>
      <c r="BM9" s="63"/>
      <c r="BN9" s="63" t="s">
        <v>164</v>
      </c>
      <c r="BO9" s="63">
        <v>8</v>
      </c>
      <c r="BP9" s="63" t="s">
        <v>893</v>
      </c>
    </row>
    <row r="10" spans="1:68" ht="12.75" customHeight="1" x14ac:dyDescent="0.25">
      <c r="O10" s="226"/>
      <c r="P10" s="226"/>
      <c r="AC10" s="165"/>
      <c r="AD10" s="165"/>
      <c r="AE10" s="165"/>
      <c r="AF10" s="165"/>
      <c r="AG10" s="165"/>
      <c r="AH10" s="165"/>
      <c r="AI10" s="48"/>
      <c r="AJ10" s="75"/>
      <c r="AK10" s="343"/>
      <c r="AL10" s="343"/>
      <c r="AN10" s="165"/>
      <c r="AO10" s="48"/>
      <c r="AP10" s="165"/>
      <c r="AQ10" s="165"/>
      <c r="AR10" s="298"/>
      <c r="AT10" s="349" t="s">
        <v>180</v>
      </c>
      <c r="AU10" s="48" t="s">
        <v>2223</v>
      </c>
      <c r="AV10" s="44">
        <v>4060814</v>
      </c>
      <c r="AW10" s="48">
        <v>0.3</v>
      </c>
      <c r="AX10" s="349">
        <v>8</v>
      </c>
      <c r="AY10" s="349">
        <v>10</v>
      </c>
      <c r="AZ10" s="349">
        <v>5.5</v>
      </c>
      <c r="BA10" s="349"/>
      <c r="BB10" s="349">
        <v>0</v>
      </c>
      <c r="BC10" s="349">
        <v>8760</v>
      </c>
      <c r="BD10" s="349" t="s">
        <v>161</v>
      </c>
      <c r="BF10" s="63" t="s">
        <v>714</v>
      </c>
      <c r="BG10" s="63" t="s">
        <v>2090</v>
      </c>
      <c r="BH10" s="63" t="s">
        <v>2091</v>
      </c>
      <c r="BI10" s="63">
        <v>1610</v>
      </c>
      <c r="BJ10" s="63"/>
      <c r="BK10" s="63" t="s">
        <v>755</v>
      </c>
      <c r="BL10" s="63" t="s">
        <v>2092</v>
      </c>
      <c r="BM10" s="63"/>
      <c r="BN10" s="63" t="s">
        <v>164</v>
      </c>
      <c r="BO10" s="63">
        <v>9</v>
      </c>
      <c r="BP10" s="63" t="s">
        <v>894</v>
      </c>
    </row>
    <row r="11" spans="1:68" ht="12.75" customHeight="1" x14ac:dyDescent="0.25">
      <c r="O11" s="226"/>
      <c r="P11" s="226"/>
      <c r="AC11" s="165"/>
      <c r="AD11" s="165"/>
      <c r="AE11" s="165"/>
      <c r="AF11" s="165"/>
      <c r="AG11" s="165"/>
      <c r="AH11" s="165"/>
      <c r="AI11" s="48"/>
      <c r="AJ11" s="75"/>
      <c r="AK11" s="343"/>
      <c r="AL11" s="343"/>
      <c r="AN11" s="165"/>
      <c r="AO11" s="48"/>
      <c r="AP11" s="165"/>
      <c r="AQ11" s="165"/>
      <c r="AR11" s="298"/>
      <c r="AT11" s="349" t="s">
        <v>166</v>
      </c>
      <c r="AU11" s="48" t="s">
        <v>2224</v>
      </c>
      <c r="AV11" s="44">
        <v>4060714</v>
      </c>
      <c r="AW11" s="48">
        <v>0.3</v>
      </c>
      <c r="AX11" s="349">
        <v>6</v>
      </c>
      <c r="AY11" s="349">
        <v>9</v>
      </c>
      <c r="AZ11" s="349">
        <v>5.5</v>
      </c>
      <c r="BA11" s="349"/>
      <c r="BB11" s="349">
        <v>0</v>
      </c>
      <c r="BC11" s="349">
        <v>8760</v>
      </c>
      <c r="BD11" s="349" t="s">
        <v>161</v>
      </c>
      <c r="BF11" s="63" t="s">
        <v>714</v>
      </c>
      <c r="BG11" s="63" t="s">
        <v>2093</v>
      </c>
      <c r="BH11" s="63" t="s">
        <v>2094</v>
      </c>
      <c r="BI11" s="63">
        <v>2140</v>
      </c>
      <c r="BJ11" s="63"/>
      <c r="BK11" s="63" t="s">
        <v>755</v>
      </c>
      <c r="BL11" s="63" t="s">
        <v>2095</v>
      </c>
      <c r="BM11" s="63"/>
      <c r="BN11" s="63" t="s">
        <v>164</v>
      </c>
      <c r="BO11" s="63">
        <v>10</v>
      </c>
      <c r="BP11" s="63" t="s">
        <v>2022</v>
      </c>
    </row>
    <row r="12" spans="1:68" ht="12.75" customHeight="1" x14ac:dyDescent="0.25">
      <c r="O12" s="226"/>
      <c r="P12" s="226"/>
      <c r="AC12" s="165"/>
      <c r="AD12" s="165"/>
      <c r="AE12" s="165"/>
      <c r="AF12" s="165"/>
      <c r="AG12" s="165"/>
      <c r="AH12" s="165"/>
      <c r="AI12" s="48"/>
      <c r="AJ12" s="75"/>
      <c r="AK12" s="343"/>
      <c r="AL12" s="343"/>
      <c r="AN12" s="165"/>
      <c r="AO12" s="48"/>
      <c r="AP12" s="165"/>
      <c r="AQ12" s="165"/>
      <c r="AR12" s="48"/>
      <c r="AT12" s="349" t="s">
        <v>165</v>
      </c>
      <c r="AU12" s="48" t="s">
        <v>2225</v>
      </c>
      <c r="AV12" s="44">
        <v>4060614</v>
      </c>
      <c r="AW12" s="48">
        <v>0.3</v>
      </c>
      <c r="AX12" s="349">
        <v>6</v>
      </c>
      <c r="AY12" s="349">
        <v>8</v>
      </c>
      <c r="AZ12" s="349">
        <v>3.5</v>
      </c>
      <c r="BA12" s="349"/>
      <c r="BB12" s="349">
        <v>0</v>
      </c>
      <c r="BC12" s="349">
        <v>8760</v>
      </c>
      <c r="BD12" s="349" t="s">
        <v>161</v>
      </c>
      <c r="BF12" s="63" t="s">
        <v>727</v>
      </c>
      <c r="BG12" s="63" t="s">
        <v>658</v>
      </c>
      <c r="BH12" s="63"/>
      <c r="BI12" s="63">
        <v>227</v>
      </c>
      <c r="BJ12" s="63"/>
      <c r="BK12" s="63" t="s">
        <v>762</v>
      </c>
      <c r="BL12" s="63" t="s">
        <v>763</v>
      </c>
      <c r="BM12" s="63"/>
      <c r="BN12" s="63" t="s">
        <v>164</v>
      </c>
      <c r="BO12" s="63">
        <v>11</v>
      </c>
      <c r="BP12" s="63" t="s">
        <v>893</v>
      </c>
    </row>
    <row r="13" spans="1:68" ht="12.75" customHeight="1" x14ac:dyDescent="0.25">
      <c r="O13" s="226"/>
      <c r="P13" s="226"/>
      <c r="AC13" s="165"/>
      <c r="AD13" s="165"/>
      <c r="AE13" s="165"/>
      <c r="AF13" s="165"/>
      <c r="AG13" s="165"/>
      <c r="AH13" s="165"/>
      <c r="AI13" s="48"/>
      <c r="AJ13" s="75"/>
      <c r="AK13" s="343"/>
      <c r="AL13" s="343"/>
      <c r="AN13" s="165"/>
      <c r="AO13" s="48"/>
      <c r="AP13" s="165"/>
      <c r="AQ13" s="165"/>
      <c r="AR13" s="298"/>
      <c r="AT13" s="349" t="s">
        <v>2213</v>
      </c>
      <c r="AU13" s="48" t="s">
        <v>2226</v>
      </c>
      <c r="AV13" s="44">
        <v>4060614</v>
      </c>
      <c r="AW13" s="48">
        <v>0.3</v>
      </c>
      <c r="AX13" s="349">
        <v>12</v>
      </c>
      <c r="AY13" s="349">
        <v>14</v>
      </c>
      <c r="AZ13" s="349">
        <v>7.5</v>
      </c>
      <c r="BA13" s="349"/>
      <c r="BB13" s="349">
        <v>0</v>
      </c>
      <c r="BC13" s="349">
        <v>8760</v>
      </c>
      <c r="BD13" s="349" t="s">
        <v>161</v>
      </c>
      <c r="BF13" s="63" t="s">
        <v>727</v>
      </c>
      <c r="BG13" s="63" t="s">
        <v>715</v>
      </c>
      <c r="BH13" s="63"/>
      <c r="BI13" s="63">
        <v>364</v>
      </c>
      <c r="BJ13" s="63"/>
      <c r="BK13" s="63" t="s">
        <v>762</v>
      </c>
      <c r="BL13" s="63" t="s">
        <v>764</v>
      </c>
      <c r="BM13" s="63"/>
      <c r="BN13" s="63" t="s">
        <v>164</v>
      </c>
      <c r="BO13" s="63">
        <v>12</v>
      </c>
      <c r="BP13" s="63" t="s">
        <v>893</v>
      </c>
    </row>
    <row r="14" spans="1:68" ht="12.75" customHeight="1" x14ac:dyDescent="0.25">
      <c r="O14" s="226"/>
      <c r="P14" s="226"/>
      <c r="AC14" s="165"/>
      <c r="AD14" s="165"/>
      <c r="AE14" s="165"/>
      <c r="AF14" s="165"/>
      <c r="AG14" s="165"/>
      <c r="AH14" s="165"/>
      <c r="AI14" s="48"/>
      <c r="AJ14" s="75"/>
      <c r="AK14" s="343"/>
      <c r="AL14" s="343"/>
      <c r="AN14" s="165"/>
      <c r="AO14" s="48"/>
      <c r="AP14" s="165"/>
      <c r="AQ14" s="165"/>
      <c r="AR14" s="298"/>
      <c r="AT14" s="349" t="s">
        <v>180</v>
      </c>
      <c r="AU14" s="48" t="s">
        <v>2227</v>
      </c>
      <c r="AV14" s="44">
        <v>4060815</v>
      </c>
      <c r="AW14" s="48">
        <v>0.3</v>
      </c>
      <c r="AX14" s="349">
        <v>8</v>
      </c>
      <c r="AY14" s="349">
        <v>10</v>
      </c>
      <c r="AZ14" s="349">
        <v>5.5</v>
      </c>
      <c r="BA14" s="349"/>
      <c r="BB14" s="349">
        <v>0</v>
      </c>
      <c r="BC14" s="349">
        <v>8760</v>
      </c>
      <c r="BD14" s="349" t="s">
        <v>161</v>
      </c>
      <c r="BF14" s="63" t="s">
        <v>727</v>
      </c>
      <c r="BG14" s="63" t="s">
        <v>2096</v>
      </c>
      <c r="BH14" s="63"/>
      <c r="BI14" s="63">
        <v>398</v>
      </c>
      <c r="BJ14" s="63"/>
      <c r="BK14" s="63" t="s">
        <v>762</v>
      </c>
      <c r="BL14" s="63" t="s">
        <v>2097</v>
      </c>
      <c r="BM14" s="63"/>
      <c r="BN14" s="63" t="s">
        <v>164</v>
      </c>
      <c r="BO14" s="63">
        <v>13</v>
      </c>
      <c r="BP14" s="63" t="s">
        <v>893</v>
      </c>
    </row>
    <row r="15" spans="1:68" ht="12.75" customHeight="1" x14ac:dyDescent="0.25">
      <c r="O15" s="226"/>
      <c r="P15" s="226"/>
      <c r="AC15" s="165"/>
      <c r="AD15" s="165"/>
      <c r="AE15" s="165"/>
      <c r="AF15" s="165"/>
      <c r="AG15" s="165"/>
      <c r="AH15" s="165"/>
      <c r="AI15" s="48"/>
      <c r="AJ15" s="75"/>
      <c r="AK15" s="343"/>
      <c r="AL15" s="343"/>
      <c r="AN15" s="165"/>
      <c r="AO15" s="48"/>
      <c r="AP15" s="165"/>
      <c r="AQ15" s="165"/>
      <c r="AR15" s="298"/>
      <c r="AT15" s="349" t="s">
        <v>166</v>
      </c>
      <c r="AU15" s="48" t="s">
        <v>2228</v>
      </c>
      <c r="AV15" s="44">
        <v>4060715</v>
      </c>
      <c r="AW15" s="48">
        <v>0.3</v>
      </c>
      <c r="AX15" s="349">
        <v>6</v>
      </c>
      <c r="AY15" s="349">
        <v>9</v>
      </c>
      <c r="AZ15" s="349">
        <v>5.5</v>
      </c>
      <c r="BA15" s="349"/>
      <c r="BB15" s="349">
        <v>0</v>
      </c>
      <c r="BC15" s="349">
        <v>8760</v>
      </c>
      <c r="BD15" s="349" t="s">
        <v>161</v>
      </c>
      <c r="BF15" s="63" t="s">
        <v>727</v>
      </c>
      <c r="BG15" s="63" t="s">
        <v>716</v>
      </c>
      <c r="BH15" s="63"/>
      <c r="BI15" s="63">
        <v>456</v>
      </c>
      <c r="BJ15" s="63"/>
      <c r="BK15" s="63" t="s">
        <v>762</v>
      </c>
      <c r="BL15" s="63" t="s">
        <v>760</v>
      </c>
      <c r="BM15" s="63"/>
      <c r="BN15" s="63" t="s">
        <v>164</v>
      </c>
      <c r="BO15" s="63">
        <v>14</v>
      </c>
      <c r="BP15" s="63" t="s">
        <v>894</v>
      </c>
    </row>
    <row r="16" spans="1:68" ht="12.75" customHeight="1" x14ac:dyDescent="0.25">
      <c r="O16" s="226"/>
      <c r="P16" s="226"/>
      <c r="AC16" s="165"/>
      <c r="AD16" s="165"/>
      <c r="AE16" s="165"/>
      <c r="AF16" s="165"/>
      <c r="AG16" s="165"/>
      <c r="AH16" s="165"/>
      <c r="AI16" s="48"/>
      <c r="AJ16" s="75"/>
      <c r="AK16" s="343"/>
      <c r="AL16" s="343"/>
      <c r="AN16" s="165"/>
      <c r="AO16" s="48"/>
      <c r="AP16" s="165"/>
      <c r="AQ16" s="165"/>
      <c r="AR16" s="48"/>
      <c r="AT16" s="349" t="s">
        <v>165</v>
      </c>
      <c r="AU16" s="48" t="s">
        <v>2229</v>
      </c>
      <c r="AV16" s="44">
        <v>4060615</v>
      </c>
      <c r="AW16" s="48">
        <v>0.3</v>
      </c>
      <c r="AX16" s="349">
        <v>6</v>
      </c>
      <c r="AY16" s="349">
        <v>8</v>
      </c>
      <c r="AZ16" s="349">
        <v>3.5</v>
      </c>
      <c r="BA16" s="349"/>
      <c r="BB16" s="349">
        <v>0</v>
      </c>
      <c r="BC16" s="349">
        <v>8760</v>
      </c>
      <c r="BD16" s="349" t="s">
        <v>161</v>
      </c>
      <c r="BF16" s="63" t="s">
        <v>727</v>
      </c>
      <c r="BG16" s="63" t="s">
        <v>2098</v>
      </c>
      <c r="BH16" s="63"/>
      <c r="BI16" s="63">
        <v>1080</v>
      </c>
      <c r="BJ16" s="63"/>
      <c r="BK16" s="63" t="s">
        <v>762</v>
      </c>
      <c r="BL16" s="63" t="s">
        <v>761</v>
      </c>
      <c r="BM16" s="63"/>
      <c r="BN16" s="63" t="s">
        <v>164</v>
      </c>
      <c r="BO16" s="63">
        <v>15</v>
      </c>
      <c r="BP16" s="63" t="s">
        <v>894</v>
      </c>
    </row>
    <row r="17" spans="1:68" ht="12.75" customHeight="1" x14ac:dyDescent="0.25">
      <c r="O17" s="226"/>
      <c r="P17" s="226"/>
      <c r="AC17" s="165"/>
      <c r="AD17" s="165"/>
      <c r="AE17" s="165"/>
      <c r="AF17" s="165"/>
      <c r="AG17" s="165"/>
      <c r="AH17" s="165"/>
      <c r="AI17" s="48"/>
      <c r="AJ17" s="75"/>
      <c r="AK17" s="343"/>
      <c r="AL17" s="343"/>
      <c r="AN17" s="165"/>
      <c r="AO17" s="48"/>
      <c r="AP17" s="165"/>
      <c r="AQ17" s="165"/>
      <c r="AR17" s="298"/>
      <c r="AT17" s="349" t="s">
        <v>2213</v>
      </c>
      <c r="AU17" s="48" t="s">
        <v>2230</v>
      </c>
      <c r="AV17" s="44">
        <v>4060615</v>
      </c>
      <c r="AW17" s="48">
        <v>0.3</v>
      </c>
      <c r="AX17" s="349">
        <v>12</v>
      </c>
      <c r="AY17" s="349">
        <v>14</v>
      </c>
      <c r="AZ17" s="349">
        <v>7.5</v>
      </c>
      <c r="BA17" s="349"/>
      <c r="BB17" s="349">
        <v>0</v>
      </c>
      <c r="BC17" s="349">
        <v>8760</v>
      </c>
      <c r="BD17" s="349" t="s">
        <v>161</v>
      </c>
      <c r="BF17" s="63"/>
      <c r="BG17" s="63" t="s">
        <v>1402</v>
      </c>
      <c r="BH17" s="63"/>
      <c r="BI17" s="63" t="s">
        <v>845</v>
      </c>
      <c r="BJ17" s="63"/>
      <c r="BK17" s="63"/>
      <c r="BL17" s="63"/>
      <c r="BM17" s="63"/>
      <c r="BN17" s="63"/>
      <c r="BO17" s="63">
        <v>16</v>
      </c>
      <c r="BP17" s="63"/>
    </row>
    <row r="18" spans="1:68" ht="12.75" customHeight="1" x14ac:dyDescent="0.25">
      <c r="O18" s="226"/>
      <c r="P18" s="226"/>
      <c r="AC18" s="165"/>
      <c r="AD18" s="165"/>
      <c r="AE18" s="165"/>
      <c r="AF18" s="165"/>
      <c r="AG18" s="165"/>
      <c r="AH18" s="165"/>
      <c r="AI18" s="48"/>
      <c r="AJ18" s="75"/>
      <c r="AK18" s="343"/>
      <c r="AL18" s="343"/>
      <c r="AN18" s="222"/>
      <c r="AO18" s="48"/>
      <c r="AP18" s="165"/>
      <c r="AQ18" s="165"/>
      <c r="AR18" s="298"/>
      <c r="AT18" s="349" t="s">
        <v>180</v>
      </c>
      <c r="AU18" s="48" t="s">
        <v>2231</v>
      </c>
      <c r="AV18" s="44">
        <v>4060811</v>
      </c>
      <c r="AW18" s="48">
        <v>0.35</v>
      </c>
      <c r="AX18" s="349">
        <v>8</v>
      </c>
      <c r="AY18" s="349">
        <v>10</v>
      </c>
      <c r="AZ18" s="349">
        <v>5.5</v>
      </c>
      <c r="BA18" s="349"/>
      <c r="BB18" s="349">
        <v>0</v>
      </c>
      <c r="BC18" s="349">
        <v>8760</v>
      </c>
      <c r="BD18" s="349" t="s">
        <v>161</v>
      </c>
      <c r="BF18" s="63" t="s">
        <v>660</v>
      </c>
      <c r="BG18" s="63" t="s">
        <v>718</v>
      </c>
      <c r="BH18" s="63" t="s">
        <v>877</v>
      </c>
      <c r="BI18" s="63">
        <v>46</v>
      </c>
      <c r="BJ18" s="63"/>
      <c r="BK18" s="63" t="s">
        <v>765</v>
      </c>
      <c r="BL18" s="63" t="s">
        <v>766</v>
      </c>
      <c r="BM18" s="63"/>
      <c r="BN18" s="63" t="s">
        <v>164</v>
      </c>
      <c r="BO18" s="63">
        <v>17</v>
      </c>
      <c r="BP18" s="63" t="s">
        <v>893</v>
      </c>
    </row>
    <row r="19" spans="1:68" ht="12.75" customHeight="1" x14ac:dyDescent="0.25">
      <c r="O19" s="226"/>
      <c r="P19" s="226"/>
      <c r="AC19" s="222"/>
      <c r="AD19" s="165"/>
      <c r="AE19" s="165"/>
      <c r="AF19" s="165"/>
      <c r="AG19" s="165"/>
      <c r="AH19" s="165"/>
      <c r="AI19" s="48"/>
      <c r="AJ19" s="75"/>
      <c r="AK19" s="343"/>
      <c r="AL19" s="343"/>
      <c r="AN19" s="222"/>
      <c r="AO19" s="48"/>
      <c r="AP19" s="165"/>
      <c r="AQ19" s="165"/>
      <c r="AR19" s="298"/>
      <c r="AT19" s="349" t="s">
        <v>166</v>
      </c>
      <c r="AU19" s="48" t="s">
        <v>2232</v>
      </c>
      <c r="AV19" s="44">
        <v>4060711</v>
      </c>
      <c r="AW19" s="48">
        <v>0.35</v>
      </c>
      <c r="AX19" s="349">
        <v>6</v>
      </c>
      <c r="AY19" s="349">
        <v>9</v>
      </c>
      <c r="AZ19" s="349">
        <v>5.5</v>
      </c>
      <c r="BA19" s="349"/>
      <c r="BB19" s="349">
        <v>0</v>
      </c>
      <c r="BC19" s="349">
        <v>8760</v>
      </c>
      <c r="BD19" s="349" t="s">
        <v>161</v>
      </c>
      <c r="BF19" s="63" t="s">
        <v>660</v>
      </c>
      <c r="BG19" s="63" t="s">
        <v>719</v>
      </c>
      <c r="BH19" s="63" t="s">
        <v>878</v>
      </c>
      <c r="BI19" s="63">
        <v>66</v>
      </c>
      <c r="BJ19" s="63"/>
      <c r="BK19" s="63" t="s">
        <v>765</v>
      </c>
      <c r="BL19" s="63" t="s">
        <v>767</v>
      </c>
      <c r="BM19" s="63"/>
      <c r="BN19" s="63" t="s">
        <v>164</v>
      </c>
      <c r="BO19" s="63">
        <v>18</v>
      </c>
      <c r="BP19" s="63" t="s">
        <v>893</v>
      </c>
    </row>
    <row r="20" spans="1:68" ht="12.75" customHeight="1" x14ac:dyDescent="0.25">
      <c r="A20" s="350"/>
      <c r="B20" s="351"/>
      <c r="C20" s="350"/>
      <c r="D20" s="350"/>
      <c r="E20" s="350"/>
      <c r="F20" s="350"/>
      <c r="G20" s="350"/>
      <c r="H20" s="350"/>
      <c r="I20" s="350"/>
      <c r="J20" s="350"/>
      <c r="K20" s="351"/>
      <c r="L20" s="352"/>
      <c r="M20" s="353"/>
      <c r="N20" s="350"/>
      <c r="O20" s="354"/>
      <c r="P20" s="354"/>
      <c r="Q20" s="352"/>
      <c r="R20" s="350"/>
      <c r="S20" s="350"/>
      <c r="T20" s="350"/>
      <c r="U20" s="350"/>
      <c r="V20" s="350"/>
      <c r="W20" s="350"/>
      <c r="X20" s="350"/>
      <c r="Y20" s="350"/>
      <c r="Z20" s="350"/>
      <c r="AA20" s="350"/>
      <c r="AB20" s="350"/>
      <c r="AC20" s="355"/>
      <c r="AD20" s="355"/>
      <c r="AE20" s="355"/>
      <c r="AF20" s="355"/>
      <c r="AG20" s="355"/>
      <c r="AH20" s="356"/>
      <c r="AI20" s="357"/>
      <c r="AJ20" s="358"/>
      <c r="AK20" s="358"/>
      <c r="AL20" s="358"/>
      <c r="AT20" s="349" t="s">
        <v>165</v>
      </c>
      <c r="AU20" s="48" t="s">
        <v>2233</v>
      </c>
      <c r="AV20" s="44">
        <v>4060611</v>
      </c>
      <c r="AW20" s="48">
        <v>0.35</v>
      </c>
      <c r="AX20" s="349">
        <v>6</v>
      </c>
      <c r="AY20" s="349">
        <v>8</v>
      </c>
      <c r="AZ20" s="349">
        <v>3.5</v>
      </c>
      <c r="BA20" s="349"/>
      <c r="BB20" s="349">
        <v>0</v>
      </c>
      <c r="BC20" s="349">
        <v>8760</v>
      </c>
      <c r="BD20" s="349" t="s">
        <v>161</v>
      </c>
      <c r="BF20" s="63" t="s">
        <v>660</v>
      </c>
      <c r="BG20" s="63" t="s">
        <v>720</v>
      </c>
      <c r="BH20" s="63" t="s">
        <v>879</v>
      </c>
      <c r="BI20" s="63">
        <v>95</v>
      </c>
      <c r="BJ20" s="63"/>
      <c r="BK20" s="63" t="s">
        <v>765</v>
      </c>
      <c r="BL20" s="63" t="s">
        <v>768</v>
      </c>
      <c r="BM20" s="63"/>
      <c r="BN20" s="63" t="s">
        <v>164</v>
      </c>
      <c r="BO20" s="63">
        <v>19</v>
      </c>
      <c r="BP20" s="63" t="s">
        <v>893</v>
      </c>
    </row>
    <row r="21" spans="1:68" ht="12.75" customHeight="1" x14ac:dyDescent="0.25">
      <c r="A21" s="350"/>
      <c r="B21" s="351"/>
      <c r="C21" s="350"/>
      <c r="D21" s="350"/>
      <c r="E21" s="350"/>
      <c r="F21" s="350"/>
      <c r="G21" s="350"/>
      <c r="H21" s="350"/>
      <c r="I21" s="350"/>
      <c r="J21" s="350"/>
      <c r="K21" s="351"/>
      <c r="L21" s="352"/>
      <c r="M21" s="353"/>
      <c r="N21" s="350"/>
      <c r="O21" s="354"/>
      <c r="P21" s="354"/>
      <c r="Q21" s="352"/>
      <c r="R21" s="350"/>
      <c r="S21" s="350"/>
      <c r="T21" s="350"/>
      <c r="U21" s="350"/>
      <c r="V21" s="350"/>
      <c r="W21" s="350"/>
      <c r="X21" s="350"/>
      <c r="Y21" s="350"/>
      <c r="Z21" s="350"/>
      <c r="AA21" s="350"/>
      <c r="AB21" s="350"/>
      <c r="AC21" s="355"/>
      <c r="AD21" s="355"/>
      <c r="AE21" s="355"/>
      <c r="AF21" s="355"/>
      <c r="AG21" s="355"/>
      <c r="AH21" s="355"/>
      <c r="AI21" s="357"/>
      <c r="AJ21" s="358"/>
      <c r="AK21" s="358"/>
      <c r="AL21" s="358"/>
      <c r="AT21" s="349" t="s">
        <v>2213</v>
      </c>
      <c r="AU21" s="48" t="s">
        <v>2234</v>
      </c>
      <c r="AV21" s="44">
        <v>4060611</v>
      </c>
      <c r="AW21" s="48">
        <v>0.35</v>
      </c>
      <c r="AX21" s="349">
        <v>12</v>
      </c>
      <c r="AY21" s="349">
        <v>14</v>
      </c>
      <c r="AZ21" s="349">
        <v>7.5</v>
      </c>
      <c r="BA21" s="349"/>
      <c r="BB21" s="349">
        <v>0</v>
      </c>
      <c r="BC21" s="349">
        <v>8760</v>
      </c>
      <c r="BD21" s="349" t="s">
        <v>161</v>
      </c>
      <c r="BF21" s="63" t="s">
        <v>660</v>
      </c>
      <c r="BG21" s="63" t="s">
        <v>721</v>
      </c>
      <c r="BH21" s="63" t="s">
        <v>880</v>
      </c>
      <c r="BI21" s="63">
        <v>138</v>
      </c>
      <c r="BJ21" s="63"/>
      <c r="BK21" s="63" t="s">
        <v>765</v>
      </c>
      <c r="BL21" s="63" t="s">
        <v>757</v>
      </c>
      <c r="BM21" s="63"/>
      <c r="BN21" s="63" t="s">
        <v>164</v>
      </c>
      <c r="BO21" s="63">
        <v>20</v>
      </c>
      <c r="BP21" s="63" t="s">
        <v>893</v>
      </c>
    </row>
    <row r="22" spans="1:68" ht="12.75" customHeight="1" x14ac:dyDescent="0.25">
      <c r="A22" s="350"/>
      <c r="B22" s="351"/>
      <c r="C22" s="350"/>
      <c r="D22" s="350"/>
      <c r="E22" s="350"/>
      <c r="F22" s="350"/>
      <c r="G22" s="350"/>
      <c r="H22" s="350"/>
      <c r="I22" s="350"/>
      <c r="J22" s="350"/>
      <c r="K22" s="351"/>
      <c r="L22" s="352"/>
      <c r="M22" s="353"/>
      <c r="N22" s="350"/>
      <c r="O22" s="354"/>
      <c r="P22" s="354"/>
      <c r="Q22" s="352"/>
      <c r="R22" s="350"/>
      <c r="S22" s="350"/>
      <c r="T22" s="350"/>
      <c r="U22" s="350"/>
      <c r="V22" s="350"/>
      <c r="W22" s="350"/>
      <c r="X22" s="350"/>
      <c r="Y22" s="350"/>
      <c r="Z22" s="350"/>
      <c r="AA22" s="350"/>
      <c r="AB22" s="350"/>
      <c r="AC22" s="355"/>
      <c r="AD22" s="355"/>
      <c r="AE22" s="355"/>
      <c r="AF22" s="355"/>
      <c r="AG22" s="355"/>
      <c r="AH22" s="355"/>
      <c r="AI22" s="357"/>
      <c r="AJ22" s="358"/>
      <c r="AK22" s="358"/>
      <c r="AL22" s="358"/>
      <c r="AN22" s="31" t="s">
        <v>1409</v>
      </c>
      <c r="AT22" s="349" t="s">
        <v>180</v>
      </c>
      <c r="AU22" s="48" t="s">
        <v>2235</v>
      </c>
      <c r="AV22" s="44">
        <v>4060810</v>
      </c>
      <c r="AW22" s="48">
        <v>0.4</v>
      </c>
      <c r="AX22" s="349">
        <v>8</v>
      </c>
      <c r="AY22" s="349">
        <v>10</v>
      </c>
      <c r="AZ22" s="349">
        <v>5.5</v>
      </c>
      <c r="BA22" s="349"/>
      <c r="BB22" s="349">
        <v>0</v>
      </c>
      <c r="BC22" s="349">
        <v>8760</v>
      </c>
      <c r="BD22" s="349" t="s">
        <v>161</v>
      </c>
      <c r="BF22" s="63" t="s">
        <v>660</v>
      </c>
      <c r="BG22" s="63" t="s">
        <v>722</v>
      </c>
      <c r="BH22" s="63" t="s">
        <v>881</v>
      </c>
      <c r="BI22" s="63">
        <v>188</v>
      </c>
      <c r="BJ22" s="63"/>
      <c r="BK22" s="63" t="s">
        <v>765</v>
      </c>
      <c r="BL22" s="63" t="s">
        <v>769</v>
      </c>
      <c r="BM22" s="63"/>
      <c r="BN22" s="63" t="s">
        <v>164</v>
      </c>
      <c r="BO22" s="63">
        <v>21</v>
      </c>
      <c r="BP22" s="63" t="s">
        <v>893</v>
      </c>
    </row>
    <row r="23" spans="1:68" ht="12.75" customHeight="1" x14ac:dyDescent="0.25">
      <c r="A23" s="350"/>
      <c r="B23" s="351"/>
      <c r="C23" s="350"/>
      <c r="D23" s="350"/>
      <c r="E23" s="350"/>
      <c r="F23" s="350"/>
      <c r="G23" s="350"/>
      <c r="H23" s="350"/>
      <c r="I23" s="350"/>
      <c r="J23" s="350"/>
      <c r="K23" s="351"/>
      <c r="L23" s="352"/>
      <c r="M23" s="353"/>
      <c r="N23" s="350"/>
      <c r="O23" s="354"/>
      <c r="P23" s="354"/>
      <c r="Q23" s="352"/>
      <c r="R23" s="350"/>
      <c r="S23" s="350"/>
      <c r="T23" s="350"/>
      <c r="U23" s="350"/>
      <c r="V23" s="350"/>
      <c r="W23" s="350"/>
      <c r="X23" s="350"/>
      <c r="Y23" s="350"/>
      <c r="Z23" s="350"/>
      <c r="AA23" s="350"/>
      <c r="AB23" s="350"/>
      <c r="AC23" s="355"/>
      <c r="AD23" s="355"/>
      <c r="AE23" s="355"/>
      <c r="AF23" s="355"/>
      <c r="AG23" s="355"/>
      <c r="AH23" s="355"/>
      <c r="AI23" s="357"/>
      <c r="AJ23" s="358"/>
      <c r="AK23" s="358"/>
      <c r="AL23" s="358"/>
      <c r="AN23" s="370" t="s">
        <v>1278</v>
      </c>
      <c r="AO23" s="366" t="str">
        <f>""</f>
        <v/>
      </c>
      <c r="AP23" s="366">
        <v>0</v>
      </c>
      <c r="AQ23" s="366">
        <v>41</v>
      </c>
      <c r="AR23" s="368"/>
      <c r="AT23" s="349" t="s">
        <v>166</v>
      </c>
      <c r="AU23" s="48" t="s">
        <v>2236</v>
      </c>
      <c r="AV23" s="44">
        <v>4060710</v>
      </c>
      <c r="AW23" s="48">
        <v>0.4</v>
      </c>
      <c r="AX23" s="349">
        <v>6</v>
      </c>
      <c r="AY23" s="349">
        <v>9</v>
      </c>
      <c r="AZ23" s="349">
        <v>5.5</v>
      </c>
      <c r="BA23" s="349"/>
      <c r="BB23" s="349">
        <v>0</v>
      </c>
      <c r="BC23" s="349">
        <v>8760</v>
      </c>
      <c r="BD23" s="349" t="s">
        <v>161</v>
      </c>
      <c r="BF23" s="63" t="s">
        <v>660</v>
      </c>
      <c r="BG23" s="63" t="s">
        <v>723</v>
      </c>
      <c r="BH23" s="63" t="s">
        <v>882</v>
      </c>
      <c r="BI23" s="63">
        <v>250</v>
      </c>
      <c r="BJ23" s="63"/>
      <c r="BK23" s="63" t="s">
        <v>765</v>
      </c>
      <c r="BL23" s="63" t="s">
        <v>763</v>
      </c>
      <c r="BM23" s="63"/>
      <c r="BN23" s="63" t="s">
        <v>164</v>
      </c>
      <c r="BO23" s="63">
        <v>22</v>
      </c>
      <c r="BP23" s="63" t="s">
        <v>893</v>
      </c>
    </row>
    <row r="24" spans="1:68" ht="12.75" customHeight="1" x14ac:dyDescent="0.25">
      <c r="A24" s="350"/>
      <c r="B24" s="351"/>
      <c r="C24" s="350"/>
      <c r="D24" s="350"/>
      <c r="E24" s="350"/>
      <c r="F24" s="350"/>
      <c r="G24" s="350"/>
      <c r="H24" s="350"/>
      <c r="I24" s="350"/>
      <c r="J24" s="350"/>
      <c r="K24" s="351"/>
      <c r="L24" s="352"/>
      <c r="M24" s="353"/>
      <c r="N24" s="350"/>
      <c r="O24" s="354"/>
      <c r="P24" s="354"/>
      <c r="Q24" s="352"/>
      <c r="R24" s="350"/>
      <c r="S24" s="350"/>
      <c r="T24" s="350"/>
      <c r="U24" s="350"/>
      <c r="V24" s="350"/>
      <c r="W24" s="350"/>
      <c r="X24" s="350"/>
      <c r="Y24" s="350"/>
      <c r="Z24" s="350"/>
      <c r="AA24" s="350"/>
      <c r="AB24" s="350"/>
      <c r="AC24" s="355"/>
      <c r="AD24" s="355"/>
      <c r="AE24" s="355"/>
      <c r="AF24" s="355"/>
      <c r="AG24" s="355"/>
      <c r="AH24" s="355"/>
      <c r="AI24" s="357"/>
      <c r="AJ24" s="358"/>
      <c r="AK24" s="358"/>
      <c r="AL24" s="358"/>
      <c r="AN24" s="371" t="s">
        <v>1277</v>
      </c>
      <c r="AO24" s="367">
        <v>25</v>
      </c>
      <c r="AP24" s="367">
        <v>24</v>
      </c>
      <c r="AQ24" s="367">
        <v>26</v>
      </c>
      <c r="AR24" s="369"/>
      <c r="AT24" s="349" t="s">
        <v>165</v>
      </c>
      <c r="AU24" s="48" t="s">
        <v>2237</v>
      </c>
      <c r="AV24" s="44">
        <v>4060610</v>
      </c>
      <c r="AW24" s="48">
        <v>0.4</v>
      </c>
      <c r="AX24" s="349">
        <v>6</v>
      </c>
      <c r="AY24" s="349">
        <v>8</v>
      </c>
      <c r="AZ24" s="349">
        <v>3.5</v>
      </c>
      <c r="BA24" s="349"/>
      <c r="BB24" s="349">
        <v>0</v>
      </c>
      <c r="BC24" s="349">
        <v>8760</v>
      </c>
      <c r="BD24" s="349" t="s">
        <v>161</v>
      </c>
      <c r="BF24" s="63" t="s">
        <v>660</v>
      </c>
      <c r="BG24" s="63" t="s">
        <v>724</v>
      </c>
      <c r="BH24" s="63" t="s">
        <v>883</v>
      </c>
      <c r="BI24" s="63">
        <v>295</v>
      </c>
      <c r="BJ24" s="63"/>
      <c r="BK24" s="63" t="s">
        <v>765</v>
      </c>
      <c r="BL24" s="63" t="s">
        <v>759</v>
      </c>
      <c r="BM24" s="63"/>
      <c r="BN24" s="63" t="s">
        <v>164</v>
      </c>
      <c r="BO24" s="63">
        <v>23</v>
      </c>
      <c r="BP24" s="63" t="s">
        <v>893</v>
      </c>
    </row>
    <row r="25" spans="1:68" ht="12.75" customHeight="1" x14ac:dyDescent="0.25">
      <c r="A25" s="350"/>
      <c r="B25" s="351"/>
      <c r="C25" s="350"/>
      <c r="D25" s="350"/>
      <c r="E25" s="350"/>
      <c r="F25" s="350"/>
      <c r="G25" s="350"/>
      <c r="H25" s="350"/>
      <c r="I25" s="350"/>
      <c r="J25" s="350"/>
      <c r="K25" s="351"/>
      <c r="L25" s="352"/>
      <c r="M25" s="353"/>
      <c r="N25" s="350"/>
      <c r="O25" s="354"/>
      <c r="P25" s="354"/>
      <c r="Q25" s="352"/>
      <c r="R25" s="350"/>
      <c r="S25" s="350"/>
      <c r="T25" s="350"/>
      <c r="U25" s="350"/>
      <c r="V25" s="350"/>
      <c r="W25" s="350"/>
      <c r="X25" s="350"/>
      <c r="Y25" s="350"/>
      <c r="Z25" s="350"/>
      <c r="AA25" s="350"/>
      <c r="AB25" s="350"/>
      <c r="AC25" s="355"/>
      <c r="AD25" s="355"/>
      <c r="AE25" s="355"/>
      <c r="AF25" s="355"/>
      <c r="AG25" s="355"/>
      <c r="AH25" s="355"/>
      <c r="AI25" s="357"/>
      <c r="AJ25" s="358"/>
      <c r="AK25" s="358"/>
      <c r="AL25" s="358"/>
      <c r="AN25" s="370" t="s">
        <v>1276</v>
      </c>
      <c r="AO25" s="366">
        <v>28</v>
      </c>
      <c r="AP25" s="366">
        <v>27</v>
      </c>
      <c r="AQ25" s="366">
        <v>29</v>
      </c>
      <c r="AR25" s="368"/>
      <c r="AT25" s="349" t="s">
        <v>2213</v>
      </c>
      <c r="AU25" s="48" t="s">
        <v>2238</v>
      </c>
      <c r="AV25" s="44">
        <v>4060610</v>
      </c>
      <c r="AW25" s="48">
        <v>0.4</v>
      </c>
      <c r="AX25" s="349">
        <v>12</v>
      </c>
      <c r="AY25" s="349">
        <v>14</v>
      </c>
      <c r="AZ25" s="349">
        <v>7.5</v>
      </c>
      <c r="BA25" s="349"/>
      <c r="BB25" s="349">
        <v>0</v>
      </c>
      <c r="BC25" s="349">
        <v>8760</v>
      </c>
      <c r="BD25" s="349" t="s">
        <v>161</v>
      </c>
      <c r="BF25" s="63" t="s">
        <v>660</v>
      </c>
      <c r="BG25" s="63" t="s">
        <v>725</v>
      </c>
      <c r="BH25" s="63" t="s">
        <v>884</v>
      </c>
      <c r="BI25" s="63">
        <v>465</v>
      </c>
      <c r="BJ25" s="63"/>
      <c r="BK25" s="63" t="s">
        <v>765</v>
      </c>
      <c r="BL25" s="63" t="s">
        <v>760</v>
      </c>
      <c r="BM25" s="63"/>
      <c r="BN25" s="63" t="s">
        <v>164</v>
      </c>
      <c r="BO25" s="63">
        <v>24</v>
      </c>
      <c r="BP25" s="63" t="s">
        <v>893</v>
      </c>
    </row>
    <row r="26" spans="1:68" ht="12.75" customHeight="1" x14ac:dyDescent="0.25">
      <c r="A26" s="350"/>
      <c r="B26" s="351"/>
      <c r="C26" s="350"/>
      <c r="D26" s="350"/>
      <c r="E26" s="350"/>
      <c r="F26" s="350"/>
      <c r="G26" s="350"/>
      <c r="H26" s="350"/>
      <c r="I26" s="350"/>
      <c r="J26" s="350"/>
      <c r="K26" s="351"/>
      <c r="L26" s="352"/>
      <c r="M26" s="353"/>
      <c r="N26" s="350"/>
      <c r="O26" s="354"/>
      <c r="P26" s="354"/>
      <c r="Q26" s="352"/>
      <c r="R26" s="350"/>
      <c r="S26" s="350"/>
      <c r="T26" s="350"/>
      <c r="U26" s="350"/>
      <c r="V26" s="350"/>
      <c r="W26" s="350"/>
      <c r="X26" s="350"/>
      <c r="Y26" s="350"/>
      <c r="Z26" s="350"/>
      <c r="AA26" s="350"/>
      <c r="AB26" s="350"/>
      <c r="AC26" s="355"/>
      <c r="AD26" s="355"/>
      <c r="AE26" s="355"/>
      <c r="AF26" s="355"/>
      <c r="AG26" s="355"/>
      <c r="AH26" s="355"/>
      <c r="AI26" s="357"/>
      <c r="AJ26" s="358"/>
      <c r="AK26" s="358"/>
      <c r="AL26" s="358"/>
      <c r="AN26" s="371" t="s">
        <v>1275</v>
      </c>
      <c r="AO26" s="367">
        <v>32</v>
      </c>
      <c r="AP26" s="367">
        <v>31</v>
      </c>
      <c r="AQ26" s="367">
        <v>33</v>
      </c>
      <c r="AR26" s="369"/>
      <c r="AT26" s="349" t="s">
        <v>180</v>
      </c>
      <c r="AU26" s="48" t="s">
        <v>2239</v>
      </c>
      <c r="AV26" s="44">
        <v>4060817</v>
      </c>
      <c r="AW26" s="48">
        <v>0.45</v>
      </c>
      <c r="AX26" s="349">
        <v>8</v>
      </c>
      <c r="AY26" s="349">
        <v>10</v>
      </c>
      <c r="AZ26" s="349">
        <v>5.5</v>
      </c>
      <c r="BA26" s="349"/>
      <c r="BB26" s="349">
        <v>0</v>
      </c>
      <c r="BC26" s="349">
        <v>8760</v>
      </c>
      <c r="BD26" s="349" t="s">
        <v>161</v>
      </c>
      <c r="BF26" s="63" t="s">
        <v>660</v>
      </c>
      <c r="BG26" s="63" t="s">
        <v>726</v>
      </c>
      <c r="BH26" s="63" t="s">
        <v>885</v>
      </c>
      <c r="BI26" s="63">
        <v>1100</v>
      </c>
      <c r="BJ26" s="63"/>
      <c r="BK26" s="63" t="s">
        <v>765</v>
      </c>
      <c r="BL26" s="63" t="s">
        <v>761</v>
      </c>
      <c r="BM26" s="63"/>
      <c r="BN26" s="63" t="s">
        <v>164</v>
      </c>
      <c r="BO26" s="63">
        <v>25</v>
      </c>
      <c r="BP26" s="63" t="s">
        <v>893</v>
      </c>
    </row>
    <row r="27" spans="1:68" ht="12.75" customHeight="1" x14ac:dyDescent="0.25">
      <c r="A27" s="350"/>
      <c r="B27" s="351"/>
      <c r="C27" s="350"/>
      <c r="D27" s="350"/>
      <c r="E27" s="350"/>
      <c r="F27" s="350"/>
      <c r="G27" s="350"/>
      <c r="H27" s="350"/>
      <c r="I27" s="350"/>
      <c r="J27" s="350"/>
      <c r="K27" s="351"/>
      <c r="L27" s="352"/>
      <c r="M27" s="353"/>
      <c r="N27" s="350"/>
      <c r="O27" s="354"/>
      <c r="P27" s="354"/>
      <c r="Q27" s="352"/>
      <c r="R27" s="350"/>
      <c r="S27" s="350"/>
      <c r="T27" s="350"/>
      <c r="U27" s="350"/>
      <c r="V27" s="350"/>
      <c r="W27" s="350"/>
      <c r="X27" s="350"/>
      <c r="Y27" s="350"/>
      <c r="Z27" s="350"/>
      <c r="AA27" s="350"/>
      <c r="AB27" s="350"/>
      <c r="AC27" s="355"/>
      <c r="AD27" s="355"/>
      <c r="AE27" s="355"/>
      <c r="AF27" s="355"/>
      <c r="AG27" s="355"/>
      <c r="AH27" s="355"/>
      <c r="AI27" s="357"/>
      <c r="AJ27" s="358"/>
      <c r="AK27" s="358"/>
      <c r="AL27" s="358"/>
      <c r="AT27" s="349" t="s">
        <v>166</v>
      </c>
      <c r="AU27" s="48" t="s">
        <v>2240</v>
      </c>
      <c r="AV27" s="44">
        <v>4060717</v>
      </c>
      <c r="AW27" s="48">
        <v>0.45</v>
      </c>
      <c r="AX27" s="349">
        <v>6</v>
      </c>
      <c r="AY27" s="349">
        <v>9</v>
      </c>
      <c r="AZ27" s="349">
        <v>5.5</v>
      </c>
      <c r="BA27" s="349"/>
      <c r="BB27" s="349">
        <v>0</v>
      </c>
      <c r="BC27" s="349">
        <v>8760</v>
      </c>
      <c r="BD27" s="349" t="s">
        <v>161</v>
      </c>
      <c r="BF27" s="63"/>
      <c r="BG27" s="63" t="s">
        <v>1402</v>
      </c>
      <c r="BH27" s="63"/>
      <c r="BI27" s="63" t="s">
        <v>845</v>
      </c>
      <c r="BJ27" s="63"/>
      <c r="BK27" s="63"/>
      <c r="BL27" s="63"/>
      <c r="BM27" s="63"/>
      <c r="BN27" s="63" t="s">
        <v>164</v>
      </c>
      <c r="BO27" s="63">
        <v>26</v>
      </c>
      <c r="BP27" s="63"/>
    </row>
    <row r="28" spans="1:68" ht="12.75" customHeight="1" x14ac:dyDescent="0.25">
      <c r="O28" s="226"/>
      <c r="P28" s="226"/>
      <c r="AT28" s="349" t="s">
        <v>165</v>
      </c>
      <c r="AU28" s="48" t="s">
        <v>2241</v>
      </c>
      <c r="AV28" s="44">
        <v>4060617</v>
      </c>
      <c r="AW28" s="48">
        <v>0.45</v>
      </c>
      <c r="AX28" s="349">
        <v>6</v>
      </c>
      <c r="AY28" s="349">
        <v>8</v>
      </c>
      <c r="AZ28" s="349">
        <v>3.5</v>
      </c>
      <c r="BA28" s="349"/>
      <c r="BB28" s="349">
        <v>0</v>
      </c>
      <c r="BC28" s="349">
        <v>8760</v>
      </c>
      <c r="BD28" s="349" t="s">
        <v>161</v>
      </c>
      <c r="BF28" s="63" t="s">
        <v>717</v>
      </c>
      <c r="BG28" s="63" t="s">
        <v>728</v>
      </c>
      <c r="BH28" s="63" t="s">
        <v>870</v>
      </c>
      <c r="BI28" s="63">
        <v>50</v>
      </c>
      <c r="BJ28" s="63"/>
      <c r="BK28" s="63" t="s">
        <v>770</v>
      </c>
      <c r="BL28" s="63" t="s">
        <v>771</v>
      </c>
      <c r="BM28" s="63"/>
      <c r="BN28" s="63" t="s">
        <v>164</v>
      </c>
      <c r="BO28" s="63">
        <v>27</v>
      </c>
      <c r="BP28" s="63" t="s">
        <v>893</v>
      </c>
    </row>
    <row r="29" spans="1:68" ht="12.75" customHeight="1" x14ac:dyDescent="0.25">
      <c r="O29" s="226"/>
      <c r="P29" s="226"/>
      <c r="AT29" s="349" t="s">
        <v>2213</v>
      </c>
      <c r="AU29" s="48" t="s">
        <v>2242</v>
      </c>
      <c r="AV29" s="44">
        <v>4060617</v>
      </c>
      <c r="AW29" s="48">
        <v>0.45</v>
      </c>
      <c r="AX29" s="349">
        <v>12</v>
      </c>
      <c r="AY29" s="349">
        <v>14</v>
      </c>
      <c r="AZ29" s="349">
        <v>7.5</v>
      </c>
      <c r="BA29" s="349"/>
      <c r="BB29" s="349">
        <v>0</v>
      </c>
      <c r="BC29" s="349">
        <v>8760</v>
      </c>
      <c r="BD29" s="349" t="s">
        <v>161</v>
      </c>
      <c r="BF29" s="63" t="s">
        <v>717</v>
      </c>
      <c r="BG29" s="63" t="s">
        <v>729</v>
      </c>
      <c r="BH29" s="63" t="s">
        <v>871</v>
      </c>
      <c r="BI29" s="63">
        <v>74</v>
      </c>
      <c r="BJ29" s="63"/>
      <c r="BK29" s="63" t="s">
        <v>770</v>
      </c>
      <c r="BL29" s="63" t="s">
        <v>767</v>
      </c>
      <c r="BM29" s="63"/>
      <c r="BN29" s="63" t="s">
        <v>164</v>
      </c>
      <c r="BO29" s="63">
        <v>28</v>
      </c>
      <c r="BP29" s="63" t="s">
        <v>893</v>
      </c>
    </row>
    <row r="30" spans="1:68" ht="12.75" customHeight="1" x14ac:dyDescent="0.25">
      <c r="O30" s="226"/>
      <c r="P30" s="226"/>
      <c r="AT30" s="349" t="s">
        <v>180</v>
      </c>
      <c r="AU30" s="48" t="s">
        <v>2243</v>
      </c>
      <c r="AV30" s="44">
        <v>4060816</v>
      </c>
      <c r="AW30" s="48">
        <v>0.5</v>
      </c>
      <c r="AX30" s="349">
        <v>8</v>
      </c>
      <c r="AY30" s="349">
        <v>10</v>
      </c>
      <c r="AZ30" s="349">
        <v>5.5</v>
      </c>
      <c r="BA30" s="349"/>
      <c r="BB30" s="349">
        <v>0</v>
      </c>
      <c r="BC30" s="349">
        <v>8760</v>
      </c>
      <c r="BD30" s="349" t="s">
        <v>161</v>
      </c>
      <c r="BF30" s="63" t="s">
        <v>717</v>
      </c>
      <c r="BG30" s="63" t="s">
        <v>730</v>
      </c>
      <c r="BH30" s="63" t="s">
        <v>872</v>
      </c>
      <c r="BI30" s="63">
        <v>93</v>
      </c>
      <c r="BJ30" s="63"/>
      <c r="BK30" s="63" t="s">
        <v>770</v>
      </c>
      <c r="BL30" s="63" t="s">
        <v>772</v>
      </c>
      <c r="BM30" s="63"/>
      <c r="BN30" s="63" t="s">
        <v>164</v>
      </c>
      <c r="BO30" s="63">
        <v>29</v>
      </c>
      <c r="BP30" s="63" t="s">
        <v>893</v>
      </c>
    </row>
    <row r="31" spans="1:68" ht="12.75" customHeight="1" x14ac:dyDescent="0.25">
      <c r="A31" s="227" t="s">
        <v>1168</v>
      </c>
      <c r="B31" s="228" t="s">
        <v>1169</v>
      </c>
      <c r="C31" s="229" t="s">
        <v>1170</v>
      </c>
      <c r="D31" s="229" t="s">
        <v>1171</v>
      </c>
      <c r="E31" s="229" t="s">
        <v>1172</v>
      </c>
      <c r="F31" s="229" t="s">
        <v>146</v>
      </c>
      <c r="G31" s="229" t="s">
        <v>1173</v>
      </c>
      <c r="H31" s="229" t="s">
        <v>1174</v>
      </c>
      <c r="I31" s="229" t="s">
        <v>147</v>
      </c>
      <c r="J31" s="229" t="s">
        <v>1175</v>
      </c>
      <c r="K31" s="228" t="s">
        <v>1176</v>
      </c>
      <c r="L31" s="229" t="s">
        <v>151</v>
      </c>
      <c r="M31" s="230" t="s">
        <v>1177</v>
      </c>
      <c r="N31" s="229" t="s">
        <v>159</v>
      </c>
      <c r="O31" s="229" t="s">
        <v>799</v>
      </c>
      <c r="P31" s="229" t="s">
        <v>150</v>
      </c>
      <c r="Q31" s="229" t="s">
        <v>153</v>
      </c>
      <c r="R31" s="229" t="s">
        <v>1178</v>
      </c>
      <c r="S31" s="229" t="s">
        <v>1179</v>
      </c>
      <c r="T31" s="229" t="s">
        <v>1180</v>
      </c>
      <c r="U31" s="229" t="s">
        <v>142</v>
      </c>
      <c r="V31" s="229" t="s">
        <v>0</v>
      </c>
      <c r="W31" s="229" t="s">
        <v>1181</v>
      </c>
      <c r="X31" s="229" t="s">
        <v>521</v>
      </c>
      <c r="Y31" s="229" t="s">
        <v>156</v>
      </c>
      <c r="Z31" s="229" t="s">
        <v>1074</v>
      </c>
      <c r="AA31" s="229" t="s">
        <v>1182</v>
      </c>
      <c r="AB31" s="229" t="s">
        <v>99</v>
      </c>
      <c r="AC31" s="46" t="s">
        <v>181</v>
      </c>
      <c r="AD31" s="46" t="s">
        <v>182</v>
      </c>
      <c r="AE31" s="46" t="s">
        <v>185</v>
      </c>
      <c r="AF31" s="46" t="s">
        <v>238</v>
      </c>
      <c r="AG31" s="46" t="s">
        <v>183</v>
      </c>
      <c r="AH31" s="46" t="s">
        <v>184</v>
      </c>
      <c r="AI31" s="49" t="s">
        <v>186</v>
      </c>
      <c r="AJ31" s="46" t="s">
        <v>200</v>
      </c>
      <c r="AK31" s="342"/>
      <c r="AL31" s="342"/>
      <c r="AT31" s="349" t="s">
        <v>166</v>
      </c>
      <c r="AU31" s="48" t="s">
        <v>2244</v>
      </c>
      <c r="AV31" s="44">
        <v>4060716</v>
      </c>
      <c r="AW31" s="48">
        <v>0.5</v>
      </c>
      <c r="AX31" s="349">
        <v>6</v>
      </c>
      <c r="AY31" s="349">
        <v>9</v>
      </c>
      <c r="AZ31" s="349">
        <v>5.5</v>
      </c>
      <c r="BA31" s="349"/>
      <c r="BB31" s="349">
        <v>0</v>
      </c>
      <c r="BC31" s="349">
        <v>8760</v>
      </c>
      <c r="BD31" s="349" t="s">
        <v>161</v>
      </c>
      <c r="BF31" s="63" t="s">
        <v>717</v>
      </c>
      <c r="BG31" s="63" t="s">
        <v>731</v>
      </c>
      <c r="BH31" s="63" t="s">
        <v>873</v>
      </c>
      <c r="BI31" s="63">
        <v>125</v>
      </c>
      <c r="BJ31" s="63"/>
      <c r="BK31" s="63" t="s">
        <v>770</v>
      </c>
      <c r="BL31" s="63" t="s">
        <v>757</v>
      </c>
      <c r="BM31" s="63"/>
      <c r="BN31" s="63" t="s">
        <v>164</v>
      </c>
      <c r="BO31" s="63">
        <v>30</v>
      </c>
      <c r="BP31" s="63" t="s">
        <v>893</v>
      </c>
    </row>
    <row r="32" spans="1:68" ht="12.75" customHeight="1" x14ac:dyDescent="0.25">
      <c r="A32" s="359"/>
      <c r="B32" s="360"/>
      <c r="J32" s="359"/>
      <c r="K32" s="360"/>
      <c r="M32" s="362"/>
      <c r="N32" s="359"/>
      <c r="O32" s="226"/>
      <c r="P32" s="363"/>
      <c r="Q32" s="361"/>
      <c r="R32" s="359"/>
      <c r="S32" s="359"/>
      <c r="T32" s="359"/>
      <c r="U32" s="359"/>
      <c r="V32" s="359"/>
      <c r="W32" s="359"/>
      <c r="X32" s="359"/>
      <c r="Y32" s="359"/>
      <c r="AC32" s="50"/>
      <c r="AD32" s="364"/>
      <c r="AE32" s="364"/>
      <c r="AF32" s="365"/>
      <c r="AG32" s="222"/>
      <c r="AH32" s="50"/>
      <c r="AI32" s="365"/>
      <c r="AJ32" s="365"/>
      <c r="AK32" s="166"/>
      <c r="AL32" s="166"/>
      <c r="AT32" s="349" t="s">
        <v>165</v>
      </c>
      <c r="AU32" s="48" t="s">
        <v>2245</v>
      </c>
      <c r="AV32" s="44">
        <v>4060616</v>
      </c>
      <c r="AW32" s="48">
        <v>0.5</v>
      </c>
      <c r="AX32" s="349">
        <v>6</v>
      </c>
      <c r="AY32" s="349">
        <v>8</v>
      </c>
      <c r="AZ32" s="349">
        <v>3.5</v>
      </c>
      <c r="BA32" s="349"/>
      <c r="BB32" s="349">
        <v>0</v>
      </c>
      <c r="BC32" s="349">
        <v>8760</v>
      </c>
      <c r="BD32" s="349" t="s">
        <v>161</v>
      </c>
      <c r="BF32" s="63" t="s">
        <v>717</v>
      </c>
      <c r="BG32" s="63" t="s">
        <v>732</v>
      </c>
      <c r="BH32" s="63" t="s">
        <v>874</v>
      </c>
      <c r="BI32" s="63">
        <v>205</v>
      </c>
      <c r="BJ32" s="63"/>
      <c r="BK32" s="63" t="s">
        <v>770</v>
      </c>
      <c r="BL32" s="63" t="s">
        <v>758</v>
      </c>
      <c r="BM32" s="63"/>
      <c r="BN32" s="63" t="s">
        <v>164</v>
      </c>
      <c r="BO32" s="63">
        <v>31</v>
      </c>
      <c r="BP32" s="63" t="s">
        <v>893</v>
      </c>
    </row>
    <row r="33" spans="1:68" ht="12.75" customHeight="1" x14ac:dyDescent="0.25">
      <c r="O33" s="226"/>
      <c r="P33" s="226"/>
      <c r="AC33" s="50"/>
      <c r="AD33" s="50"/>
      <c r="AE33" s="50"/>
      <c r="AF33" s="50"/>
      <c r="AG33" s="222"/>
      <c r="AH33" s="50"/>
      <c r="AI33" s="50"/>
      <c r="AJ33" s="166"/>
      <c r="AK33" s="166"/>
      <c r="AL33" s="166"/>
      <c r="AT33" s="349" t="s">
        <v>2213</v>
      </c>
      <c r="AU33" s="48" t="s">
        <v>2246</v>
      </c>
      <c r="AV33" s="44">
        <v>4060616</v>
      </c>
      <c r="AW33" s="48">
        <v>0.5</v>
      </c>
      <c r="AX33" s="349">
        <v>12</v>
      </c>
      <c r="AY33" s="349">
        <v>14</v>
      </c>
      <c r="AZ33" s="349">
        <v>7.5</v>
      </c>
      <c r="BA33" s="349"/>
      <c r="BB33" s="349">
        <v>0</v>
      </c>
      <c r="BC33" s="349">
        <v>8760</v>
      </c>
      <c r="BD33" s="349" t="s">
        <v>161</v>
      </c>
      <c r="BF33" s="63" t="s">
        <v>717</v>
      </c>
      <c r="BG33" s="63" t="s">
        <v>733</v>
      </c>
      <c r="BH33" s="63" t="s">
        <v>875</v>
      </c>
      <c r="BI33" s="63">
        <v>290</v>
      </c>
      <c r="BJ33" s="63"/>
      <c r="BK33" s="63" t="s">
        <v>770</v>
      </c>
      <c r="BL33" s="63" t="s">
        <v>759</v>
      </c>
      <c r="BM33" s="63"/>
      <c r="BN33" s="63" t="s">
        <v>164</v>
      </c>
      <c r="BO33" s="63">
        <v>32</v>
      </c>
      <c r="BP33" s="63" t="s">
        <v>893</v>
      </c>
    </row>
    <row r="34" spans="1:68" ht="12.75" customHeight="1" x14ac:dyDescent="0.25">
      <c r="O34" s="226"/>
      <c r="P34" s="226"/>
      <c r="AC34" s="50"/>
      <c r="AD34" s="50"/>
      <c r="AE34" s="50"/>
      <c r="AF34" s="50"/>
      <c r="AG34" s="222"/>
      <c r="AH34" s="50"/>
      <c r="AI34" s="50"/>
      <c r="AJ34" s="166"/>
      <c r="AK34" s="166"/>
      <c r="AL34" s="166"/>
      <c r="AT34" s="349" t="s">
        <v>2195</v>
      </c>
      <c r="AU34" s="48" t="s">
        <v>2247</v>
      </c>
      <c r="AV34" s="44">
        <v>4061501</v>
      </c>
      <c r="AW34" s="48">
        <v>0.4</v>
      </c>
      <c r="AX34" s="349"/>
      <c r="AY34" s="349"/>
      <c r="AZ34" s="349"/>
      <c r="BA34" s="349"/>
      <c r="BB34" s="349"/>
      <c r="BC34" s="349"/>
      <c r="BD34" s="349" t="s">
        <v>161</v>
      </c>
      <c r="BF34" s="63" t="s">
        <v>717</v>
      </c>
      <c r="BG34" s="63" t="s">
        <v>734</v>
      </c>
      <c r="BH34" s="63" t="s">
        <v>876</v>
      </c>
      <c r="BI34" s="63">
        <v>455</v>
      </c>
      <c r="BJ34" s="63"/>
      <c r="BK34" s="63" t="s">
        <v>770</v>
      </c>
      <c r="BL34" s="63" t="s">
        <v>760</v>
      </c>
      <c r="BM34" s="63"/>
      <c r="BN34" s="63" t="s">
        <v>164</v>
      </c>
      <c r="BO34" s="63">
        <v>33</v>
      </c>
      <c r="BP34" s="63" t="s">
        <v>893</v>
      </c>
    </row>
    <row r="35" spans="1:68" ht="12.75" customHeight="1" x14ac:dyDescent="0.25">
      <c r="O35" s="226"/>
      <c r="P35" s="226"/>
      <c r="AC35" s="166"/>
      <c r="AD35" s="166"/>
      <c r="AE35" s="166"/>
      <c r="AF35" s="166"/>
      <c r="AG35" s="222"/>
      <c r="AH35" s="166"/>
      <c r="AI35" s="166"/>
      <c r="AJ35" s="166"/>
      <c r="AK35" s="166"/>
      <c r="AL35" s="166"/>
      <c r="AT35" s="349" t="s">
        <v>2214</v>
      </c>
      <c r="AU35" s="48" t="s">
        <v>2248</v>
      </c>
      <c r="AV35" s="44">
        <v>9999991</v>
      </c>
      <c r="AW35" s="48">
        <v>0.5</v>
      </c>
      <c r="AX35" s="349"/>
      <c r="AY35" s="349"/>
      <c r="AZ35" s="349"/>
      <c r="BA35" s="349"/>
      <c r="BB35" s="349"/>
      <c r="BC35" s="349"/>
      <c r="BD35" s="349" t="s">
        <v>161</v>
      </c>
      <c r="BF35" s="63" t="s">
        <v>717</v>
      </c>
      <c r="BG35" s="63" t="s">
        <v>2099</v>
      </c>
      <c r="BH35" s="63" t="s">
        <v>2100</v>
      </c>
      <c r="BI35" s="63">
        <v>1075</v>
      </c>
      <c r="BJ35" s="63"/>
      <c r="BK35" s="63" t="s">
        <v>770</v>
      </c>
      <c r="BL35" s="63" t="s">
        <v>761</v>
      </c>
      <c r="BM35" s="63"/>
      <c r="BN35" s="63" t="s">
        <v>164</v>
      </c>
      <c r="BO35" s="63">
        <v>34</v>
      </c>
      <c r="BP35" s="63" t="s">
        <v>894</v>
      </c>
    </row>
    <row r="36" spans="1:68" ht="12.75" customHeight="1" x14ac:dyDescent="0.25">
      <c r="O36" s="226"/>
      <c r="P36" s="226"/>
      <c r="AC36" s="166"/>
      <c r="AD36" s="166"/>
      <c r="AE36" s="166"/>
      <c r="AF36" s="166"/>
      <c r="AG36" s="222"/>
      <c r="AH36" s="166"/>
      <c r="AI36" s="166"/>
      <c r="AJ36" s="166"/>
      <c r="BF36" s="63"/>
      <c r="BG36" s="63" t="s">
        <v>1402</v>
      </c>
      <c r="BH36" s="63"/>
      <c r="BI36" s="63" t="s">
        <v>845</v>
      </c>
      <c r="BJ36" s="63"/>
      <c r="BK36" s="63"/>
      <c r="BL36" s="63"/>
      <c r="BM36" s="63"/>
      <c r="BN36" s="63"/>
      <c r="BO36" s="63">
        <v>35</v>
      </c>
      <c r="BP36" s="63"/>
    </row>
    <row r="37" spans="1:68" ht="12.75" customHeight="1" x14ac:dyDescent="0.25">
      <c r="O37" s="226"/>
      <c r="P37" s="226"/>
      <c r="AT37" s="675" t="s">
        <v>2263</v>
      </c>
      <c r="BF37" s="63" t="s">
        <v>664</v>
      </c>
      <c r="BG37" s="63" t="s">
        <v>665</v>
      </c>
      <c r="BH37" s="63" t="s">
        <v>2001</v>
      </c>
      <c r="BI37" s="63">
        <v>28</v>
      </c>
      <c r="BJ37" s="63"/>
      <c r="BK37" s="63" t="s">
        <v>180</v>
      </c>
      <c r="BL37" s="63" t="s">
        <v>653</v>
      </c>
      <c r="BM37" s="63" t="s">
        <v>656</v>
      </c>
      <c r="BN37" s="63" t="s">
        <v>164</v>
      </c>
      <c r="BO37" s="63">
        <v>36</v>
      </c>
      <c r="BP37" s="63" t="s">
        <v>893</v>
      </c>
    </row>
    <row r="38" spans="1:68" ht="12.75" customHeight="1" x14ac:dyDescent="0.25">
      <c r="O38" s="226"/>
      <c r="P38" s="226"/>
      <c r="AT38" s="675" t="s">
        <v>2249</v>
      </c>
      <c r="BF38" s="63" t="s">
        <v>664</v>
      </c>
      <c r="BG38" s="63" t="s">
        <v>666</v>
      </c>
      <c r="BH38" s="63" t="s">
        <v>2002</v>
      </c>
      <c r="BI38" s="63">
        <v>56</v>
      </c>
      <c r="BJ38" s="63"/>
      <c r="BK38" s="63" t="s">
        <v>180</v>
      </c>
      <c r="BL38" s="63" t="s">
        <v>653</v>
      </c>
      <c r="BM38" s="63" t="s">
        <v>742</v>
      </c>
      <c r="BN38" s="63" t="s">
        <v>164</v>
      </c>
      <c r="BO38" s="63">
        <v>37</v>
      </c>
      <c r="BP38" s="63" t="s">
        <v>894</v>
      </c>
    </row>
    <row r="39" spans="1:68" ht="12.75" customHeight="1" x14ac:dyDescent="0.25">
      <c r="O39" s="226"/>
      <c r="P39" s="226"/>
      <c r="AK39" s="167"/>
      <c r="AL39" s="167"/>
      <c r="AT39" s="676" t="s">
        <v>2264</v>
      </c>
      <c r="BF39" s="63" t="s">
        <v>664</v>
      </c>
      <c r="BG39" s="63" t="s">
        <v>2003</v>
      </c>
      <c r="BH39" s="63" t="s">
        <v>2004</v>
      </c>
      <c r="BI39" s="63">
        <v>62</v>
      </c>
      <c r="BJ39" s="63"/>
      <c r="BK39" s="63" t="s">
        <v>180</v>
      </c>
      <c r="BL39" s="63" t="s">
        <v>653</v>
      </c>
      <c r="BM39" s="63" t="s">
        <v>745</v>
      </c>
      <c r="BN39" s="63" t="s">
        <v>164</v>
      </c>
      <c r="BO39" s="63">
        <v>38</v>
      </c>
      <c r="BP39" s="63" t="s">
        <v>894</v>
      </c>
    </row>
    <row r="40" spans="1:68" ht="12.75" customHeight="1" x14ac:dyDescent="0.25">
      <c r="A40" s="222" t="s">
        <v>1168</v>
      </c>
      <c r="B40" s="222" t="s">
        <v>1169</v>
      </c>
      <c r="C40" s="222" t="s">
        <v>1170</v>
      </c>
      <c r="D40" s="222" t="s">
        <v>1171</v>
      </c>
      <c r="E40" s="222" t="s">
        <v>1172</v>
      </c>
      <c r="F40" s="222" t="s">
        <v>146</v>
      </c>
      <c r="G40" s="222" t="s">
        <v>1173</v>
      </c>
      <c r="H40" s="222" t="s">
        <v>1174</v>
      </c>
      <c r="I40" s="222" t="s">
        <v>147</v>
      </c>
      <c r="J40" s="222" t="s">
        <v>1175</v>
      </c>
      <c r="K40" s="223" t="s">
        <v>1176</v>
      </c>
      <c r="L40" s="224" t="s">
        <v>151</v>
      </c>
      <c r="M40" s="225" t="s">
        <v>1177</v>
      </c>
      <c r="N40" s="222" t="s">
        <v>159</v>
      </c>
      <c r="O40" s="222" t="s">
        <v>799</v>
      </c>
      <c r="P40" s="222" t="s">
        <v>150</v>
      </c>
      <c r="Q40" s="224" t="s">
        <v>153</v>
      </c>
      <c r="R40" s="222" t="s">
        <v>1178</v>
      </c>
      <c r="S40" s="222" t="s">
        <v>1179</v>
      </c>
      <c r="T40" s="222" t="s">
        <v>1180</v>
      </c>
      <c r="U40" s="222" t="s">
        <v>142</v>
      </c>
      <c r="V40" s="222" t="s">
        <v>0</v>
      </c>
      <c r="W40" s="222" t="s">
        <v>1181</v>
      </c>
      <c r="X40" s="222" t="s">
        <v>521</v>
      </c>
      <c r="Y40" s="222" t="s">
        <v>156</v>
      </c>
      <c r="Z40" s="222" t="s">
        <v>1074</v>
      </c>
      <c r="AA40" s="222" t="s">
        <v>1182</v>
      </c>
      <c r="AB40" s="222" t="s">
        <v>99</v>
      </c>
      <c r="AC40" s="29" t="s">
        <v>181</v>
      </c>
      <c r="AD40" s="29" t="s">
        <v>182</v>
      </c>
      <c r="AE40" s="29" t="s">
        <v>185</v>
      </c>
      <c r="AF40" s="29" t="s">
        <v>238</v>
      </c>
      <c r="AG40" s="29" t="s">
        <v>183</v>
      </c>
      <c r="AH40" s="29" t="s">
        <v>184</v>
      </c>
      <c r="AI40" s="29" t="s">
        <v>186</v>
      </c>
      <c r="AJ40" s="167" t="s">
        <v>971</v>
      </c>
      <c r="AK40" s="44"/>
      <c r="AL40" s="44"/>
      <c r="AT40" s="676" t="s">
        <v>2265</v>
      </c>
      <c r="BF40" s="63" t="s">
        <v>664</v>
      </c>
      <c r="BG40" s="63" t="s">
        <v>2005</v>
      </c>
      <c r="BH40" s="63" t="s">
        <v>2006</v>
      </c>
      <c r="BI40" s="63">
        <v>112</v>
      </c>
      <c r="BJ40" s="63"/>
      <c r="BK40" s="63" t="s">
        <v>180</v>
      </c>
      <c r="BL40" s="63" t="s">
        <v>653</v>
      </c>
      <c r="BM40" s="63" t="s">
        <v>746</v>
      </c>
      <c r="BN40" s="63" t="s">
        <v>164</v>
      </c>
      <c r="BO40" s="63">
        <v>39</v>
      </c>
      <c r="BP40" s="63" t="s">
        <v>894</v>
      </c>
    </row>
    <row r="41" spans="1:68" ht="12.75" customHeight="1" x14ac:dyDescent="0.25">
      <c r="A41" s="423" t="s">
        <v>1835</v>
      </c>
      <c r="B41" s="424" t="s">
        <v>1836</v>
      </c>
      <c r="C41" s="423" t="s">
        <v>1837</v>
      </c>
      <c r="D41" s="423" t="s">
        <v>161</v>
      </c>
      <c r="E41" s="423" t="s">
        <v>1838</v>
      </c>
      <c r="F41" s="423" t="s">
        <v>1838</v>
      </c>
      <c r="G41" s="423" t="s">
        <v>161</v>
      </c>
      <c r="H41" s="423" t="s">
        <v>1826</v>
      </c>
      <c r="I41" s="423" t="s">
        <v>1826</v>
      </c>
      <c r="J41" s="423"/>
      <c r="K41" s="424">
        <v>3077</v>
      </c>
      <c r="L41" s="425">
        <v>10</v>
      </c>
      <c r="M41" s="426">
        <v>42456</v>
      </c>
      <c r="N41" s="423" t="s">
        <v>1183</v>
      </c>
      <c r="O41" s="423" t="s">
        <v>161</v>
      </c>
      <c r="P41" s="423">
        <v>10</v>
      </c>
      <c r="Q41" s="425">
        <v>300</v>
      </c>
      <c r="R41" s="423">
        <v>5.6989049999999999E-2</v>
      </c>
      <c r="S41" s="423">
        <v>0.11666666666666667</v>
      </c>
      <c r="T41" s="423">
        <v>614.15306975638305</v>
      </c>
      <c r="U41" s="423" t="s">
        <v>160</v>
      </c>
      <c r="V41" s="423"/>
      <c r="W41" s="423" t="s">
        <v>161</v>
      </c>
      <c r="X41" s="423" t="s">
        <v>1185</v>
      </c>
      <c r="Y41" s="423" t="s">
        <v>163</v>
      </c>
      <c r="Z41" s="423" t="s">
        <v>134</v>
      </c>
      <c r="AA41" s="423">
        <v>1</v>
      </c>
      <c r="AB41" s="423" t="s">
        <v>1839</v>
      </c>
      <c r="AC41" s="427" t="s">
        <v>1826</v>
      </c>
      <c r="AD41" s="427"/>
      <c r="AE41" s="427"/>
      <c r="AF41" s="427"/>
      <c r="AG41" s="427" t="s">
        <v>1840</v>
      </c>
      <c r="AH41" s="427" t="s">
        <v>1841</v>
      </c>
      <c r="AI41" s="427">
        <v>49</v>
      </c>
      <c r="AJ41" s="427">
        <v>201</v>
      </c>
      <c r="AK41" s="44"/>
      <c r="AL41" s="44"/>
      <c r="BF41" s="63" t="s">
        <v>664</v>
      </c>
      <c r="BG41" s="63" t="s">
        <v>667</v>
      </c>
      <c r="BH41" s="63" t="s">
        <v>2007</v>
      </c>
      <c r="BI41" s="63">
        <v>37</v>
      </c>
      <c r="BJ41" s="63"/>
      <c r="BK41" s="63" t="s">
        <v>180</v>
      </c>
      <c r="BL41" s="63" t="s">
        <v>743</v>
      </c>
      <c r="BM41" s="63" t="s">
        <v>656</v>
      </c>
      <c r="BN41" s="63" t="s">
        <v>164</v>
      </c>
      <c r="BO41" s="63">
        <v>40</v>
      </c>
      <c r="BP41" s="63" t="s">
        <v>894</v>
      </c>
    </row>
    <row r="42" spans="1:68" ht="12.75" customHeight="1" x14ac:dyDescent="0.25">
      <c r="A42" s="423" t="s">
        <v>1842</v>
      </c>
      <c r="B42" s="424" t="s">
        <v>1843</v>
      </c>
      <c r="C42" s="423" t="s">
        <v>1844</v>
      </c>
      <c r="D42" s="423" t="s">
        <v>161</v>
      </c>
      <c r="E42" s="423" t="s">
        <v>1845</v>
      </c>
      <c r="F42" s="423" t="s">
        <v>1845</v>
      </c>
      <c r="G42" s="423" t="s">
        <v>161</v>
      </c>
      <c r="H42" s="423" t="s">
        <v>1826</v>
      </c>
      <c r="I42" s="423" t="s">
        <v>1826</v>
      </c>
      <c r="J42" s="423"/>
      <c r="K42" s="424">
        <v>3077</v>
      </c>
      <c r="L42" s="425">
        <v>10</v>
      </c>
      <c r="M42" s="426">
        <v>42456</v>
      </c>
      <c r="N42" s="423" t="s">
        <v>1183</v>
      </c>
      <c r="O42" s="423" t="s">
        <v>161</v>
      </c>
      <c r="P42" s="423">
        <v>35</v>
      </c>
      <c r="Q42" s="425">
        <v>300</v>
      </c>
      <c r="R42" s="423">
        <v>5.6989049999999999E-2</v>
      </c>
      <c r="S42" s="423">
        <v>0.11666666666666667</v>
      </c>
      <c r="T42" s="423">
        <v>614.15306975638305</v>
      </c>
      <c r="U42" s="423" t="s">
        <v>160</v>
      </c>
      <c r="V42" s="423"/>
      <c r="W42" s="423" t="s">
        <v>161</v>
      </c>
      <c r="X42" s="423" t="s">
        <v>1185</v>
      </c>
      <c r="Y42" s="423" t="s">
        <v>163</v>
      </c>
      <c r="Z42" s="423" t="s">
        <v>134</v>
      </c>
      <c r="AA42" s="423">
        <v>1</v>
      </c>
      <c r="AB42" s="423" t="s">
        <v>1839</v>
      </c>
      <c r="AC42" s="427" t="s">
        <v>1826</v>
      </c>
      <c r="AD42" s="427"/>
      <c r="AE42" s="427"/>
      <c r="AF42" s="427"/>
      <c r="AG42" s="427" t="s">
        <v>1846</v>
      </c>
      <c r="AH42" s="427" t="s">
        <v>1847</v>
      </c>
      <c r="AI42" s="427">
        <v>200</v>
      </c>
      <c r="AJ42" s="427">
        <v>501</v>
      </c>
      <c r="AK42" s="44"/>
      <c r="AL42" s="44"/>
      <c r="BF42" s="63" t="s">
        <v>664</v>
      </c>
      <c r="BG42" s="63" t="s">
        <v>668</v>
      </c>
      <c r="BH42" s="63" t="s">
        <v>2008</v>
      </c>
      <c r="BI42" s="63">
        <v>74</v>
      </c>
      <c r="BJ42" s="63"/>
      <c r="BK42" s="63" t="s">
        <v>180</v>
      </c>
      <c r="BL42" s="63" t="s">
        <v>743</v>
      </c>
      <c r="BM42" s="63" t="s">
        <v>742</v>
      </c>
      <c r="BN42" s="63" t="s">
        <v>164</v>
      </c>
      <c r="BO42" s="63">
        <v>41</v>
      </c>
      <c r="BP42" s="63" t="s">
        <v>894</v>
      </c>
    </row>
    <row r="43" spans="1:68" ht="12.75" customHeight="1" x14ac:dyDescent="0.25">
      <c r="A43" s="423" t="s">
        <v>1848</v>
      </c>
      <c r="B43" s="424" t="s">
        <v>1849</v>
      </c>
      <c r="C43" s="423" t="s">
        <v>1850</v>
      </c>
      <c r="D43" s="423" t="s">
        <v>161</v>
      </c>
      <c r="E43" s="423" t="s">
        <v>1850</v>
      </c>
      <c r="F43" s="423" t="s">
        <v>1850</v>
      </c>
      <c r="G43" s="423" t="s">
        <v>161</v>
      </c>
      <c r="H43" s="423" t="s">
        <v>1826</v>
      </c>
      <c r="I43" s="423" t="s">
        <v>1826</v>
      </c>
      <c r="J43" s="423"/>
      <c r="K43" s="424">
        <v>3080</v>
      </c>
      <c r="L43" s="425">
        <v>11</v>
      </c>
      <c r="M43" s="426">
        <v>42456</v>
      </c>
      <c r="N43" s="423" t="s">
        <v>1183</v>
      </c>
      <c r="O43" s="423" t="s">
        <v>161</v>
      </c>
      <c r="P43" s="423">
        <v>15</v>
      </c>
      <c r="Q43" s="425">
        <v>125</v>
      </c>
      <c r="R43" s="423">
        <v>2.3745437500000001E-2</v>
      </c>
      <c r="S43" s="423">
        <v>0.12</v>
      </c>
      <c r="T43" s="423">
        <v>631.70030032085106</v>
      </c>
      <c r="U43" s="423" t="s">
        <v>160</v>
      </c>
      <c r="V43" s="423" t="s">
        <v>1184</v>
      </c>
      <c r="W43" s="423" t="s">
        <v>161</v>
      </c>
      <c r="X43" s="423" t="s">
        <v>1185</v>
      </c>
      <c r="Y43" s="423" t="s">
        <v>163</v>
      </c>
      <c r="Z43" s="423" t="s">
        <v>134</v>
      </c>
      <c r="AA43" s="423">
        <v>1</v>
      </c>
      <c r="AB43" s="423" t="s">
        <v>1839</v>
      </c>
      <c r="AC43" s="427" t="s">
        <v>1826</v>
      </c>
      <c r="AD43" s="427"/>
      <c r="AE43" s="427"/>
      <c r="AF43" s="427"/>
      <c r="AG43" s="427" t="s">
        <v>1851</v>
      </c>
      <c r="AH43" s="427" t="s">
        <v>1852</v>
      </c>
      <c r="AI43" s="427">
        <v>50</v>
      </c>
      <c r="AJ43" s="427">
        <v>121</v>
      </c>
      <c r="AK43" s="44"/>
      <c r="AL43" s="44"/>
      <c r="BF43" s="63" t="s">
        <v>664</v>
      </c>
      <c r="BG43" s="63" t="s">
        <v>2009</v>
      </c>
      <c r="BH43" s="63" t="s">
        <v>2010</v>
      </c>
      <c r="BI43" s="63">
        <v>111</v>
      </c>
      <c r="BJ43" s="63"/>
      <c r="BK43" s="63" t="s">
        <v>180</v>
      </c>
      <c r="BL43" s="63" t="s">
        <v>743</v>
      </c>
      <c r="BM43" s="63" t="s">
        <v>745</v>
      </c>
      <c r="BN43" s="63" t="s">
        <v>164</v>
      </c>
      <c r="BO43" s="63">
        <v>42</v>
      </c>
      <c r="BP43" s="63" t="s">
        <v>894</v>
      </c>
    </row>
    <row r="44" spans="1:68" ht="12.75" customHeight="1" x14ac:dyDescent="0.25">
      <c r="A44" s="423" t="s">
        <v>1853</v>
      </c>
      <c r="B44" s="424" t="s">
        <v>1854</v>
      </c>
      <c r="C44" s="423" t="s">
        <v>1855</v>
      </c>
      <c r="D44" s="423" t="s">
        <v>161</v>
      </c>
      <c r="E44" s="423" t="s">
        <v>1855</v>
      </c>
      <c r="F44" s="423" t="s">
        <v>1855</v>
      </c>
      <c r="G44" s="423" t="s">
        <v>161</v>
      </c>
      <c r="H44" s="423" t="s">
        <v>1826</v>
      </c>
      <c r="I44" s="423" t="s">
        <v>1826</v>
      </c>
      <c r="J44" s="423"/>
      <c r="K44" s="424">
        <v>3079</v>
      </c>
      <c r="L44" s="425">
        <v>11</v>
      </c>
      <c r="M44" s="426">
        <v>42456</v>
      </c>
      <c r="N44" s="423" t="s">
        <v>1183</v>
      </c>
      <c r="O44" s="423" t="s">
        <v>161</v>
      </c>
      <c r="P44" s="423">
        <v>35</v>
      </c>
      <c r="Q44" s="425">
        <v>460</v>
      </c>
      <c r="R44" s="423">
        <v>8.7383210000000003E-2</v>
      </c>
      <c r="S44" s="423">
        <v>7.6086956521739135E-2</v>
      </c>
      <c r="T44" s="423">
        <v>400.53461071068455</v>
      </c>
      <c r="U44" s="423" t="s">
        <v>160</v>
      </c>
      <c r="V44" s="423" t="s">
        <v>1184</v>
      </c>
      <c r="W44" s="423" t="s">
        <v>161</v>
      </c>
      <c r="X44" s="423" t="s">
        <v>1185</v>
      </c>
      <c r="Y44" s="423" t="s">
        <v>163</v>
      </c>
      <c r="Z44" s="423" t="s">
        <v>134</v>
      </c>
      <c r="AA44" s="423">
        <v>1</v>
      </c>
      <c r="AB44" s="423" t="s">
        <v>1839</v>
      </c>
      <c r="AC44" s="427" t="s">
        <v>1826</v>
      </c>
      <c r="AD44" s="427"/>
      <c r="AE44" s="427"/>
      <c r="AF44" s="427"/>
      <c r="AG44" s="427" t="s">
        <v>1856</v>
      </c>
      <c r="AH44" s="427" t="s">
        <v>1857</v>
      </c>
      <c r="AI44" s="427">
        <v>120</v>
      </c>
      <c r="AJ44" s="427">
        <v>9999</v>
      </c>
      <c r="AK44" s="44"/>
      <c r="AL44" s="44"/>
      <c r="BF44" s="63" t="s">
        <v>664</v>
      </c>
      <c r="BG44" s="63" t="s">
        <v>2011</v>
      </c>
      <c r="BH44" s="63" t="s">
        <v>2012</v>
      </c>
      <c r="BI44" s="63">
        <v>148</v>
      </c>
      <c r="BJ44" s="63"/>
      <c r="BK44" s="63" t="s">
        <v>180</v>
      </c>
      <c r="BL44" s="63" t="s">
        <v>743</v>
      </c>
      <c r="BM44" s="63" t="s">
        <v>746</v>
      </c>
      <c r="BN44" s="63" t="s">
        <v>164</v>
      </c>
      <c r="BO44" s="63">
        <v>43</v>
      </c>
      <c r="BP44" s="63" t="s">
        <v>894</v>
      </c>
    </row>
    <row r="45" spans="1:68" ht="12.75" customHeight="1" x14ac:dyDescent="0.25">
      <c r="A45" s="423" t="s">
        <v>1858</v>
      </c>
      <c r="B45" s="424" t="s">
        <v>1859</v>
      </c>
      <c r="C45" s="423" t="s">
        <v>1860</v>
      </c>
      <c r="D45" s="423" t="s">
        <v>161</v>
      </c>
      <c r="E45" s="423" t="s">
        <v>1860</v>
      </c>
      <c r="F45" s="423" t="s">
        <v>1860</v>
      </c>
      <c r="G45" s="423" t="s">
        <v>161</v>
      </c>
      <c r="H45" s="423" t="s">
        <v>1826</v>
      </c>
      <c r="I45" s="423" t="s">
        <v>1826</v>
      </c>
      <c r="J45" s="423"/>
      <c r="K45" s="424">
        <v>3016</v>
      </c>
      <c r="L45" s="425">
        <v>8</v>
      </c>
      <c r="M45" s="426">
        <v>42456</v>
      </c>
      <c r="N45" s="423" t="s">
        <v>1183</v>
      </c>
      <c r="O45" s="423" t="s">
        <v>161</v>
      </c>
      <c r="P45" s="423">
        <v>45</v>
      </c>
      <c r="Q45" s="425">
        <v>570</v>
      </c>
      <c r="R45" s="423">
        <v>0.10827919500000001</v>
      </c>
      <c r="S45" s="423">
        <v>7.8947368421052627E-2</v>
      </c>
      <c r="T45" s="423">
        <v>415.59230284266516</v>
      </c>
      <c r="U45" s="423" t="s">
        <v>160</v>
      </c>
      <c r="V45" s="423" t="s">
        <v>1184</v>
      </c>
      <c r="W45" s="423" t="s">
        <v>161</v>
      </c>
      <c r="X45" s="423" t="s">
        <v>1185</v>
      </c>
      <c r="Y45" s="423" t="s">
        <v>163</v>
      </c>
      <c r="Z45" s="423" t="s">
        <v>134</v>
      </c>
      <c r="AA45" s="423">
        <v>1</v>
      </c>
      <c r="AB45" s="423" t="s">
        <v>1839</v>
      </c>
      <c r="AC45" s="427" t="s">
        <v>1826</v>
      </c>
      <c r="AD45" s="427"/>
      <c r="AE45" s="427"/>
      <c r="AF45" s="427"/>
      <c r="AG45" s="427" t="s">
        <v>1861</v>
      </c>
      <c r="AH45" s="427" t="s">
        <v>1862</v>
      </c>
      <c r="AI45" s="427">
        <v>150</v>
      </c>
      <c r="AJ45" s="427">
        <v>9999</v>
      </c>
      <c r="AK45" s="44"/>
      <c r="AL45" s="44"/>
      <c r="BF45" s="63" t="s">
        <v>664</v>
      </c>
      <c r="BG45" s="63" t="s">
        <v>669</v>
      </c>
      <c r="BH45" s="63" t="s">
        <v>2013</v>
      </c>
      <c r="BI45" s="63">
        <v>48</v>
      </c>
      <c r="BJ45" s="63"/>
      <c r="BK45" s="63" t="s">
        <v>180</v>
      </c>
      <c r="BL45" s="63" t="s">
        <v>744</v>
      </c>
      <c r="BM45" s="63" t="s">
        <v>656</v>
      </c>
      <c r="BN45" s="63" t="s">
        <v>164</v>
      </c>
      <c r="BO45" s="63">
        <v>44</v>
      </c>
      <c r="BP45" s="63" t="s">
        <v>894</v>
      </c>
    </row>
    <row r="46" spans="1:68" ht="12.75" customHeight="1" x14ac:dyDescent="0.25">
      <c r="A46" s="423" t="s">
        <v>1238</v>
      </c>
      <c r="B46" s="424" t="s">
        <v>1239</v>
      </c>
      <c r="C46" s="423" t="s">
        <v>1240</v>
      </c>
      <c r="D46" s="423" t="s">
        <v>169</v>
      </c>
      <c r="E46" s="423" t="s">
        <v>1241</v>
      </c>
      <c r="F46" s="423" t="s">
        <v>1241</v>
      </c>
      <c r="G46" s="423" t="s">
        <v>169</v>
      </c>
      <c r="H46" s="423" t="s">
        <v>1221</v>
      </c>
      <c r="I46" s="423" t="s">
        <v>1221</v>
      </c>
      <c r="J46" s="423"/>
      <c r="K46" s="424">
        <v>826</v>
      </c>
      <c r="L46" s="425">
        <v>12</v>
      </c>
      <c r="M46" s="426">
        <v>42456</v>
      </c>
      <c r="N46" s="423" t="s">
        <v>1183</v>
      </c>
      <c r="O46" s="423" t="s">
        <v>169</v>
      </c>
      <c r="P46" s="423">
        <v>85</v>
      </c>
      <c r="Q46" s="425">
        <v>1693</v>
      </c>
      <c r="R46" s="423">
        <v>0.22980494189999998</v>
      </c>
      <c r="S46" s="423">
        <v>5.0206733608978142E-2</v>
      </c>
      <c r="T46" s="423">
        <v>369.87890380959647</v>
      </c>
      <c r="U46" s="423" t="s">
        <v>160</v>
      </c>
      <c r="V46" s="423" t="s">
        <v>1184</v>
      </c>
      <c r="W46" s="423" t="s">
        <v>1192</v>
      </c>
      <c r="X46" s="423" t="s">
        <v>1185</v>
      </c>
      <c r="Y46" s="423" t="s">
        <v>163</v>
      </c>
      <c r="Z46" s="423" t="s">
        <v>134</v>
      </c>
      <c r="AA46" s="423">
        <v>1</v>
      </c>
      <c r="AB46" s="423" t="s">
        <v>149</v>
      </c>
      <c r="AC46" s="427" t="s">
        <v>972</v>
      </c>
      <c r="AD46" s="427" t="s">
        <v>975</v>
      </c>
      <c r="AE46" s="427"/>
      <c r="AF46" s="427"/>
      <c r="AG46" s="427" t="s">
        <v>1279</v>
      </c>
      <c r="AH46" s="427" t="s">
        <v>975</v>
      </c>
      <c r="AI46" s="427"/>
      <c r="AJ46" s="427"/>
      <c r="AK46" s="44"/>
      <c r="AL46" s="44"/>
      <c r="BF46" s="63" t="s">
        <v>664</v>
      </c>
      <c r="BG46" s="63" t="s">
        <v>670</v>
      </c>
      <c r="BH46" s="63" t="s">
        <v>2014</v>
      </c>
      <c r="BI46" s="63">
        <v>82</v>
      </c>
      <c r="BJ46" s="63"/>
      <c r="BK46" s="63" t="s">
        <v>180</v>
      </c>
      <c r="BL46" s="63" t="s">
        <v>744</v>
      </c>
      <c r="BM46" s="63" t="s">
        <v>742</v>
      </c>
      <c r="BN46" s="63" t="s">
        <v>164</v>
      </c>
      <c r="BO46" s="63">
        <v>45</v>
      </c>
      <c r="BP46" s="63" t="s">
        <v>894</v>
      </c>
    </row>
    <row r="47" spans="1:68" ht="12.75" customHeight="1" x14ac:dyDescent="0.25">
      <c r="A47" s="423" t="s">
        <v>1242</v>
      </c>
      <c r="B47" s="424" t="s">
        <v>1243</v>
      </c>
      <c r="C47" s="423" t="s">
        <v>1244</v>
      </c>
      <c r="D47" s="423" t="s">
        <v>169</v>
      </c>
      <c r="E47" s="423" t="s">
        <v>1245</v>
      </c>
      <c r="F47" s="423" t="s">
        <v>1245</v>
      </c>
      <c r="G47" s="423" t="s">
        <v>169</v>
      </c>
      <c r="H47" s="423" t="s">
        <v>1221</v>
      </c>
      <c r="I47" s="423" t="s">
        <v>1221</v>
      </c>
      <c r="J47" s="423"/>
      <c r="K47" s="424">
        <v>827</v>
      </c>
      <c r="L47" s="425">
        <v>12</v>
      </c>
      <c r="M47" s="426">
        <v>42456</v>
      </c>
      <c r="N47" s="423" t="s">
        <v>1183</v>
      </c>
      <c r="O47" s="423" t="s">
        <v>169</v>
      </c>
      <c r="P47" s="423">
        <v>160</v>
      </c>
      <c r="Q47" s="425">
        <v>2004</v>
      </c>
      <c r="R47" s="423">
        <v>0.27201955319999999</v>
      </c>
      <c r="S47" s="423">
        <v>7.9840319361277445E-2</v>
      </c>
      <c r="T47" s="423">
        <v>588.19301082507627</v>
      </c>
      <c r="U47" s="423" t="s">
        <v>160</v>
      </c>
      <c r="V47" s="423" t="s">
        <v>1184</v>
      </c>
      <c r="W47" s="423" t="s">
        <v>1192</v>
      </c>
      <c r="X47" s="423" t="s">
        <v>1185</v>
      </c>
      <c r="Y47" s="423" t="s">
        <v>163</v>
      </c>
      <c r="Z47" s="423" t="s">
        <v>134</v>
      </c>
      <c r="AA47" s="423">
        <v>1</v>
      </c>
      <c r="AB47" s="423" t="s">
        <v>149</v>
      </c>
      <c r="AC47" s="427" t="s">
        <v>972</v>
      </c>
      <c r="AD47" s="427" t="s">
        <v>976</v>
      </c>
      <c r="AE47" s="427"/>
      <c r="AF47" s="427"/>
      <c r="AG47" s="427" t="s">
        <v>1280</v>
      </c>
      <c r="AH47" s="427" t="s">
        <v>976</v>
      </c>
      <c r="AI47" s="427"/>
      <c r="AJ47" s="427"/>
      <c r="AK47" s="44"/>
      <c r="AL47" s="44"/>
      <c r="BF47" s="63" t="s">
        <v>664</v>
      </c>
      <c r="BG47" s="63" t="s">
        <v>671</v>
      </c>
      <c r="BH47" s="63" t="s">
        <v>2015</v>
      </c>
      <c r="BI47" s="63">
        <v>122</v>
      </c>
      <c r="BJ47" s="63"/>
      <c r="BK47" s="63" t="s">
        <v>180</v>
      </c>
      <c r="BL47" s="63" t="s">
        <v>744</v>
      </c>
      <c r="BM47" s="63" t="s">
        <v>745</v>
      </c>
      <c r="BN47" s="63" t="s">
        <v>164</v>
      </c>
      <c r="BO47" s="63">
        <v>46</v>
      </c>
      <c r="BP47" s="63" t="s">
        <v>894</v>
      </c>
    </row>
    <row r="48" spans="1:68" ht="12.75" customHeight="1" x14ac:dyDescent="0.25">
      <c r="A48" s="423" t="s">
        <v>1246</v>
      </c>
      <c r="B48" s="424" t="s">
        <v>1247</v>
      </c>
      <c r="C48" s="423" t="s">
        <v>1248</v>
      </c>
      <c r="D48" s="423" t="s">
        <v>169</v>
      </c>
      <c r="E48" s="423" t="s">
        <v>1249</v>
      </c>
      <c r="F48" s="423" t="s">
        <v>1249</v>
      </c>
      <c r="G48" s="423" t="s">
        <v>169</v>
      </c>
      <c r="H48" s="423" t="s">
        <v>1221</v>
      </c>
      <c r="I48" s="423" t="s">
        <v>1221</v>
      </c>
      <c r="J48" s="423"/>
      <c r="K48" s="424">
        <v>828</v>
      </c>
      <c r="L48" s="425">
        <v>12</v>
      </c>
      <c r="M48" s="426">
        <v>42456</v>
      </c>
      <c r="N48" s="423" t="s">
        <v>1183</v>
      </c>
      <c r="O48" s="423" t="s">
        <v>169</v>
      </c>
      <c r="P48" s="423">
        <v>270</v>
      </c>
      <c r="Q48" s="425">
        <v>3869</v>
      </c>
      <c r="R48" s="423">
        <v>0.52517148269999991</v>
      </c>
      <c r="S48" s="423">
        <v>6.9785474282760399E-2</v>
      </c>
      <c r="T48" s="423">
        <v>514.11778608366546</v>
      </c>
      <c r="U48" s="423" t="s">
        <v>160</v>
      </c>
      <c r="V48" s="423" t="s">
        <v>1184</v>
      </c>
      <c r="W48" s="423" t="s">
        <v>1192</v>
      </c>
      <c r="X48" s="423" t="s">
        <v>1185</v>
      </c>
      <c r="Y48" s="423" t="s">
        <v>163</v>
      </c>
      <c r="Z48" s="423" t="s">
        <v>134</v>
      </c>
      <c r="AA48" s="423">
        <v>1</v>
      </c>
      <c r="AB48" s="423" t="s">
        <v>149</v>
      </c>
      <c r="AC48" s="427" t="s">
        <v>972</v>
      </c>
      <c r="AD48" s="427" t="s">
        <v>977</v>
      </c>
      <c r="AE48" s="427"/>
      <c r="AF48" s="427"/>
      <c r="AG48" s="427" t="s">
        <v>1281</v>
      </c>
      <c r="AH48" s="427" t="s">
        <v>977</v>
      </c>
      <c r="AI48" s="427"/>
      <c r="AJ48" s="427"/>
      <c r="AK48" s="44"/>
      <c r="AL48" s="44"/>
      <c r="BF48" s="63" t="s">
        <v>664</v>
      </c>
      <c r="BG48" s="63" t="s">
        <v>672</v>
      </c>
      <c r="BH48" s="63" t="s">
        <v>846</v>
      </c>
      <c r="BI48" s="63">
        <v>164</v>
      </c>
      <c r="BJ48" s="63"/>
      <c r="BK48" s="63" t="s">
        <v>180</v>
      </c>
      <c r="BL48" s="63" t="s">
        <v>744</v>
      </c>
      <c r="BM48" s="63" t="s">
        <v>746</v>
      </c>
      <c r="BN48" s="63" t="s">
        <v>164</v>
      </c>
      <c r="BO48" s="63">
        <v>47</v>
      </c>
      <c r="BP48" s="63" t="s">
        <v>894</v>
      </c>
    </row>
    <row r="49" spans="1:68" ht="12.75" customHeight="1" x14ac:dyDescent="0.25">
      <c r="A49" s="423" t="s">
        <v>1250</v>
      </c>
      <c r="B49" s="424" t="s">
        <v>1251</v>
      </c>
      <c r="C49" s="423" t="s">
        <v>1252</v>
      </c>
      <c r="D49" s="423" t="s">
        <v>169</v>
      </c>
      <c r="E49" s="423" t="s">
        <v>1253</v>
      </c>
      <c r="F49" s="423" t="s">
        <v>1253</v>
      </c>
      <c r="G49" s="423" t="s">
        <v>169</v>
      </c>
      <c r="H49" s="423" t="s">
        <v>1221</v>
      </c>
      <c r="I49" s="423" t="s">
        <v>1221</v>
      </c>
      <c r="J49" s="423"/>
      <c r="K49" s="424">
        <v>829</v>
      </c>
      <c r="L49" s="425">
        <v>12</v>
      </c>
      <c r="M49" s="426">
        <v>42456</v>
      </c>
      <c r="N49" s="423" t="s">
        <v>1183</v>
      </c>
      <c r="O49" s="423" t="s">
        <v>169</v>
      </c>
      <c r="P49" s="423">
        <v>427</v>
      </c>
      <c r="Q49" s="425">
        <v>7118</v>
      </c>
      <c r="R49" s="423">
        <v>0.96618521939999991</v>
      </c>
      <c r="S49" s="423">
        <v>5.9988760887889854E-2</v>
      </c>
      <c r="T49" s="423">
        <v>441.94424777597675</v>
      </c>
      <c r="U49" s="423" t="s">
        <v>160</v>
      </c>
      <c r="V49" s="423" t="s">
        <v>1184</v>
      </c>
      <c r="W49" s="423" t="s">
        <v>1192</v>
      </c>
      <c r="X49" s="423" t="s">
        <v>1185</v>
      </c>
      <c r="Y49" s="423" t="s">
        <v>163</v>
      </c>
      <c r="Z49" s="423" t="s">
        <v>134</v>
      </c>
      <c r="AA49" s="423">
        <v>1</v>
      </c>
      <c r="AB49" s="423" t="s">
        <v>149</v>
      </c>
      <c r="AC49" s="427" t="s">
        <v>972</v>
      </c>
      <c r="AD49" s="427" t="s">
        <v>978</v>
      </c>
      <c r="AE49" s="427"/>
      <c r="AF49" s="427"/>
      <c r="AG49" s="427" t="s">
        <v>1282</v>
      </c>
      <c r="AH49" s="427" t="s">
        <v>978</v>
      </c>
      <c r="AI49" s="427"/>
      <c r="AJ49" s="427"/>
      <c r="AK49" s="44"/>
      <c r="AL49" s="44"/>
      <c r="BF49" s="63" t="s">
        <v>664</v>
      </c>
      <c r="BG49" s="63" t="s">
        <v>2016</v>
      </c>
      <c r="BH49" s="63" t="s">
        <v>2017</v>
      </c>
      <c r="BI49" s="63">
        <v>258</v>
      </c>
      <c r="BJ49" s="63"/>
      <c r="BK49" s="63" t="s">
        <v>180</v>
      </c>
      <c r="BL49" s="63" t="s">
        <v>744</v>
      </c>
      <c r="BM49" s="63" t="s">
        <v>2018</v>
      </c>
      <c r="BN49" s="63" t="s">
        <v>164</v>
      </c>
      <c r="BO49" s="63">
        <v>48</v>
      </c>
      <c r="BP49" s="63" t="s">
        <v>894</v>
      </c>
    </row>
    <row r="50" spans="1:68" ht="12.75" customHeight="1" x14ac:dyDescent="0.25">
      <c r="A50" s="423" t="s">
        <v>1254</v>
      </c>
      <c r="B50" s="424" t="s">
        <v>1255</v>
      </c>
      <c r="C50" s="423" t="s">
        <v>1256</v>
      </c>
      <c r="D50" s="423" t="s">
        <v>169</v>
      </c>
      <c r="E50" s="423" t="s">
        <v>1257</v>
      </c>
      <c r="F50" s="423" t="s">
        <v>1257</v>
      </c>
      <c r="G50" s="423" t="s">
        <v>169</v>
      </c>
      <c r="H50" s="423" t="s">
        <v>1221</v>
      </c>
      <c r="I50" s="423" t="s">
        <v>1221</v>
      </c>
      <c r="J50" s="423"/>
      <c r="K50" s="424">
        <v>830</v>
      </c>
      <c r="L50" s="425">
        <v>12</v>
      </c>
      <c r="M50" s="426">
        <v>42456</v>
      </c>
      <c r="N50" s="423" t="s">
        <v>1183</v>
      </c>
      <c r="O50" s="423" t="s">
        <v>169</v>
      </c>
      <c r="P50" s="423">
        <v>35</v>
      </c>
      <c r="Q50" s="425">
        <v>595</v>
      </c>
      <c r="R50" s="423">
        <v>8.0764288499999989E-2</v>
      </c>
      <c r="S50" s="423">
        <v>5.8823529411764705E-2</v>
      </c>
      <c r="T50" s="423">
        <v>433.359850622593</v>
      </c>
      <c r="U50" s="423" t="s">
        <v>160</v>
      </c>
      <c r="V50" s="423" t="s">
        <v>1184</v>
      </c>
      <c r="W50" s="423" t="s">
        <v>1192</v>
      </c>
      <c r="X50" s="423" t="s">
        <v>1185</v>
      </c>
      <c r="Y50" s="423" t="s">
        <v>163</v>
      </c>
      <c r="Z50" s="423" t="s">
        <v>134</v>
      </c>
      <c r="AA50" s="423">
        <v>1</v>
      </c>
      <c r="AB50" s="423" t="s">
        <v>149</v>
      </c>
      <c r="AC50" s="427" t="s">
        <v>972</v>
      </c>
      <c r="AD50" s="427" t="s">
        <v>975</v>
      </c>
      <c r="AE50" s="427"/>
      <c r="AF50" s="427"/>
      <c r="AG50" s="427" t="s">
        <v>1283</v>
      </c>
      <c r="AH50" s="427" t="s">
        <v>975</v>
      </c>
      <c r="AI50" s="427"/>
      <c r="AJ50" s="427"/>
      <c r="AK50" s="44"/>
      <c r="AL50" s="44"/>
      <c r="BF50" s="63" t="s">
        <v>664</v>
      </c>
      <c r="BG50" s="63" t="s">
        <v>2019</v>
      </c>
      <c r="BH50" s="63" t="s">
        <v>2020</v>
      </c>
      <c r="BI50" s="63">
        <v>72</v>
      </c>
      <c r="BJ50" s="63"/>
      <c r="BK50" s="63" t="s">
        <v>180</v>
      </c>
      <c r="BL50" s="63" t="s">
        <v>2021</v>
      </c>
      <c r="BM50" s="63" t="s">
        <v>656</v>
      </c>
      <c r="BN50" s="63" t="s">
        <v>164</v>
      </c>
      <c r="BO50" s="63">
        <v>49</v>
      </c>
      <c r="BP50" s="63" t="s">
        <v>2022</v>
      </c>
    </row>
    <row r="51" spans="1:68" ht="12.75" customHeight="1" x14ac:dyDescent="0.25">
      <c r="A51" s="423" t="s">
        <v>1258</v>
      </c>
      <c r="B51" s="424" t="s">
        <v>1259</v>
      </c>
      <c r="C51" s="423" t="s">
        <v>1260</v>
      </c>
      <c r="D51" s="423" t="s">
        <v>169</v>
      </c>
      <c r="E51" s="423" t="s">
        <v>1261</v>
      </c>
      <c r="F51" s="423" t="s">
        <v>1261</v>
      </c>
      <c r="G51" s="423" t="s">
        <v>169</v>
      </c>
      <c r="H51" s="423" t="s">
        <v>1221</v>
      </c>
      <c r="I51" s="423" t="s">
        <v>1221</v>
      </c>
      <c r="J51" s="423"/>
      <c r="K51" s="424">
        <v>831</v>
      </c>
      <c r="L51" s="425">
        <v>12</v>
      </c>
      <c r="M51" s="426">
        <v>42456</v>
      </c>
      <c r="N51" s="423" t="s">
        <v>1183</v>
      </c>
      <c r="O51" s="423" t="s">
        <v>169</v>
      </c>
      <c r="P51" s="423">
        <v>70</v>
      </c>
      <c r="Q51" s="425">
        <v>869</v>
      </c>
      <c r="R51" s="423">
        <v>0.11795658269999999</v>
      </c>
      <c r="S51" s="423">
        <v>8.0552359033371698E-2</v>
      </c>
      <c r="T51" s="423">
        <v>593.43869072599034</v>
      </c>
      <c r="U51" s="423" t="s">
        <v>160</v>
      </c>
      <c r="V51" s="423" t="s">
        <v>1184</v>
      </c>
      <c r="W51" s="423" t="s">
        <v>1192</v>
      </c>
      <c r="X51" s="423" t="s">
        <v>1185</v>
      </c>
      <c r="Y51" s="423" t="s">
        <v>163</v>
      </c>
      <c r="Z51" s="423" t="s">
        <v>134</v>
      </c>
      <c r="AA51" s="423">
        <v>1</v>
      </c>
      <c r="AB51" s="423" t="s">
        <v>149</v>
      </c>
      <c r="AC51" s="427" t="s">
        <v>972</v>
      </c>
      <c r="AD51" s="427" t="s">
        <v>976</v>
      </c>
      <c r="AE51" s="427"/>
      <c r="AF51" s="427"/>
      <c r="AG51" s="427" t="s">
        <v>1284</v>
      </c>
      <c r="AH51" s="427" t="s">
        <v>976</v>
      </c>
      <c r="AI51" s="427"/>
      <c r="AJ51" s="427"/>
      <c r="AK51" s="44"/>
      <c r="AL51" s="44"/>
      <c r="BF51" s="63" t="s">
        <v>664</v>
      </c>
      <c r="BG51" s="63" t="s">
        <v>2023</v>
      </c>
      <c r="BH51" s="63" t="s">
        <v>2024</v>
      </c>
      <c r="BI51" s="63">
        <v>111</v>
      </c>
      <c r="BJ51" s="63"/>
      <c r="BK51" s="63" t="s">
        <v>180</v>
      </c>
      <c r="BL51" s="63" t="s">
        <v>2021</v>
      </c>
      <c r="BM51" s="63" t="s">
        <v>742</v>
      </c>
      <c r="BN51" s="63" t="s">
        <v>164</v>
      </c>
      <c r="BO51" s="63">
        <v>50</v>
      </c>
      <c r="BP51" s="63" t="s">
        <v>2022</v>
      </c>
    </row>
    <row r="52" spans="1:68" ht="12.75" customHeight="1" x14ac:dyDescent="0.25">
      <c r="A52" s="423" t="s">
        <v>1262</v>
      </c>
      <c r="B52" s="424" t="s">
        <v>1263</v>
      </c>
      <c r="C52" s="423" t="s">
        <v>1264</v>
      </c>
      <c r="D52" s="423" t="s">
        <v>169</v>
      </c>
      <c r="E52" s="423" t="s">
        <v>1265</v>
      </c>
      <c r="F52" s="423" t="s">
        <v>1265</v>
      </c>
      <c r="G52" s="423" t="s">
        <v>169</v>
      </c>
      <c r="H52" s="423" t="s">
        <v>1221</v>
      </c>
      <c r="I52" s="423" t="s">
        <v>1221</v>
      </c>
      <c r="J52" s="423"/>
      <c r="K52" s="424">
        <v>832</v>
      </c>
      <c r="L52" s="425">
        <v>12</v>
      </c>
      <c r="M52" s="426">
        <v>42456</v>
      </c>
      <c r="N52" s="423" t="s">
        <v>1183</v>
      </c>
      <c r="O52" s="423" t="s">
        <v>169</v>
      </c>
      <c r="P52" s="423">
        <v>121</v>
      </c>
      <c r="Q52" s="425">
        <v>1728</v>
      </c>
      <c r="R52" s="423">
        <v>0.23455578239999997</v>
      </c>
      <c r="S52" s="423">
        <v>7.0023148148148154E-2</v>
      </c>
      <c r="T52" s="423">
        <v>515.86875736728803</v>
      </c>
      <c r="U52" s="423" t="s">
        <v>160</v>
      </c>
      <c r="V52" s="423" t="s">
        <v>1184</v>
      </c>
      <c r="W52" s="423" t="s">
        <v>1192</v>
      </c>
      <c r="X52" s="423" t="s">
        <v>1185</v>
      </c>
      <c r="Y52" s="423" t="s">
        <v>163</v>
      </c>
      <c r="Z52" s="423" t="s">
        <v>134</v>
      </c>
      <c r="AA52" s="423">
        <v>1</v>
      </c>
      <c r="AB52" s="423" t="s">
        <v>149</v>
      </c>
      <c r="AC52" s="427" t="s">
        <v>972</v>
      </c>
      <c r="AD52" s="427" t="s">
        <v>977</v>
      </c>
      <c r="AE52" s="427"/>
      <c r="AF52" s="427"/>
      <c r="AG52" s="427" t="s">
        <v>1285</v>
      </c>
      <c r="AH52" s="427" t="s">
        <v>977</v>
      </c>
      <c r="AI52" s="427"/>
      <c r="AJ52" s="427"/>
      <c r="AK52" s="44"/>
      <c r="AL52" s="44"/>
      <c r="BF52" s="63" t="s">
        <v>664</v>
      </c>
      <c r="BG52" s="63" t="s">
        <v>2025</v>
      </c>
      <c r="BH52" s="63" t="s">
        <v>2026</v>
      </c>
      <c r="BI52" s="63">
        <v>80</v>
      </c>
      <c r="BJ52" s="63"/>
      <c r="BK52" s="63" t="s">
        <v>180</v>
      </c>
      <c r="BL52" s="63" t="s">
        <v>2027</v>
      </c>
      <c r="BM52" s="63" t="s">
        <v>656</v>
      </c>
      <c r="BN52" s="63" t="s">
        <v>164</v>
      </c>
      <c r="BO52" s="63">
        <v>51</v>
      </c>
      <c r="BP52" s="63" t="s">
        <v>2022</v>
      </c>
    </row>
    <row r="53" spans="1:68" ht="12.75" customHeight="1" x14ac:dyDescent="0.25">
      <c r="A53" s="423" t="s">
        <v>1266</v>
      </c>
      <c r="B53" s="424" t="s">
        <v>1267</v>
      </c>
      <c r="C53" s="423" t="s">
        <v>1268</v>
      </c>
      <c r="D53" s="423" t="s">
        <v>169</v>
      </c>
      <c r="E53" s="423" t="s">
        <v>1269</v>
      </c>
      <c r="F53" s="423" t="s">
        <v>1269</v>
      </c>
      <c r="G53" s="423" t="s">
        <v>169</v>
      </c>
      <c r="H53" s="423" t="s">
        <v>1221</v>
      </c>
      <c r="I53" s="423" t="s">
        <v>1221</v>
      </c>
      <c r="J53" s="423"/>
      <c r="K53" s="424">
        <v>833</v>
      </c>
      <c r="L53" s="425">
        <v>12</v>
      </c>
      <c r="M53" s="426">
        <v>42456</v>
      </c>
      <c r="N53" s="423" t="s">
        <v>1183</v>
      </c>
      <c r="O53" s="423" t="s">
        <v>169</v>
      </c>
      <c r="P53" s="423">
        <v>225</v>
      </c>
      <c r="Q53" s="425">
        <v>3757</v>
      </c>
      <c r="R53" s="423">
        <v>0.50996879309999998</v>
      </c>
      <c r="S53" s="423">
        <v>5.9888208677136012E-2</v>
      </c>
      <c r="T53" s="423">
        <v>441.20346782843171</v>
      </c>
      <c r="U53" s="423" t="s">
        <v>160</v>
      </c>
      <c r="V53" s="423" t="s">
        <v>1184</v>
      </c>
      <c r="W53" s="423" t="s">
        <v>1192</v>
      </c>
      <c r="X53" s="423" t="s">
        <v>1185</v>
      </c>
      <c r="Y53" s="423" t="s">
        <v>163</v>
      </c>
      <c r="Z53" s="423" t="s">
        <v>134</v>
      </c>
      <c r="AA53" s="423">
        <v>1</v>
      </c>
      <c r="AB53" s="423" t="s">
        <v>149</v>
      </c>
      <c r="AC53" s="427" t="s">
        <v>972</v>
      </c>
      <c r="AD53" s="427" t="s">
        <v>978</v>
      </c>
      <c r="AE53" s="427"/>
      <c r="AF53" s="427"/>
      <c r="AG53" s="427" t="s">
        <v>1286</v>
      </c>
      <c r="AH53" s="427" t="s">
        <v>978</v>
      </c>
      <c r="AI53" s="427"/>
      <c r="AJ53" s="427"/>
      <c r="AK53" s="44"/>
      <c r="AL53" s="44"/>
      <c r="AM53" s="44"/>
      <c r="BF53" s="63" t="s">
        <v>664</v>
      </c>
      <c r="BG53" s="63" t="s">
        <v>2028</v>
      </c>
      <c r="BH53" s="63" t="s">
        <v>2029</v>
      </c>
      <c r="BI53" s="63">
        <v>122</v>
      </c>
      <c r="BJ53" s="63"/>
      <c r="BK53" s="63" t="s">
        <v>180</v>
      </c>
      <c r="BL53" s="63" t="s">
        <v>2027</v>
      </c>
      <c r="BM53" s="63" t="s">
        <v>742</v>
      </c>
      <c r="BN53" s="63" t="s">
        <v>164</v>
      </c>
      <c r="BO53" s="63">
        <v>52</v>
      </c>
      <c r="BP53" s="63" t="s">
        <v>2022</v>
      </c>
    </row>
    <row r="54" spans="1:68" ht="12.75" customHeight="1" x14ac:dyDescent="0.25">
      <c r="A54" s="423" t="s">
        <v>1822</v>
      </c>
      <c r="B54" s="423" t="s">
        <v>1823</v>
      </c>
      <c r="C54" s="423" t="s">
        <v>1824</v>
      </c>
      <c r="D54" s="423" t="s">
        <v>169</v>
      </c>
      <c r="E54" s="423" t="s">
        <v>1825</v>
      </c>
      <c r="F54" s="423" t="s">
        <v>1825</v>
      </c>
      <c r="G54" s="423" t="s">
        <v>169</v>
      </c>
      <c r="H54" s="423" t="s">
        <v>1826</v>
      </c>
      <c r="I54" s="423" t="s">
        <v>1826</v>
      </c>
      <c r="J54" s="423"/>
      <c r="K54" s="424">
        <v>838</v>
      </c>
      <c r="L54" s="425">
        <v>12</v>
      </c>
      <c r="M54" s="426">
        <v>42456</v>
      </c>
      <c r="N54" s="423" t="s">
        <v>1183</v>
      </c>
      <c r="O54" s="423" t="s">
        <v>169</v>
      </c>
      <c r="P54" s="423">
        <v>68</v>
      </c>
      <c r="Q54" s="425">
        <v>1367</v>
      </c>
      <c r="R54" s="423">
        <v>0.18554068227000001</v>
      </c>
      <c r="S54" s="423">
        <v>4.9743964886613021E-2</v>
      </c>
      <c r="T54" s="423">
        <v>366.49644254862636</v>
      </c>
      <c r="U54" s="423" t="s">
        <v>160</v>
      </c>
      <c r="V54" s="423" t="s">
        <v>1184</v>
      </c>
      <c r="W54" s="423" t="s">
        <v>1192</v>
      </c>
      <c r="X54" s="423" t="s">
        <v>1185</v>
      </c>
      <c r="Y54" s="423" t="s">
        <v>163</v>
      </c>
      <c r="Z54" s="423" t="s">
        <v>134</v>
      </c>
      <c r="AA54" s="423">
        <v>1</v>
      </c>
      <c r="AB54" s="423" t="s">
        <v>1827</v>
      </c>
      <c r="AC54" s="428" t="s">
        <v>1828</v>
      </c>
      <c r="AD54" s="428"/>
      <c r="AE54" s="428"/>
      <c r="AF54" s="428"/>
      <c r="AG54" s="428" t="s">
        <v>1829</v>
      </c>
      <c r="AH54" s="428"/>
      <c r="AI54" s="428"/>
      <c r="AJ54" s="429"/>
      <c r="AM54" s="44"/>
      <c r="BF54" s="63" t="s">
        <v>664</v>
      </c>
      <c r="BG54" s="63" t="s">
        <v>673</v>
      </c>
      <c r="BH54" s="63" t="s">
        <v>847</v>
      </c>
      <c r="BI54" s="63">
        <v>83</v>
      </c>
      <c r="BJ54" s="63"/>
      <c r="BK54" s="63" t="s">
        <v>180</v>
      </c>
      <c r="BL54" s="63" t="s">
        <v>747</v>
      </c>
      <c r="BM54" s="63" t="s">
        <v>656</v>
      </c>
      <c r="BN54" s="63" t="s">
        <v>164</v>
      </c>
      <c r="BO54" s="63">
        <v>53</v>
      </c>
      <c r="BP54" s="63" t="s">
        <v>893</v>
      </c>
    </row>
    <row r="55" spans="1:68" ht="12.75" customHeight="1" x14ac:dyDescent="0.25">
      <c r="A55" s="423" t="s">
        <v>1186</v>
      </c>
      <c r="B55" s="423" t="s">
        <v>1187</v>
      </c>
      <c r="C55" s="423" t="s">
        <v>1188</v>
      </c>
      <c r="D55" s="423" t="s">
        <v>251</v>
      </c>
      <c r="E55" s="423" t="s">
        <v>816</v>
      </c>
      <c r="F55" s="423" t="s">
        <v>1189</v>
      </c>
      <c r="G55" s="423" t="s">
        <v>251</v>
      </c>
      <c r="H55" s="423" t="s">
        <v>1190</v>
      </c>
      <c r="I55" s="423" t="s">
        <v>1191</v>
      </c>
      <c r="J55" s="423"/>
      <c r="K55" s="424">
        <v>850</v>
      </c>
      <c r="L55" s="425">
        <v>15</v>
      </c>
      <c r="M55" s="426">
        <v>42456</v>
      </c>
      <c r="N55" s="423" t="s">
        <v>1183</v>
      </c>
      <c r="O55" s="423" t="s">
        <v>251</v>
      </c>
      <c r="P55" s="423">
        <v>1057</v>
      </c>
      <c r="Q55" s="425">
        <v>21156</v>
      </c>
      <c r="R55" s="423">
        <v>3.8325046020000002</v>
      </c>
      <c r="S55" s="423">
        <v>4.9962185668368311E-2</v>
      </c>
      <c r="T55" s="423">
        <v>275.7987555835947</v>
      </c>
      <c r="U55" s="423" t="s">
        <v>160</v>
      </c>
      <c r="V55" s="423" t="s">
        <v>1184</v>
      </c>
      <c r="W55" s="423" t="s">
        <v>1192</v>
      </c>
      <c r="X55" s="423" t="s">
        <v>1185</v>
      </c>
      <c r="Y55" s="423" t="s">
        <v>163</v>
      </c>
      <c r="Z55" s="423" t="s">
        <v>134</v>
      </c>
      <c r="AA55" s="423">
        <v>1</v>
      </c>
      <c r="AB55" s="423" t="s">
        <v>149</v>
      </c>
      <c r="AC55" s="428" t="s">
        <v>1190</v>
      </c>
      <c r="AD55" s="428"/>
      <c r="AE55" s="428"/>
      <c r="AF55" s="428"/>
      <c r="AG55" s="428" t="s">
        <v>1291</v>
      </c>
      <c r="AH55" s="428"/>
      <c r="AI55" s="428"/>
      <c r="AJ55" s="429"/>
      <c r="AM55" s="44"/>
      <c r="BF55" s="63" t="s">
        <v>664</v>
      </c>
      <c r="BG55" s="63" t="s">
        <v>674</v>
      </c>
      <c r="BH55" s="63" t="s">
        <v>848</v>
      </c>
      <c r="BI55" s="63">
        <v>138</v>
      </c>
      <c r="BJ55" s="63"/>
      <c r="BK55" s="63" t="s">
        <v>180</v>
      </c>
      <c r="BL55" s="63" t="s">
        <v>747</v>
      </c>
      <c r="BM55" s="63" t="s">
        <v>742</v>
      </c>
      <c r="BN55" s="63" t="s">
        <v>164</v>
      </c>
      <c r="BO55" s="63">
        <v>54</v>
      </c>
      <c r="BP55" s="63" t="s">
        <v>893</v>
      </c>
    </row>
    <row r="56" spans="1:68" ht="12.75" customHeight="1" x14ac:dyDescent="0.25">
      <c r="A56" s="423" t="s">
        <v>1193</v>
      </c>
      <c r="B56" s="423" t="s">
        <v>1194</v>
      </c>
      <c r="C56" s="423" t="s">
        <v>1195</v>
      </c>
      <c r="D56" s="423" t="s">
        <v>251</v>
      </c>
      <c r="E56" s="423" t="s">
        <v>816</v>
      </c>
      <c r="F56" s="423" t="s">
        <v>1189</v>
      </c>
      <c r="G56" s="423" t="s">
        <v>251</v>
      </c>
      <c r="H56" s="423" t="s">
        <v>1196</v>
      </c>
      <c r="I56" s="423" t="s">
        <v>1197</v>
      </c>
      <c r="J56" s="423"/>
      <c r="K56" s="424">
        <v>853</v>
      </c>
      <c r="L56" s="425">
        <v>15</v>
      </c>
      <c r="M56" s="426">
        <v>42456</v>
      </c>
      <c r="N56" s="423" t="s">
        <v>1183</v>
      </c>
      <c r="O56" s="423" t="s">
        <v>251</v>
      </c>
      <c r="P56" s="423">
        <v>2664</v>
      </c>
      <c r="Q56" s="425">
        <v>52890</v>
      </c>
      <c r="R56" s="423">
        <v>9.5812615050000005</v>
      </c>
      <c r="S56" s="423">
        <v>5.036868973340896E-2</v>
      </c>
      <c r="T56" s="423">
        <v>278.04271896866464</v>
      </c>
      <c r="U56" s="423" t="s">
        <v>160</v>
      </c>
      <c r="V56" s="423" t="s">
        <v>1184</v>
      </c>
      <c r="W56" s="423" t="s">
        <v>1192</v>
      </c>
      <c r="X56" s="423" t="s">
        <v>1185</v>
      </c>
      <c r="Y56" s="423" t="s">
        <v>163</v>
      </c>
      <c r="Z56" s="423" t="s">
        <v>134</v>
      </c>
      <c r="AA56" s="423">
        <v>1</v>
      </c>
      <c r="AB56" s="423" t="s">
        <v>149</v>
      </c>
      <c r="AC56" s="428" t="s">
        <v>1196</v>
      </c>
      <c r="AD56" s="428"/>
      <c r="AE56" s="428"/>
      <c r="AF56" s="428"/>
      <c r="AG56" s="428" t="s">
        <v>1292</v>
      </c>
      <c r="AH56" s="428"/>
      <c r="AI56" s="428"/>
      <c r="AJ56" s="429"/>
      <c r="AM56" s="44"/>
      <c r="BF56" s="63" t="s">
        <v>664</v>
      </c>
      <c r="BG56" s="63" t="s">
        <v>675</v>
      </c>
      <c r="BH56" s="63" t="s">
        <v>849</v>
      </c>
      <c r="BI56" s="63">
        <v>221</v>
      </c>
      <c r="BJ56" s="63"/>
      <c r="BK56" s="63" t="s">
        <v>180</v>
      </c>
      <c r="BL56" s="63" t="s">
        <v>747</v>
      </c>
      <c r="BM56" s="63" t="s">
        <v>745</v>
      </c>
      <c r="BN56" s="63" t="s">
        <v>164</v>
      </c>
      <c r="BO56" s="63">
        <v>55</v>
      </c>
      <c r="BP56" s="63" t="s">
        <v>893</v>
      </c>
    </row>
    <row r="57" spans="1:68" ht="12.75" customHeight="1" x14ac:dyDescent="0.25">
      <c r="A57" s="423" t="s">
        <v>1198</v>
      </c>
      <c r="B57" s="423" t="s">
        <v>1199</v>
      </c>
      <c r="C57" s="423" t="s">
        <v>1200</v>
      </c>
      <c r="D57" s="423" t="s">
        <v>251</v>
      </c>
      <c r="E57" s="423" t="s">
        <v>816</v>
      </c>
      <c r="F57" s="423" t="s">
        <v>1189</v>
      </c>
      <c r="G57" s="423" t="s">
        <v>251</v>
      </c>
      <c r="H57" s="423" t="s">
        <v>1201</v>
      </c>
      <c r="I57" s="423" t="s">
        <v>1202</v>
      </c>
      <c r="J57" s="423"/>
      <c r="K57" s="424">
        <v>851</v>
      </c>
      <c r="L57" s="425">
        <v>15</v>
      </c>
      <c r="M57" s="426">
        <v>42456</v>
      </c>
      <c r="N57" s="423" t="s">
        <v>1183</v>
      </c>
      <c r="O57" s="423" t="s">
        <v>251</v>
      </c>
      <c r="P57" s="423">
        <v>7052</v>
      </c>
      <c r="Q57" s="425">
        <v>141041</v>
      </c>
      <c r="R57" s="423">
        <v>25.550211834500001</v>
      </c>
      <c r="S57" s="423">
        <v>4.9999645493154471E-2</v>
      </c>
      <c r="T57" s="423">
        <v>276.00553943266368</v>
      </c>
      <c r="U57" s="423" t="s">
        <v>160</v>
      </c>
      <c r="V57" s="423" t="s">
        <v>1184</v>
      </c>
      <c r="W57" s="423" t="s">
        <v>1192</v>
      </c>
      <c r="X57" s="423" t="s">
        <v>1185</v>
      </c>
      <c r="Y57" s="423" t="s">
        <v>163</v>
      </c>
      <c r="Z57" s="423" t="s">
        <v>134</v>
      </c>
      <c r="AA57" s="423">
        <v>1</v>
      </c>
      <c r="AB57" s="423" t="s">
        <v>149</v>
      </c>
      <c r="AC57" s="428" t="s">
        <v>1201</v>
      </c>
      <c r="AD57" s="428"/>
      <c r="AE57" s="428"/>
      <c r="AF57" s="428"/>
      <c r="AG57" s="428" t="s">
        <v>1293</v>
      </c>
      <c r="AH57" s="428"/>
      <c r="AI57" s="428"/>
      <c r="AJ57" s="429"/>
      <c r="AM57" s="44"/>
      <c r="BF57" s="63" t="s">
        <v>664</v>
      </c>
      <c r="BG57" s="63" t="s">
        <v>676</v>
      </c>
      <c r="BH57" s="63" t="s">
        <v>850</v>
      </c>
      <c r="BI57" s="63">
        <v>276</v>
      </c>
      <c r="BJ57" s="63"/>
      <c r="BK57" s="63" t="s">
        <v>180</v>
      </c>
      <c r="BL57" s="63" t="s">
        <v>747</v>
      </c>
      <c r="BM57" s="63" t="s">
        <v>746</v>
      </c>
      <c r="BN57" s="63" t="s">
        <v>164</v>
      </c>
      <c r="BO57" s="63">
        <v>56</v>
      </c>
      <c r="BP57" s="63" t="s">
        <v>893</v>
      </c>
    </row>
    <row r="58" spans="1:68" ht="12.75" customHeight="1" x14ac:dyDescent="0.25">
      <c r="A58" s="423" t="s">
        <v>1203</v>
      </c>
      <c r="B58" s="423" t="s">
        <v>1204</v>
      </c>
      <c r="C58" s="423" t="s">
        <v>1205</v>
      </c>
      <c r="D58" s="423" t="s">
        <v>251</v>
      </c>
      <c r="E58" s="423" t="s">
        <v>816</v>
      </c>
      <c r="F58" s="423" t="s">
        <v>1189</v>
      </c>
      <c r="G58" s="423" t="s">
        <v>251</v>
      </c>
      <c r="H58" s="423" t="s">
        <v>1206</v>
      </c>
      <c r="I58" s="423" t="s">
        <v>1207</v>
      </c>
      <c r="J58" s="423"/>
      <c r="K58" s="424">
        <v>852</v>
      </c>
      <c r="L58" s="425">
        <v>15</v>
      </c>
      <c r="M58" s="426">
        <v>42456</v>
      </c>
      <c r="N58" s="423" t="s">
        <v>1183</v>
      </c>
      <c r="O58" s="423" t="s">
        <v>251</v>
      </c>
      <c r="P58" s="423">
        <v>14000</v>
      </c>
      <c r="Q58" s="425">
        <v>282081</v>
      </c>
      <c r="R58" s="423">
        <v>51.100242514500003</v>
      </c>
      <c r="S58" s="423">
        <v>4.9631134319574874E-2</v>
      </c>
      <c r="T58" s="423">
        <v>273.97130250462931</v>
      </c>
      <c r="U58" s="423" t="s">
        <v>160</v>
      </c>
      <c r="V58" s="423" t="s">
        <v>1184</v>
      </c>
      <c r="W58" s="423" t="s">
        <v>1192</v>
      </c>
      <c r="X58" s="423" t="s">
        <v>1185</v>
      </c>
      <c r="Y58" s="423" t="s">
        <v>163</v>
      </c>
      <c r="Z58" s="423" t="s">
        <v>134</v>
      </c>
      <c r="AA58" s="423">
        <v>1</v>
      </c>
      <c r="AB58" s="423" t="s">
        <v>149</v>
      </c>
      <c r="AC58" s="428" t="s">
        <v>1206</v>
      </c>
      <c r="AD58" s="428"/>
      <c r="AE58" s="428"/>
      <c r="AF58" s="428"/>
      <c r="AG58" s="428" t="s">
        <v>1294</v>
      </c>
      <c r="AH58" s="428"/>
      <c r="AI58" s="428"/>
      <c r="AJ58" s="429"/>
      <c r="AM58" s="44"/>
      <c r="BF58" s="63" t="s">
        <v>677</v>
      </c>
      <c r="BG58" s="63" t="s">
        <v>2250</v>
      </c>
      <c r="BH58" s="63" t="s">
        <v>2251</v>
      </c>
      <c r="BI58" s="63">
        <v>82</v>
      </c>
      <c r="BJ58" s="63"/>
      <c r="BK58" s="63" t="s">
        <v>180</v>
      </c>
      <c r="BL58" s="63" t="s">
        <v>744</v>
      </c>
      <c r="BM58" s="63" t="s">
        <v>746</v>
      </c>
      <c r="BN58" s="63" t="s">
        <v>164</v>
      </c>
      <c r="BO58" s="63">
        <v>57</v>
      </c>
      <c r="BP58" s="63" t="s">
        <v>2022</v>
      </c>
    </row>
    <row r="59" spans="1:68" ht="12.75" customHeight="1" x14ac:dyDescent="0.25">
      <c r="A59" s="423" t="s">
        <v>1208</v>
      </c>
      <c r="B59" s="424" t="s">
        <v>1209</v>
      </c>
      <c r="C59" s="423" t="s">
        <v>1210</v>
      </c>
      <c r="D59" s="423" t="s">
        <v>251</v>
      </c>
      <c r="E59" s="423" t="s">
        <v>816</v>
      </c>
      <c r="F59" s="423" t="s">
        <v>1189</v>
      </c>
      <c r="G59" s="423" t="s">
        <v>251</v>
      </c>
      <c r="H59" s="423" t="s">
        <v>1211</v>
      </c>
      <c r="I59" s="423" t="s">
        <v>1212</v>
      </c>
      <c r="J59" s="423"/>
      <c r="K59" s="424">
        <v>854</v>
      </c>
      <c r="L59" s="425">
        <v>15</v>
      </c>
      <c r="M59" s="426">
        <v>42456</v>
      </c>
      <c r="N59" s="423" t="s">
        <v>1183</v>
      </c>
      <c r="O59" s="423" t="s">
        <v>251</v>
      </c>
      <c r="P59" s="423">
        <v>21000</v>
      </c>
      <c r="Q59" s="425">
        <v>423122</v>
      </c>
      <c r="R59" s="423">
        <v>76.650454349</v>
      </c>
      <c r="S59" s="423">
        <v>4.9631075670846708E-2</v>
      </c>
      <c r="T59" s="423">
        <v>273.97097875485679</v>
      </c>
      <c r="U59" s="423" t="s">
        <v>160</v>
      </c>
      <c r="V59" s="423" t="s">
        <v>1184</v>
      </c>
      <c r="W59" s="423" t="s">
        <v>1192</v>
      </c>
      <c r="X59" s="423" t="s">
        <v>1185</v>
      </c>
      <c r="Y59" s="423" t="s">
        <v>163</v>
      </c>
      <c r="Z59" s="423" t="s">
        <v>134</v>
      </c>
      <c r="AA59" s="423">
        <v>1</v>
      </c>
      <c r="AB59" s="423" t="s">
        <v>149</v>
      </c>
      <c r="AC59" s="427" t="s">
        <v>1211</v>
      </c>
      <c r="AD59" s="427"/>
      <c r="AE59" s="427"/>
      <c r="AF59" s="427"/>
      <c r="AG59" s="427" t="s">
        <v>1295</v>
      </c>
      <c r="AH59" s="427"/>
      <c r="AI59" s="427"/>
      <c r="AJ59" s="427"/>
      <c r="AM59" s="44"/>
      <c r="BF59" s="63" t="s">
        <v>677</v>
      </c>
      <c r="BG59" s="63" t="s">
        <v>2252</v>
      </c>
      <c r="BH59" s="63" t="s">
        <v>2253</v>
      </c>
      <c r="BI59" s="63">
        <v>133</v>
      </c>
      <c r="BJ59" s="63"/>
      <c r="BK59" s="63" t="s">
        <v>180</v>
      </c>
      <c r="BL59" s="63" t="s">
        <v>744</v>
      </c>
      <c r="BM59" s="63" t="s">
        <v>746</v>
      </c>
      <c r="BN59" s="63" t="s">
        <v>164</v>
      </c>
      <c r="BO59" s="63">
        <v>58</v>
      </c>
      <c r="BP59" s="63" t="s">
        <v>2022</v>
      </c>
    </row>
    <row r="60" spans="1:68" ht="12.75" customHeight="1" x14ac:dyDescent="0.25">
      <c r="A60" s="423" t="s">
        <v>1213</v>
      </c>
      <c r="B60" s="424" t="s">
        <v>1214</v>
      </c>
      <c r="C60" s="423" t="s">
        <v>1215</v>
      </c>
      <c r="D60" s="423" t="s">
        <v>251</v>
      </c>
      <c r="E60" s="423" t="s">
        <v>979</v>
      </c>
      <c r="F60" s="423" t="s">
        <v>979</v>
      </c>
      <c r="G60" s="423" t="s">
        <v>251</v>
      </c>
      <c r="H60" s="423" t="s">
        <v>1216</v>
      </c>
      <c r="I60" s="423" t="s">
        <v>1216</v>
      </c>
      <c r="J60" s="423"/>
      <c r="K60" s="424">
        <v>3071</v>
      </c>
      <c r="L60" s="425">
        <v>15</v>
      </c>
      <c r="M60" s="426">
        <v>42456</v>
      </c>
      <c r="N60" s="423" t="s">
        <v>1183</v>
      </c>
      <c r="O60" s="423" t="s">
        <v>251</v>
      </c>
      <c r="P60" s="423">
        <v>90</v>
      </c>
      <c r="Q60" s="425">
        <v>1810</v>
      </c>
      <c r="R60" s="423">
        <v>0.32796029525500003</v>
      </c>
      <c r="S60" s="423">
        <v>4.9723756906077346E-2</v>
      </c>
      <c r="T60" s="423">
        <v>274.4234631513001</v>
      </c>
      <c r="U60" s="423" t="s">
        <v>160</v>
      </c>
      <c r="V60" s="423" t="s">
        <v>1184</v>
      </c>
      <c r="W60" s="423" t="s">
        <v>1192</v>
      </c>
      <c r="X60" s="423" t="s">
        <v>1185</v>
      </c>
      <c r="Y60" s="423" t="s">
        <v>163</v>
      </c>
      <c r="Z60" s="423" t="s">
        <v>134</v>
      </c>
      <c r="AA60" s="423">
        <v>1</v>
      </c>
      <c r="AB60" s="423" t="s">
        <v>149</v>
      </c>
      <c r="AC60" s="427" t="s">
        <v>1216</v>
      </c>
      <c r="AD60" s="427"/>
      <c r="AE60" s="427"/>
      <c r="AF60" s="427"/>
      <c r="AG60" s="427" t="s">
        <v>979</v>
      </c>
      <c r="AH60" s="427"/>
      <c r="AI60" s="427"/>
      <c r="AJ60" s="427"/>
      <c r="AM60" s="44"/>
      <c r="BF60" s="63" t="s">
        <v>677</v>
      </c>
      <c r="BG60" s="63" t="s">
        <v>2254</v>
      </c>
      <c r="BH60" s="63" t="s">
        <v>2255</v>
      </c>
      <c r="BI60" s="63">
        <v>263</v>
      </c>
      <c r="BJ60" s="63"/>
      <c r="BK60" s="63" t="s">
        <v>180</v>
      </c>
      <c r="BL60" s="63" t="s">
        <v>744</v>
      </c>
      <c r="BM60" s="63" t="s">
        <v>746</v>
      </c>
      <c r="BN60" s="63" t="s">
        <v>164</v>
      </c>
      <c r="BO60" s="63">
        <v>59</v>
      </c>
      <c r="BP60" s="63" t="s">
        <v>2022</v>
      </c>
    </row>
    <row r="61" spans="1:68" ht="12.75" customHeight="1" x14ac:dyDescent="0.25">
      <c r="A61" s="423" t="s">
        <v>1270</v>
      </c>
      <c r="B61" s="424" t="s">
        <v>1271</v>
      </c>
      <c r="C61" s="423" t="s">
        <v>1272</v>
      </c>
      <c r="D61" s="423" t="s">
        <v>595</v>
      </c>
      <c r="E61" s="423" t="s">
        <v>1273</v>
      </c>
      <c r="F61" s="423" t="s">
        <v>1273</v>
      </c>
      <c r="G61" s="423" t="s">
        <v>595</v>
      </c>
      <c r="H61" s="423" t="s">
        <v>1274</v>
      </c>
      <c r="I61" s="423" t="s">
        <v>1274</v>
      </c>
      <c r="J61" s="423"/>
      <c r="K61" s="424">
        <v>3070</v>
      </c>
      <c r="L61" s="425">
        <v>15</v>
      </c>
      <c r="M61" s="426">
        <v>42456</v>
      </c>
      <c r="N61" s="423" t="s">
        <v>1183</v>
      </c>
      <c r="O61" s="423" t="s">
        <v>595</v>
      </c>
      <c r="P61" s="423">
        <v>125</v>
      </c>
      <c r="Q61" s="425">
        <v>2511</v>
      </c>
      <c r="R61" s="423">
        <v>0.3463771329</v>
      </c>
      <c r="S61" s="423">
        <v>4.9780963759458383E-2</v>
      </c>
      <c r="T61" s="423">
        <v>360.87832633018485</v>
      </c>
      <c r="U61" s="423" t="s">
        <v>160</v>
      </c>
      <c r="V61" s="423" t="s">
        <v>1184</v>
      </c>
      <c r="W61" s="423" t="s">
        <v>1192</v>
      </c>
      <c r="X61" s="423" t="s">
        <v>1185</v>
      </c>
      <c r="Y61" s="423" t="s">
        <v>163</v>
      </c>
      <c r="Z61" s="423" t="s">
        <v>134</v>
      </c>
      <c r="AA61" s="423">
        <v>1</v>
      </c>
      <c r="AB61" s="423" t="s">
        <v>149</v>
      </c>
      <c r="AC61" s="427" t="s">
        <v>1274</v>
      </c>
      <c r="AD61" s="427"/>
      <c r="AE61" s="427"/>
      <c r="AF61" s="427"/>
      <c r="AG61" s="427" t="s">
        <v>1273</v>
      </c>
      <c r="AH61" s="427"/>
      <c r="AI61" s="427"/>
      <c r="AJ61" s="427"/>
      <c r="AM61" s="44"/>
      <c r="BF61" s="63" t="s">
        <v>677</v>
      </c>
      <c r="BG61" s="63" t="s">
        <v>678</v>
      </c>
      <c r="BH61" s="63" t="s">
        <v>851</v>
      </c>
      <c r="BI61" s="63">
        <v>125</v>
      </c>
      <c r="BJ61" s="63"/>
      <c r="BK61" s="63" t="s">
        <v>748</v>
      </c>
      <c r="BL61" s="63" t="s">
        <v>747</v>
      </c>
      <c r="BM61" s="63" t="s">
        <v>656</v>
      </c>
      <c r="BN61" s="63" t="s">
        <v>164</v>
      </c>
      <c r="BO61" s="63">
        <v>60</v>
      </c>
      <c r="BP61" s="63" t="s">
        <v>893</v>
      </c>
    </row>
    <row r="62" spans="1:68" ht="12.75" customHeight="1" x14ac:dyDescent="0.25">
      <c r="A62" s="423" t="s">
        <v>1830</v>
      </c>
      <c r="B62" s="424" t="s">
        <v>1831</v>
      </c>
      <c r="C62" s="423" t="s">
        <v>1832</v>
      </c>
      <c r="D62" s="423" t="s">
        <v>595</v>
      </c>
      <c r="E62" s="423" t="s">
        <v>1833</v>
      </c>
      <c r="F62" s="423" t="s">
        <v>1833</v>
      </c>
      <c r="G62" s="423" t="s">
        <v>595</v>
      </c>
      <c r="H62" s="423" t="s">
        <v>1826</v>
      </c>
      <c r="I62" s="423" t="s">
        <v>1826</v>
      </c>
      <c r="J62" s="423"/>
      <c r="K62" s="424">
        <v>3072</v>
      </c>
      <c r="L62" s="425">
        <v>10</v>
      </c>
      <c r="M62" s="426">
        <v>42456</v>
      </c>
      <c r="N62" s="423" t="s">
        <v>1183</v>
      </c>
      <c r="O62" s="423" t="s">
        <v>595</v>
      </c>
      <c r="P62" s="423">
        <v>30</v>
      </c>
      <c r="Q62" s="425">
        <v>602</v>
      </c>
      <c r="R62" s="423">
        <v>8.3027053970999992E-2</v>
      </c>
      <c r="S62" s="423">
        <v>4.9833887043189369E-2</v>
      </c>
      <c r="T62" s="423">
        <v>361.32800774165145</v>
      </c>
      <c r="U62" s="423" t="s">
        <v>160</v>
      </c>
      <c r="V62" s="423" t="s">
        <v>1184</v>
      </c>
      <c r="W62" s="423" t="s">
        <v>1192</v>
      </c>
      <c r="X62" s="423" t="s">
        <v>1185</v>
      </c>
      <c r="Y62" s="423" t="s">
        <v>163</v>
      </c>
      <c r="Z62" s="423" t="s">
        <v>134</v>
      </c>
      <c r="AA62" s="423">
        <v>1</v>
      </c>
      <c r="AB62" s="423" t="s">
        <v>1834</v>
      </c>
      <c r="AC62" s="427" t="s">
        <v>1826</v>
      </c>
      <c r="AD62" s="427"/>
      <c r="AE62" s="427"/>
      <c r="AF62" s="427"/>
      <c r="AG62" s="427" t="s">
        <v>1833</v>
      </c>
      <c r="AH62" s="427"/>
      <c r="AI62" s="427"/>
      <c r="AJ62" s="427"/>
      <c r="AM62" s="44"/>
      <c r="BF62" s="63" t="s">
        <v>677</v>
      </c>
      <c r="BG62" s="63" t="s">
        <v>679</v>
      </c>
      <c r="BH62" s="63" t="s">
        <v>852</v>
      </c>
      <c r="BI62" s="63">
        <v>227</v>
      </c>
      <c r="BJ62" s="63"/>
      <c r="BK62" s="63" t="s">
        <v>748</v>
      </c>
      <c r="BL62" s="63" t="s">
        <v>747</v>
      </c>
      <c r="BM62" s="63" t="s">
        <v>742</v>
      </c>
      <c r="BN62" s="63" t="s">
        <v>164</v>
      </c>
      <c r="BO62" s="63">
        <v>61</v>
      </c>
      <c r="BP62" s="63" t="s">
        <v>893</v>
      </c>
    </row>
    <row r="63" spans="1:68" ht="12.75" customHeight="1" x14ac:dyDescent="0.25">
      <c r="A63" s="423" t="s">
        <v>1217</v>
      </c>
      <c r="B63" s="424" t="s">
        <v>1218</v>
      </c>
      <c r="C63" s="423" t="s">
        <v>1219</v>
      </c>
      <c r="D63" s="423" t="s">
        <v>590</v>
      </c>
      <c r="E63" s="423" t="s">
        <v>1220</v>
      </c>
      <c r="F63" s="423" t="s">
        <v>1220</v>
      </c>
      <c r="G63" s="423" t="s">
        <v>590</v>
      </c>
      <c r="H63" s="423" t="s">
        <v>1221</v>
      </c>
      <c r="I63" s="423" t="s">
        <v>1221</v>
      </c>
      <c r="J63" s="423"/>
      <c r="K63" s="424">
        <v>675</v>
      </c>
      <c r="L63" s="425">
        <v>12</v>
      </c>
      <c r="M63" s="426">
        <v>42456</v>
      </c>
      <c r="N63" s="423" t="s">
        <v>1183</v>
      </c>
      <c r="O63" s="423" t="s">
        <v>590</v>
      </c>
      <c r="P63" s="423">
        <v>671</v>
      </c>
      <c r="Q63" s="425">
        <v>11188</v>
      </c>
      <c r="R63" s="423">
        <v>2.2364241412000001</v>
      </c>
      <c r="S63" s="423">
        <v>5.9974973185555953E-2</v>
      </c>
      <c r="T63" s="423">
        <v>300.03253302388379</v>
      </c>
      <c r="U63" s="423" t="s">
        <v>160</v>
      </c>
      <c r="V63" s="423" t="s">
        <v>1184</v>
      </c>
      <c r="W63" s="423" t="s">
        <v>1192</v>
      </c>
      <c r="X63" s="423" t="s">
        <v>1185</v>
      </c>
      <c r="Y63" s="423" t="s">
        <v>163</v>
      </c>
      <c r="Z63" s="423" t="s">
        <v>134</v>
      </c>
      <c r="AA63" s="423">
        <v>1</v>
      </c>
      <c r="AB63" s="423" t="s">
        <v>149</v>
      </c>
      <c r="AC63" s="427" t="s">
        <v>972</v>
      </c>
      <c r="AD63" s="427" t="s">
        <v>172</v>
      </c>
      <c r="AE63" s="427"/>
      <c r="AF63" s="427"/>
      <c r="AG63" s="427" t="s">
        <v>1287</v>
      </c>
      <c r="AH63" s="427" t="s">
        <v>172</v>
      </c>
      <c r="AI63" s="427"/>
      <c r="AJ63" s="427"/>
      <c r="AM63" s="44"/>
      <c r="BF63" s="63" t="s">
        <v>677</v>
      </c>
      <c r="BG63" s="63" t="s">
        <v>680</v>
      </c>
      <c r="BH63" s="63" t="s">
        <v>2030</v>
      </c>
      <c r="BI63" s="63">
        <v>352</v>
      </c>
      <c r="BJ63" s="63"/>
      <c r="BK63" s="63" t="s">
        <v>748</v>
      </c>
      <c r="BL63" s="63" t="s">
        <v>747</v>
      </c>
      <c r="BM63" s="63" t="s">
        <v>745</v>
      </c>
      <c r="BN63" s="63" t="s">
        <v>164</v>
      </c>
      <c r="BO63" s="63">
        <v>62</v>
      </c>
      <c r="BP63" s="63" t="s">
        <v>893</v>
      </c>
    </row>
    <row r="64" spans="1:68" ht="12.75" customHeight="1" x14ac:dyDescent="0.25">
      <c r="A64" s="423" t="s">
        <v>1222</v>
      </c>
      <c r="B64" s="424" t="s">
        <v>1223</v>
      </c>
      <c r="C64" s="423" t="s">
        <v>1224</v>
      </c>
      <c r="D64" s="423" t="s">
        <v>590</v>
      </c>
      <c r="E64" s="423" t="s">
        <v>1225</v>
      </c>
      <c r="F64" s="423" t="s">
        <v>1225</v>
      </c>
      <c r="G64" s="423" t="s">
        <v>590</v>
      </c>
      <c r="H64" s="423" t="s">
        <v>1221</v>
      </c>
      <c r="I64" s="423" t="s">
        <v>1221</v>
      </c>
      <c r="J64" s="423"/>
      <c r="K64" s="424">
        <v>676</v>
      </c>
      <c r="L64" s="425">
        <v>12</v>
      </c>
      <c r="M64" s="426">
        <v>42456</v>
      </c>
      <c r="N64" s="423" t="s">
        <v>1183</v>
      </c>
      <c r="O64" s="423" t="s">
        <v>590</v>
      </c>
      <c r="P64" s="423">
        <v>729</v>
      </c>
      <c r="Q64" s="425">
        <v>12159</v>
      </c>
      <c r="R64" s="423">
        <v>2.43056206808</v>
      </c>
      <c r="S64" s="423">
        <v>5.9955588452997782E-2</v>
      </c>
      <c r="T64" s="423">
        <v>299.93062492572625</v>
      </c>
      <c r="U64" s="423" t="s">
        <v>160</v>
      </c>
      <c r="V64" s="423" t="s">
        <v>1184</v>
      </c>
      <c r="W64" s="423" t="s">
        <v>1192</v>
      </c>
      <c r="X64" s="423" t="s">
        <v>1185</v>
      </c>
      <c r="Y64" s="423" t="s">
        <v>163</v>
      </c>
      <c r="Z64" s="423" t="s">
        <v>134</v>
      </c>
      <c r="AA64" s="423">
        <v>1</v>
      </c>
      <c r="AB64" s="423" t="s">
        <v>149</v>
      </c>
      <c r="AC64" s="427" t="s">
        <v>972</v>
      </c>
      <c r="AD64" s="427" t="s">
        <v>173</v>
      </c>
      <c r="AE64" s="427"/>
      <c r="AF64" s="427"/>
      <c r="AG64" s="427" t="s">
        <v>1288</v>
      </c>
      <c r="AH64" s="427" t="s">
        <v>173</v>
      </c>
      <c r="AI64" s="427"/>
      <c r="AJ64" s="427"/>
      <c r="AM64" s="44"/>
      <c r="BF64" s="63" t="s">
        <v>677</v>
      </c>
      <c r="BG64" s="63" t="s">
        <v>681</v>
      </c>
      <c r="BH64" s="63" t="s">
        <v>2031</v>
      </c>
      <c r="BI64" s="63">
        <v>454</v>
      </c>
      <c r="BJ64" s="63"/>
      <c r="BK64" s="63" t="s">
        <v>748</v>
      </c>
      <c r="BL64" s="63" t="s">
        <v>747</v>
      </c>
      <c r="BM64" s="63" t="s">
        <v>746</v>
      </c>
      <c r="BN64" s="63" t="s">
        <v>164</v>
      </c>
      <c r="BO64" s="63">
        <v>63</v>
      </c>
      <c r="BP64" s="63" t="s">
        <v>893</v>
      </c>
    </row>
    <row r="65" spans="1:68" ht="12.75" customHeight="1" x14ac:dyDescent="0.25">
      <c r="A65" s="423" t="s">
        <v>1226</v>
      </c>
      <c r="B65" s="424" t="s">
        <v>1227</v>
      </c>
      <c r="C65" s="423" t="s">
        <v>1228</v>
      </c>
      <c r="D65" s="423" t="s">
        <v>590</v>
      </c>
      <c r="E65" s="423" t="s">
        <v>1229</v>
      </c>
      <c r="F65" s="423" t="s">
        <v>1229</v>
      </c>
      <c r="G65" s="423" t="s">
        <v>590</v>
      </c>
      <c r="H65" s="423" t="s">
        <v>1221</v>
      </c>
      <c r="I65" s="423" t="s">
        <v>1221</v>
      </c>
      <c r="J65" s="423"/>
      <c r="K65" s="424">
        <v>677</v>
      </c>
      <c r="L65" s="425">
        <v>12</v>
      </c>
      <c r="M65" s="426">
        <v>42456</v>
      </c>
      <c r="N65" s="423" t="s">
        <v>1183</v>
      </c>
      <c r="O65" s="423" t="s">
        <v>590</v>
      </c>
      <c r="P65" s="423">
        <v>788</v>
      </c>
      <c r="Q65" s="425">
        <v>13139</v>
      </c>
      <c r="R65" s="423">
        <v>2.6263991016100001</v>
      </c>
      <c r="S65" s="423">
        <v>5.9974122840398811E-2</v>
      </c>
      <c r="T65" s="423">
        <v>300.03056257403938</v>
      </c>
      <c r="U65" s="423" t="s">
        <v>160</v>
      </c>
      <c r="V65" s="423" t="s">
        <v>1184</v>
      </c>
      <c r="W65" s="423" t="s">
        <v>1192</v>
      </c>
      <c r="X65" s="423" t="s">
        <v>1185</v>
      </c>
      <c r="Y65" s="423" t="s">
        <v>163</v>
      </c>
      <c r="Z65" s="423" t="s">
        <v>134</v>
      </c>
      <c r="AA65" s="423">
        <v>1</v>
      </c>
      <c r="AB65" s="423" t="s">
        <v>149</v>
      </c>
      <c r="AC65" s="427" t="s">
        <v>972</v>
      </c>
      <c r="AD65" s="427" t="s">
        <v>174</v>
      </c>
      <c r="AE65" s="427"/>
      <c r="AF65" s="427"/>
      <c r="AG65" s="427" t="s">
        <v>1289</v>
      </c>
      <c r="AH65" s="427" t="s">
        <v>174</v>
      </c>
      <c r="AI65" s="427"/>
      <c r="AJ65" s="427"/>
      <c r="AM65" s="44"/>
      <c r="BF65" s="63" t="s">
        <v>682</v>
      </c>
      <c r="BG65" s="63" t="s">
        <v>683</v>
      </c>
      <c r="BH65" s="63" t="s">
        <v>853</v>
      </c>
      <c r="BI65" s="63">
        <v>200</v>
      </c>
      <c r="BJ65" s="63"/>
      <c r="BK65" s="63" t="s">
        <v>749</v>
      </c>
      <c r="BL65" s="63" t="s">
        <v>747</v>
      </c>
      <c r="BM65" s="63" t="s">
        <v>656</v>
      </c>
      <c r="BN65" s="63" t="s">
        <v>164</v>
      </c>
      <c r="BO65" s="63">
        <v>64</v>
      </c>
      <c r="BP65" s="63" t="s">
        <v>893</v>
      </c>
    </row>
    <row r="66" spans="1:68" ht="12.75" customHeight="1" x14ac:dyDescent="0.25">
      <c r="A66" s="527" t="s">
        <v>1230</v>
      </c>
      <c r="B66" s="528" t="s">
        <v>1231</v>
      </c>
      <c r="C66" s="527" t="s">
        <v>1232</v>
      </c>
      <c r="D66" s="527" t="s">
        <v>590</v>
      </c>
      <c r="E66" s="527" t="s">
        <v>1233</v>
      </c>
      <c r="F66" s="527" t="s">
        <v>1233</v>
      </c>
      <c r="G66" s="527" t="s">
        <v>590</v>
      </c>
      <c r="H66" s="527" t="s">
        <v>1221</v>
      </c>
      <c r="I66" s="527" t="s">
        <v>1221</v>
      </c>
      <c r="J66" s="527"/>
      <c r="K66" s="528">
        <v>678</v>
      </c>
      <c r="L66" s="529">
        <v>12</v>
      </c>
      <c r="M66" s="530">
        <v>42456</v>
      </c>
      <c r="N66" s="527" t="s">
        <v>1183</v>
      </c>
      <c r="O66" s="531" t="s">
        <v>590</v>
      </c>
      <c r="P66" s="531">
        <v>910</v>
      </c>
      <c r="Q66" s="529">
        <v>15169</v>
      </c>
      <c r="R66" s="527">
        <v>3.0322856960599998</v>
      </c>
      <c r="S66" s="527">
        <v>5.9990770650669129E-2</v>
      </c>
      <c r="T66" s="527">
        <v>300.10364827509773</v>
      </c>
      <c r="U66" s="527" t="s">
        <v>160</v>
      </c>
      <c r="V66" s="527" t="s">
        <v>1184</v>
      </c>
      <c r="W66" s="527" t="s">
        <v>1192</v>
      </c>
      <c r="X66" s="527" t="s">
        <v>1185</v>
      </c>
      <c r="Y66" s="527" t="s">
        <v>163</v>
      </c>
      <c r="Z66" s="423" t="s">
        <v>134</v>
      </c>
      <c r="AA66" s="527">
        <v>1</v>
      </c>
      <c r="AB66" s="527" t="s">
        <v>149</v>
      </c>
      <c r="AC66" s="427" t="s">
        <v>972</v>
      </c>
      <c r="AD66" s="427" t="s">
        <v>175</v>
      </c>
      <c r="AE66" s="427"/>
      <c r="AF66" s="427"/>
      <c r="AG66" s="427" t="s">
        <v>1290</v>
      </c>
      <c r="AH66" s="427" t="s">
        <v>175</v>
      </c>
      <c r="AI66" s="427"/>
      <c r="AJ66" s="427"/>
      <c r="AM66" s="44"/>
      <c r="BF66" s="63" t="s">
        <v>682</v>
      </c>
      <c r="BG66" s="63" t="s">
        <v>684</v>
      </c>
      <c r="BH66" s="63" t="s">
        <v>854</v>
      </c>
      <c r="BI66" s="63">
        <v>390</v>
      </c>
      <c r="BJ66" s="63"/>
      <c r="BK66" s="63" t="s">
        <v>749</v>
      </c>
      <c r="BL66" s="63" t="s">
        <v>747</v>
      </c>
      <c r="BM66" s="63" t="s">
        <v>742</v>
      </c>
      <c r="BN66" s="63" t="s">
        <v>164</v>
      </c>
      <c r="BO66" s="63">
        <v>65</v>
      </c>
      <c r="BP66" s="63" t="s">
        <v>893</v>
      </c>
    </row>
    <row r="67" spans="1:68" ht="12.75" customHeight="1" x14ac:dyDescent="0.25">
      <c r="A67" s="527" t="s">
        <v>1234</v>
      </c>
      <c r="B67" s="528" t="s">
        <v>1235</v>
      </c>
      <c r="C67" s="527" t="s">
        <v>1236</v>
      </c>
      <c r="D67" s="527" t="s">
        <v>590</v>
      </c>
      <c r="E67" s="527" t="s">
        <v>1237</v>
      </c>
      <c r="F67" s="527" t="s">
        <v>1237</v>
      </c>
      <c r="G67" s="527" t="s">
        <v>590</v>
      </c>
      <c r="H67" s="527" t="s">
        <v>1221</v>
      </c>
      <c r="I67" s="527" t="s">
        <v>1221</v>
      </c>
      <c r="J67" s="527"/>
      <c r="K67" s="528">
        <v>679</v>
      </c>
      <c r="L67" s="529">
        <v>12</v>
      </c>
      <c r="M67" s="530">
        <v>42456</v>
      </c>
      <c r="N67" s="527" t="s">
        <v>1183</v>
      </c>
      <c r="O67" s="531" t="s">
        <v>590</v>
      </c>
      <c r="P67" s="531">
        <v>397</v>
      </c>
      <c r="Q67" s="529">
        <v>6624</v>
      </c>
      <c r="R67" s="527">
        <v>1.3241038176</v>
      </c>
      <c r="S67" s="527">
        <v>5.9933574879227056E-2</v>
      </c>
      <c r="T67" s="527">
        <v>299.82543266099862</v>
      </c>
      <c r="U67" s="527" t="s">
        <v>160</v>
      </c>
      <c r="V67" s="527" t="s">
        <v>1184</v>
      </c>
      <c r="W67" s="527" t="s">
        <v>1192</v>
      </c>
      <c r="X67" s="527" t="s">
        <v>1185</v>
      </c>
      <c r="Y67" s="527" t="s">
        <v>163</v>
      </c>
      <c r="Z67" s="423" t="s">
        <v>134</v>
      </c>
      <c r="AA67" s="527">
        <v>1</v>
      </c>
      <c r="AB67" s="527" t="s">
        <v>149</v>
      </c>
      <c r="AC67" s="427" t="s">
        <v>972</v>
      </c>
      <c r="AD67" s="427" t="s">
        <v>974</v>
      </c>
      <c r="AE67" s="427"/>
      <c r="AF67" s="427"/>
      <c r="AG67" s="427" t="s">
        <v>973</v>
      </c>
      <c r="AH67" s="427" t="s">
        <v>974</v>
      </c>
      <c r="AI67" s="427"/>
      <c r="AJ67" s="427"/>
      <c r="AM67" s="44"/>
      <c r="BF67" s="63" t="s">
        <v>682</v>
      </c>
      <c r="BG67" s="63" t="s">
        <v>685</v>
      </c>
      <c r="BH67" s="63" t="s">
        <v>855</v>
      </c>
      <c r="BI67" s="63">
        <v>590</v>
      </c>
      <c r="BJ67" s="63"/>
      <c r="BK67" s="63" t="s">
        <v>749</v>
      </c>
      <c r="BL67" s="63" t="s">
        <v>747</v>
      </c>
      <c r="BM67" s="63" t="s">
        <v>745</v>
      </c>
      <c r="BN67" s="63" t="s">
        <v>164</v>
      </c>
      <c r="BO67" s="63">
        <v>66</v>
      </c>
      <c r="BP67" s="63" t="s">
        <v>893</v>
      </c>
    </row>
    <row r="68" spans="1:68" ht="12.75" customHeight="1" x14ac:dyDescent="0.25">
      <c r="O68" s="226"/>
      <c r="P68" s="226"/>
      <c r="AM68" s="44"/>
      <c r="BF68" s="63" t="s">
        <v>682</v>
      </c>
      <c r="BG68" s="63" t="s">
        <v>657</v>
      </c>
      <c r="BH68" s="63" t="s">
        <v>2032</v>
      </c>
      <c r="BI68" s="63">
        <v>780</v>
      </c>
      <c r="BJ68" s="63"/>
      <c r="BK68" s="63" t="s">
        <v>749</v>
      </c>
      <c r="BL68" s="63" t="s">
        <v>747</v>
      </c>
      <c r="BM68" s="63" t="s">
        <v>746</v>
      </c>
      <c r="BN68" s="63" t="s">
        <v>164</v>
      </c>
      <c r="BO68" s="63">
        <v>67</v>
      </c>
      <c r="BP68" s="63" t="s">
        <v>893</v>
      </c>
    </row>
    <row r="69" spans="1:68" ht="12.75" customHeight="1" x14ac:dyDescent="0.25">
      <c r="O69" s="226"/>
      <c r="P69" s="226"/>
      <c r="AM69" s="44"/>
      <c r="BF69" s="63" t="s">
        <v>664</v>
      </c>
      <c r="BG69" s="63" t="s">
        <v>192</v>
      </c>
      <c r="BH69" s="63" t="s">
        <v>856</v>
      </c>
      <c r="BI69" s="63">
        <v>48</v>
      </c>
      <c r="BJ69" s="63"/>
      <c r="BK69" s="63" t="s">
        <v>180</v>
      </c>
      <c r="BL69" s="63" t="s">
        <v>744</v>
      </c>
      <c r="BM69" s="63" t="s">
        <v>656</v>
      </c>
      <c r="BN69" s="63" t="s">
        <v>164</v>
      </c>
      <c r="BO69" s="63">
        <v>68</v>
      </c>
      <c r="BP69" s="63" t="s">
        <v>893</v>
      </c>
    </row>
    <row r="70" spans="1:68" ht="12.75" customHeight="1" x14ac:dyDescent="0.25">
      <c r="O70" s="226"/>
      <c r="P70" s="226"/>
      <c r="AM70" s="44"/>
      <c r="BF70" s="63" t="s">
        <v>664</v>
      </c>
      <c r="BG70" s="63" t="s">
        <v>193</v>
      </c>
      <c r="BH70" s="63" t="s">
        <v>857</v>
      </c>
      <c r="BI70" s="63">
        <v>72</v>
      </c>
      <c r="BJ70" s="63"/>
      <c r="BK70" s="63" t="s">
        <v>180</v>
      </c>
      <c r="BL70" s="63" t="s">
        <v>744</v>
      </c>
      <c r="BM70" s="63" t="s">
        <v>742</v>
      </c>
      <c r="BN70" s="63" t="s">
        <v>164</v>
      </c>
      <c r="BO70" s="63">
        <v>69</v>
      </c>
      <c r="BP70" s="63" t="s">
        <v>893</v>
      </c>
    </row>
    <row r="71" spans="1:68" ht="12.75" customHeight="1" x14ac:dyDescent="0.25">
      <c r="O71" s="226"/>
      <c r="P71" s="226"/>
      <c r="AM71" s="44"/>
      <c r="BF71" s="63" t="s">
        <v>664</v>
      </c>
      <c r="BG71" s="63" t="s">
        <v>2033</v>
      </c>
      <c r="BH71" s="63" t="s">
        <v>2034</v>
      </c>
      <c r="BI71" s="63">
        <v>115</v>
      </c>
      <c r="BJ71" s="63"/>
      <c r="BK71" s="63" t="s">
        <v>180</v>
      </c>
      <c r="BL71" s="63" t="s">
        <v>744</v>
      </c>
      <c r="BM71" s="63" t="s">
        <v>745</v>
      </c>
      <c r="BN71" s="63" t="s">
        <v>164</v>
      </c>
      <c r="BO71" s="63">
        <v>70</v>
      </c>
      <c r="BP71" s="63" t="s">
        <v>894</v>
      </c>
    </row>
    <row r="72" spans="1:68" ht="12.75" customHeight="1" x14ac:dyDescent="0.25">
      <c r="O72" s="226"/>
      <c r="P72" s="226"/>
      <c r="AK72" s="167"/>
      <c r="AL72" s="167"/>
      <c r="AM72" s="44"/>
      <c r="BF72" s="63"/>
      <c r="BG72" s="63" t="s">
        <v>1402</v>
      </c>
      <c r="BH72" s="63"/>
      <c r="BI72" s="63" t="s">
        <v>845</v>
      </c>
      <c r="BJ72" s="63"/>
      <c r="BK72" s="63"/>
      <c r="BL72" s="63"/>
      <c r="BM72" s="63"/>
      <c r="BN72" s="63"/>
      <c r="BO72" s="63">
        <v>71</v>
      </c>
      <c r="BP72" s="63"/>
    </row>
    <row r="73" spans="1:68" ht="12.75" customHeight="1" x14ac:dyDescent="0.25">
      <c r="A73" s="222" t="s">
        <v>1168</v>
      </c>
      <c r="B73" s="222" t="s">
        <v>1169</v>
      </c>
      <c r="C73" s="222" t="s">
        <v>1170</v>
      </c>
      <c r="D73" s="222" t="s">
        <v>1171</v>
      </c>
      <c r="E73" s="222" t="s">
        <v>1172</v>
      </c>
      <c r="F73" s="222" t="s">
        <v>146</v>
      </c>
      <c r="G73" s="222" t="s">
        <v>1173</v>
      </c>
      <c r="H73" s="222" t="s">
        <v>1174</v>
      </c>
      <c r="I73" s="222" t="s">
        <v>147</v>
      </c>
      <c r="J73" s="222" t="s">
        <v>1175</v>
      </c>
      <c r="K73" s="223" t="s">
        <v>1176</v>
      </c>
      <c r="L73" s="224" t="s">
        <v>151</v>
      </c>
      <c r="M73" s="225" t="s">
        <v>1177</v>
      </c>
      <c r="N73" s="222" t="s">
        <v>159</v>
      </c>
      <c r="O73" s="222" t="s">
        <v>799</v>
      </c>
      <c r="P73" s="222" t="s">
        <v>150</v>
      </c>
      <c r="Q73" s="224" t="s">
        <v>153</v>
      </c>
      <c r="R73" s="222" t="s">
        <v>1178</v>
      </c>
      <c r="S73" s="222" t="s">
        <v>1179</v>
      </c>
      <c r="T73" s="222" t="s">
        <v>1180</v>
      </c>
      <c r="U73" s="222" t="s">
        <v>142</v>
      </c>
      <c r="V73" s="222" t="s">
        <v>0</v>
      </c>
      <c r="W73" s="222" t="s">
        <v>1181</v>
      </c>
      <c r="X73" s="222" t="s">
        <v>521</v>
      </c>
      <c r="Y73" s="222" t="s">
        <v>156</v>
      </c>
      <c r="Z73" s="222" t="s">
        <v>1074</v>
      </c>
      <c r="AA73" s="222" t="s">
        <v>1182</v>
      </c>
      <c r="AB73" s="222" t="s">
        <v>99</v>
      </c>
      <c r="AC73" s="29" t="s">
        <v>181</v>
      </c>
      <c r="AD73" s="29" t="s">
        <v>182</v>
      </c>
      <c r="AE73" s="29" t="s">
        <v>185</v>
      </c>
      <c r="AF73" s="29" t="s">
        <v>238</v>
      </c>
      <c r="AG73" s="29" t="s">
        <v>183</v>
      </c>
      <c r="AH73" s="29" t="s">
        <v>184</v>
      </c>
      <c r="AI73" s="29" t="s">
        <v>186</v>
      </c>
      <c r="AJ73" s="167" t="s">
        <v>971</v>
      </c>
      <c r="AK73" s="44"/>
      <c r="AL73" s="44"/>
      <c r="AM73" s="44"/>
      <c r="BF73" s="63" t="s">
        <v>686</v>
      </c>
      <c r="BG73" s="63" t="s">
        <v>687</v>
      </c>
      <c r="BH73" s="63" t="s">
        <v>858</v>
      </c>
      <c r="BI73" s="63">
        <v>16</v>
      </c>
      <c r="BJ73" s="63"/>
      <c r="BK73" s="63" t="s">
        <v>166</v>
      </c>
      <c r="BL73" s="63" t="s">
        <v>653</v>
      </c>
      <c r="BM73" s="63" t="s">
        <v>656</v>
      </c>
      <c r="BN73" s="63" t="s">
        <v>164</v>
      </c>
      <c r="BO73" s="63">
        <v>72</v>
      </c>
      <c r="BP73" s="63" t="s">
        <v>894</v>
      </c>
    </row>
    <row r="74" spans="1:68" ht="12.75" customHeight="1" x14ac:dyDescent="0.25">
      <c r="A74" s="231"/>
      <c r="B74" s="232"/>
      <c r="C74" s="231"/>
      <c r="D74" s="231"/>
      <c r="E74" s="231"/>
      <c r="F74" s="231"/>
      <c r="G74" s="231"/>
      <c r="H74" s="231"/>
      <c r="I74" s="231"/>
      <c r="J74" s="231"/>
      <c r="K74" s="232"/>
      <c r="L74" s="233"/>
      <c r="M74" s="234"/>
      <c r="N74" s="231"/>
      <c r="O74" s="231"/>
      <c r="P74" s="231"/>
      <c r="Q74" s="233"/>
      <c r="R74" s="231"/>
      <c r="S74" s="231"/>
      <c r="T74" s="231"/>
      <c r="U74" s="231"/>
      <c r="V74" s="231"/>
      <c r="W74" s="231"/>
      <c r="X74" s="231"/>
      <c r="Y74" s="231"/>
      <c r="AA74" s="231"/>
      <c r="AB74" s="231"/>
      <c r="AC74" s="231"/>
      <c r="AD74" s="44"/>
      <c r="AE74" s="44"/>
      <c r="AF74" s="44"/>
      <c r="AG74" s="231"/>
      <c r="AH74" s="44"/>
      <c r="AI74" s="44"/>
      <c r="AJ74" s="44"/>
      <c r="AK74" s="44"/>
      <c r="AL74" s="44"/>
      <c r="AM74" s="44"/>
      <c r="BF74" s="63" t="s">
        <v>686</v>
      </c>
      <c r="BG74" s="63" t="s">
        <v>688</v>
      </c>
      <c r="BH74" s="63" t="s">
        <v>859</v>
      </c>
      <c r="BI74" s="63">
        <v>32</v>
      </c>
      <c r="BJ74" s="63"/>
      <c r="BK74" s="63" t="s">
        <v>166</v>
      </c>
      <c r="BL74" s="63" t="s">
        <v>653</v>
      </c>
      <c r="BM74" s="63" t="s">
        <v>742</v>
      </c>
      <c r="BN74" s="63" t="s">
        <v>164</v>
      </c>
      <c r="BO74" s="63">
        <v>73</v>
      </c>
      <c r="BP74" s="63" t="s">
        <v>894</v>
      </c>
    </row>
    <row r="75" spans="1:68" ht="12.75" customHeight="1" x14ac:dyDescent="0.25">
      <c r="A75" s="231"/>
      <c r="B75" s="232"/>
      <c r="C75" s="231"/>
      <c r="D75" s="231"/>
      <c r="E75" s="231"/>
      <c r="F75" s="231"/>
      <c r="G75" s="231"/>
      <c r="H75" s="231"/>
      <c r="I75" s="231"/>
      <c r="J75" s="231"/>
      <c r="K75" s="232"/>
      <c r="L75" s="233"/>
      <c r="M75" s="234"/>
      <c r="N75" s="231"/>
      <c r="O75" s="231"/>
      <c r="P75" s="231"/>
      <c r="Q75" s="233"/>
      <c r="R75" s="231"/>
      <c r="S75" s="231"/>
      <c r="T75" s="231"/>
      <c r="U75" s="231"/>
      <c r="V75" s="231"/>
      <c r="W75" s="231"/>
      <c r="X75" s="231"/>
      <c r="Y75" s="231"/>
      <c r="AA75" s="231"/>
      <c r="AB75" s="231"/>
      <c r="AC75" s="231"/>
      <c r="AD75" s="44"/>
      <c r="AE75" s="44"/>
      <c r="AF75" s="44"/>
      <c r="AG75" s="231"/>
      <c r="AH75" s="44"/>
      <c r="AI75" s="44"/>
      <c r="AJ75" s="44"/>
      <c r="AK75" s="44"/>
      <c r="AL75" s="44"/>
      <c r="AM75" s="44"/>
      <c r="BF75" s="63" t="s">
        <v>686</v>
      </c>
      <c r="BG75" s="63" t="s">
        <v>2035</v>
      </c>
      <c r="BH75" s="63" t="s">
        <v>2036</v>
      </c>
      <c r="BI75" s="63">
        <v>48</v>
      </c>
      <c r="BJ75" s="63"/>
      <c r="BK75" s="63" t="s">
        <v>166</v>
      </c>
      <c r="BL75" s="63" t="s">
        <v>653</v>
      </c>
      <c r="BM75" s="63" t="s">
        <v>745</v>
      </c>
      <c r="BN75" s="63" t="s">
        <v>164</v>
      </c>
      <c r="BO75" s="63">
        <v>74</v>
      </c>
      <c r="BP75" s="63" t="s">
        <v>894</v>
      </c>
    </row>
    <row r="76" spans="1:68" ht="12.75" customHeight="1" x14ac:dyDescent="0.25">
      <c r="AC76" s="222"/>
      <c r="AD76" s="44"/>
      <c r="AE76" s="44"/>
      <c r="AF76" s="44"/>
      <c r="AG76" s="222"/>
      <c r="AH76" s="44"/>
      <c r="AI76" s="44"/>
      <c r="AJ76" s="44"/>
      <c r="AK76" s="44"/>
      <c r="AL76" s="44"/>
      <c r="AM76" s="44"/>
      <c r="BF76" s="63" t="s">
        <v>686</v>
      </c>
      <c r="BG76" s="63" t="s">
        <v>2037</v>
      </c>
      <c r="BH76" s="63" t="s">
        <v>2038</v>
      </c>
      <c r="BI76" s="63">
        <v>64</v>
      </c>
      <c r="BJ76" s="63"/>
      <c r="BK76" s="63" t="s">
        <v>166</v>
      </c>
      <c r="BL76" s="63" t="s">
        <v>653</v>
      </c>
      <c r="BM76" s="63" t="s">
        <v>746</v>
      </c>
      <c r="BN76" s="63" t="s">
        <v>164</v>
      </c>
      <c r="BO76" s="63">
        <v>75</v>
      </c>
      <c r="BP76" s="63" t="s">
        <v>894</v>
      </c>
    </row>
    <row r="77" spans="1:68" ht="12.75" customHeight="1" x14ac:dyDescent="0.25">
      <c r="AC77" s="222"/>
      <c r="AD77" s="44"/>
      <c r="AE77" s="44"/>
      <c r="AF77" s="44"/>
      <c r="AG77" s="222"/>
      <c r="AH77" s="44"/>
      <c r="AI77" s="44"/>
      <c r="AJ77" s="44"/>
      <c r="AK77" s="44"/>
      <c r="AL77" s="44"/>
      <c r="BF77" s="63" t="s">
        <v>686</v>
      </c>
      <c r="BG77" s="63" t="s">
        <v>689</v>
      </c>
      <c r="BH77" s="63" t="s">
        <v>2039</v>
      </c>
      <c r="BI77" s="63">
        <v>23</v>
      </c>
      <c r="BJ77" s="63"/>
      <c r="BK77" s="63" t="s">
        <v>166</v>
      </c>
      <c r="BL77" s="63" t="s">
        <v>743</v>
      </c>
      <c r="BM77" s="63" t="s">
        <v>656</v>
      </c>
      <c r="BN77" s="63" t="s">
        <v>164</v>
      </c>
      <c r="BO77" s="63">
        <v>76</v>
      </c>
      <c r="BP77" s="63" t="s">
        <v>894</v>
      </c>
    </row>
    <row r="78" spans="1:68" ht="12.75" customHeight="1" x14ac:dyDescent="0.25">
      <c r="AC78" s="222"/>
      <c r="AD78" s="44"/>
      <c r="AE78" s="44"/>
      <c r="AF78" s="44"/>
      <c r="AG78" s="222"/>
      <c r="AH78" s="44"/>
      <c r="AI78" s="44"/>
      <c r="AJ78" s="44"/>
      <c r="AK78" s="44"/>
      <c r="AL78" s="44"/>
      <c r="BF78" s="63" t="s">
        <v>686</v>
      </c>
      <c r="BG78" s="63" t="s">
        <v>690</v>
      </c>
      <c r="BH78" s="63" t="s">
        <v>2040</v>
      </c>
      <c r="BI78" s="63">
        <v>46</v>
      </c>
      <c r="BJ78" s="63"/>
      <c r="BK78" s="63" t="s">
        <v>166</v>
      </c>
      <c r="BL78" s="63" t="s">
        <v>743</v>
      </c>
      <c r="BM78" s="63" t="s">
        <v>742</v>
      </c>
      <c r="BN78" s="63" t="s">
        <v>164</v>
      </c>
      <c r="BO78" s="63">
        <v>77</v>
      </c>
      <c r="BP78" s="63" t="s">
        <v>894</v>
      </c>
    </row>
    <row r="79" spans="1:68" ht="12.75" customHeight="1" x14ac:dyDescent="0.25">
      <c r="AC79" s="222"/>
      <c r="AD79" s="44"/>
      <c r="AE79" s="44"/>
      <c r="AF79" s="44"/>
      <c r="AG79" s="222"/>
      <c r="AH79" s="44"/>
      <c r="AI79" s="44"/>
      <c r="AJ79" s="44"/>
      <c r="AK79" s="44"/>
      <c r="AL79" s="44"/>
      <c r="BF79" s="63" t="s">
        <v>686</v>
      </c>
      <c r="BG79" s="63" t="s">
        <v>2041</v>
      </c>
      <c r="BH79" s="63" t="s">
        <v>2042</v>
      </c>
      <c r="BI79" s="63">
        <v>69</v>
      </c>
      <c r="BJ79" s="63"/>
      <c r="BK79" s="63" t="s">
        <v>166</v>
      </c>
      <c r="BL79" s="63" t="s">
        <v>743</v>
      </c>
      <c r="BM79" s="63" t="s">
        <v>745</v>
      </c>
      <c r="BN79" s="63" t="s">
        <v>164</v>
      </c>
      <c r="BO79" s="63">
        <v>78</v>
      </c>
      <c r="BP79" s="63" t="s">
        <v>894</v>
      </c>
    </row>
    <row r="80" spans="1:68" ht="12.75" customHeight="1" x14ac:dyDescent="0.25">
      <c r="AC80" s="222"/>
      <c r="AD80" s="44"/>
      <c r="AE80" s="44"/>
      <c r="AF80" s="44"/>
      <c r="AG80" s="222"/>
      <c r="AH80" s="44"/>
      <c r="AI80" s="44"/>
      <c r="AJ80" s="44"/>
      <c r="AK80" s="44"/>
      <c r="AL80" s="44"/>
      <c r="BF80" s="63" t="s">
        <v>686</v>
      </c>
      <c r="BG80" s="63" t="s">
        <v>2043</v>
      </c>
      <c r="BH80" s="63" t="s">
        <v>2044</v>
      </c>
      <c r="BI80" s="63">
        <v>92</v>
      </c>
      <c r="BJ80" s="63"/>
      <c r="BK80" s="63" t="s">
        <v>166</v>
      </c>
      <c r="BL80" s="63" t="s">
        <v>743</v>
      </c>
      <c r="BM80" s="63" t="s">
        <v>746</v>
      </c>
      <c r="BN80" s="63" t="s">
        <v>164</v>
      </c>
      <c r="BO80" s="63">
        <v>79</v>
      </c>
      <c r="BP80" s="63" t="s">
        <v>894</v>
      </c>
    </row>
    <row r="81" spans="1:68" ht="12.75" customHeight="1" x14ac:dyDescent="0.25">
      <c r="AC81" s="222"/>
      <c r="AD81" s="44"/>
      <c r="AE81" s="44"/>
      <c r="AF81" s="44"/>
      <c r="AG81" s="222"/>
      <c r="AH81" s="44"/>
      <c r="AI81" s="44"/>
      <c r="AJ81" s="44"/>
      <c r="BF81" s="63" t="s">
        <v>686</v>
      </c>
      <c r="BG81" s="63" t="s">
        <v>691</v>
      </c>
      <c r="BH81" s="63" t="s">
        <v>194</v>
      </c>
      <c r="BI81" s="63">
        <v>32</v>
      </c>
      <c r="BJ81" s="63"/>
      <c r="BK81" s="63" t="s">
        <v>166</v>
      </c>
      <c r="BL81" s="63" t="s">
        <v>744</v>
      </c>
      <c r="BM81" s="63" t="s">
        <v>656</v>
      </c>
      <c r="BN81" s="63" t="s">
        <v>164</v>
      </c>
      <c r="BO81" s="63">
        <v>80</v>
      </c>
      <c r="BP81" s="63" t="s">
        <v>894</v>
      </c>
    </row>
    <row r="82" spans="1:68" ht="12.75" customHeight="1" x14ac:dyDescent="0.25">
      <c r="A82" s="231"/>
      <c r="B82" s="232"/>
      <c r="C82" s="231"/>
      <c r="D82" s="231"/>
      <c r="E82" s="231"/>
      <c r="F82" s="231"/>
      <c r="G82" s="231"/>
      <c r="H82" s="231"/>
      <c r="I82" s="231"/>
      <c r="J82" s="231"/>
      <c r="K82" s="232"/>
      <c r="L82" s="233"/>
      <c r="M82" s="234"/>
      <c r="N82" s="231"/>
      <c r="O82" s="235"/>
      <c r="P82" s="235"/>
      <c r="Q82" s="233"/>
      <c r="R82" s="231"/>
      <c r="S82" s="231"/>
      <c r="T82" s="231"/>
      <c r="U82" s="231"/>
      <c r="V82" s="231"/>
      <c r="W82" s="231"/>
      <c r="X82" s="231"/>
      <c r="Y82" s="231"/>
      <c r="Z82" s="231"/>
      <c r="AA82" s="231"/>
      <c r="AB82" s="231"/>
      <c r="AC82" s="44"/>
      <c r="AD82" s="44"/>
      <c r="BF82" s="63" t="s">
        <v>686</v>
      </c>
      <c r="BG82" s="63" t="s">
        <v>692</v>
      </c>
      <c r="BH82" s="63" t="s">
        <v>2045</v>
      </c>
      <c r="BI82" s="63">
        <v>59</v>
      </c>
      <c r="BJ82" s="63"/>
      <c r="BK82" s="63" t="s">
        <v>166</v>
      </c>
      <c r="BL82" s="63" t="s">
        <v>744</v>
      </c>
      <c r="BM82" s="63" t="s">
        <v>742</v>
      </c>
      <c r="BN82" s="63" t="s">
        <v>164</v>
      </c>
      <c r="BO82" s="63">
        <v>81</v>
      </c>
      <c r="BP82" s="63" t="s">
        <v>894</v>
      </c>
    </row>
    <row r="83" spans="1:68" ht="12.75" customHeight="1" x14ac:dyDescent="0.25">
      <c r="A83" s="231"/>
      <c r="B83" s="232"/>
      <c r="C83" s="231"/>
      <c r="D83" s="231"/>
      <c r="E83" s="231"/>
      <c r="F83" s="231"/>
      <c r="G83" s="231"/>
      <c r="H83" s="231"/>
      <c r="I83" s="231"/>
      <c r="J83" s="231"/>
      <c r="K83" s="232"/>
      <c r="L83" s="233"/>
      <c r="M83" s="234"/>
      <c r="N83" s="231"/>
      <c r="O83" s="235"/>
      <c r="P83" s="235"/>
      <c r="Q83" s="233"/>
      <c r="R83" s="231"/>
      <c r="S83" s="231"/>
      <c r="T83" s="231"/>
      <c r="U83" s="231"/>
      <c r="V83" s="231"/>
      <c r="W83" s="231"/>
      <c r="X83" s="231"/>
      <c r="Y83" s="231"/>
      <c r="Z83" s="231"/>
      <c r="AA83" s="231"/>
      <c r="AB83" s="231"/>
      <c r="AC83" s="44"/>
      <c r="AD83" s="44"/>
      <c r="AM83" s="44"/>
      <c r="BF83" s="63" t="s">
        <v>686</v>
      </c>
      <c r="BG83" s="63" t="s">
        <v>693</v>
      </c>
      <c r="BH83" s="63" t="s">
        <v>196</v>
      </c>
      <c r="BI83" s="63">
        <v>88</v>
      </c>
      <c r="BJ83" s="63"/>
      <c r="BK83" s="63" t="s">
        <v>166</v>
      </c>
      <c r="BL83" s="63" t="s">
        <v>744</v>
      </c>
      <c r="BM83" s="63" t="s">
        <v>745</v>
      </c>
      <c r="BN83" s="63" t="s">
        <v>164</v>
      </c>
      <c r="BO83" s="63">
        <v>82</v>
      </c>
      <c r="BP83" s="63" t="s">
        <v>894</v>
      </c>
    </row>
    <row r="84" spans="1:68" ht="12.75" customHeight="1" x14ac:dyDescent="0.25">
      <c r="O84" s="226"/>
      <c r="P84" s="226"/>
      <c r="AM84" s="44"/>
      <c r="BF84" s="63" t="s">
        <v>686</v>
      </c>
      <c r="BG84" s="63" t="s">
        <v>694</v>
      </c>
      <c r="BH84" s="63" t="s">
        <v>197</v>
      </c>
      <c r="BI84" s="63">
        <v>114</v>
      </c>
      <c r="BJ84" s="63"/>
      <c r="BK84" s="63" t="s">
        <v>166</v>
      </c>
      <c r="BL84" s="63" t="s">
        <v>744</v>
      </c>
      <c r="BM84" s="63" t="s">
        <v>746</v>
      </c>
      <c r="BN84" s="63" t="s">
        <v>164</v>
      </c>
      <c r="BO84" s="63">
        <v>83</v>
      </c>
      <c r="BP84" s="63" t="s">
        <v>894</v>
      </c>
    </row>
    <row r="85" spans="1:68" ht="12.75" customHeight="1" x14ac:dyDescent="0.25">
      <c r="O85" s="226"/>
      <c r="P85" s="226"/>
      <c r="AM85" s="44"/>
      <c r="BF85" s="63" t="s">
        <v>686</v>
      </c>
      <c r="BG85" s="63" t="s">
        <v>2046</v>
      </c>
      <c r="BH85" s="63" t="s">
        <v>2047</v>
      </c>
      <c r="BI85" s="63">
        <v>175</v>
      </c>
      <c r="BJ85" s="63"/>
      <c r="BK85" s="63" t="s">
        <v>166</v>
      </c>
      <c r="BL85" s="63" t="s">
        <v>744</v>
      </c>
      <c r="BM85" s="63" t="s">
        <v>752</v>
      </c>
      <c r="BN85" s="63" t="s">
        <v>164</v>
      </c>
      <c r="BO85" s="63">
        <v>84</v>
      </c>
      <c r="BP85" s="63" t="s">
        <v>894</v>
      </c>
    </row>
    <row r="86" spans="1:68" ht="12.75" customHeight="1" x14ac:dyDescent="0.25">
      <c r="O86" s="226"/>
      <c r="P86" s="226"/>
      <c r="AK86" s="167"/>
      <c r="AL86" s="167"/>
      <c r="AM86" s="44"/>
      <c r="BF86" s="63" t="s">
        <v>686</v>
      </c>
      <c r="BG86" s="63" t="s">
        <v>2048</v>
      </c>
      <c r="BH86" s="63" t="s">
        <v>2049</v>
      </c>
      <c r="BI86" s="63">
        <v>221</v>
      </c>
      <c r="BJ86" s="63"/>
      <c r="BK86" s="63" t="s">
        <v>166</v>
      </c>
      <c r="BL86" s="63" t="s">
        <v>744</v>
      </c>
      <c r="BM86" s="63" t="s">
        <v>752</v>
      </c>
      <c r="BN86" s="63" t="s">
        <v>164</v>
      </c>
      <c r="BO86" s="63">
        <v>85</v>
      </c>
      <c r="BP86" s="63" t="s">
        <v>893</v>
      </c>
    </row>
    <row r="87" spans="1:68" ht="12.75" customHeight="1" x14ac:dyDescent="0.25">
      <c r="A87" s="222" t="s">
        <v>1168</v>
      </c>
      <c r="B87" s="222" t="s">
        <v>1169</v>
      </c>
      <c r="C87" s="222" t="s">
        <v>1170</v>
      </c>
      <c r="D87" s="222" t="s">
        <v>1171</v>
      </c>
      <c r="E87" s="222" t="s">
        <v>1172</v>
      </c>
      <c r="F87" s="222" t="s">
        <v>146</v>
      </c>
      <c r="G87" s="222" t="s">
        <v>1173</v>
      </c>
      <c r="H87" s="222" t="s">
        <v>1174</v>
      </c>
      <c r="I87" s="222" t="s">
        <v>147</v>
      </c>
      <c r="J87" s="222" t="s">
        <v>1175</v>
      </c>
      <c r="K87" s="223" t="s">
        <v>1176</v>
      </c>
      <c r="L87" s="224" t="s">
        <v>151</v>
      </c>
      <c r="M87" s="225" t="s">
        <v>1177</v>
      </c>
      <c r="N87" s="222" t="s">
        <v>159</v>
      </c>
      <c r="O87" s="222" t="s">
        <v>799</v>
      </c>
      <c r="P87" s="222" t="s">
        <v>150</v>
      </c>
      <c r="Q87" s="224" t="s">
        <v>153</v>
      </c>
      <c r="R87" s="222" t="s">
        <v>1178</v>
      </c>
      <c r="S87" s="222" t="s">
        <v>1179</v>
      </c>
      <c r="T87" s="222" t="s">
        <v>1180</v>
      </c>
      <c r="U87" s="222" t="s">
        <v>142</v>
      </c>
      <c r="V87" s="222" t="s">
        <v>0</v>
      </c>
      <c r="W87" s="222" t="s">
        <v>1181</v>
      </c>
      <c r="X87" s="222" t="s">
        <v>521</v>
      </c>
      <c r="Y87" s="222" t="s">
        <v>156</v>
      </c>
      <c r="Z87" s="222" t="s">
        <v>1074</v>
      </c>
      <c r="AA87" s="222" t="s">
        <v>1182</v>
      </c>
      <c r="AB87" s="222" t="s">
        <v>99</v>
      </c>
      <c r="AC87" s="29" t="s">
        <v>181</v>
      </c>
      <c r="AD87" s="29" t="s">
        <v>182</v>
      </c>
      <c r="AE87" s="29" t="s">
        <v>185</v>
      </c>
      <c r="AF87" s="29" t="s">
        <v>238</v>
      </c>
      <c r="AG87" s="29" t="s">
        <v>183</v>
      </c>
      <c r="AH87" s="29" t="s">
        <v>184</v>
      </c>
      <c r="AI87" s="29" t="s">
        <v>186</v>
      </c>
      <c r="AJ87" s="167" t="s">
        <v>971</v>
      </c>
      <c r="AK87" s="44"/>
      <c r="AL87" s="44"/>
      <c r="AM87" s="44"/>
      <c r="BF87" s="63" t="s">
        <v>686</v>
      </c>
      <c r="BG87" s="63" t="s">
        <v>2050</v>
      </c>
      <c r="BH87" s="63" t="s">
        <v>2051</v>
      </c>
      <c r="BI87" s="63">
        <v>292</v>
      </c>
      <c r="BJ87" s="63"/>
      <c r="BK87" s="63" t="s">
        <v>166</v>
      </c>
      <c r="BL87" s="63" t="s">
        <v>744</v>
      </c>
      <c r="BM87" s="63" t="s">
        <v>753</v>
      </c>
      <c r="BN87" s="63" t="s">
        <v>164</v>
      </c>
      <c r="BO87" s="63">
        <v>86</v>
      </c>
      <c r="BP87" s="63" t="s">
        <v>893</v>
      </c>
    </row>
    <row r="88" spans="1:68" ht="12.75" customHeight="1" x14ac:dyDescent="0.25">
      <c r="AC88" s="44"/>
      <c r="AD88" s="44"/>
      <c r="AE88" s="44"/>
      <c r="AF88" s="44"/>
      <c r="AG88" s="44"/>
      <c r="AH88" s="44"/>
      <c r="AI88" s="44"/>
      <c r="AJ88" s="44"/>
      <c r="AK88" s="44"/>
      <c r="AL88" s="44"/>
      <c r="BF88" s="63" t="s">
        <v>686</v>
      </c>
      <c r="BG88" s="63" t="s">
        <v>2052</v>
      </c>
      <c r="BH88" s="63" t="s">
        <v>2053</v>
      </c>
      <c r="BI88" s="63">
        <v>39</v>
      </c>
      <c r="BJ88" s="63"/>
      <c r="BK88" s="63" t="s">
        <v>166</v>
      </c>
      <c r="BL88" s="63" t="s">
        <v>2021</v>
      </c>
      <c r="BM88" s="63" t="s">
        <v>656</v>
      </c>
      <c r="BN88" s="63" t="s">
        <v>164</v>
      </c>
      <c r="BO88" s="63">
        <v>87</v>
      </c>
      <c r="BP88" s="63" t="s">
        <v>2022</v>
      </c>
    </row>
    <row r="89" spans="1:68" ht="12.75" customHeight="1" x14ac:dyDescent="0.25">
      <c r="AC89" s="44"/>
      <c r="AD89" s="44"/>
      <c r="AE89" s="44"/>
      <c r="AF89" s="44"/>
      <c r="AG89" s="44"/>
      <c r="AH89" s="44"/>
      <c r="AI89" s="44"/>
      <c r="AJ89" s="44"/>
      <c r="AK89" s="44"/>
      <c r="AL89" s="44"/>
      <c r="BF89" s="63" t="s">
        <v>686</v>
      </c>
      <c r="BG89" s="63" t="s">
        <v>2054</v>
      </c>
      <c r="BH89" s="63" t="s">
        <v>2055</v>
      </c>
      <c r="BI89" s="63">
        <v>75</v>
      </c>
      <c r="BJ89" s="63"/>
      <c r="BK89" s="63" t="s">
        <v>166</v>
      </c>
      <c r="BL89" s="63" t="s">
        <v>2021</v>
      </c>
      <c r="BM89" s="63" t="s">
        <v>742</v>
      </c>
      <c r="BN89" s="63" t="s">
        <v>164</v>
      </c>
      <c r="BO89" s="63">
        <v>88</v>
      </c>
      <c r="BP89" s="63" t="s">
        <v>2022</v>
      </c>
    </row>
    <row r="90" spans="1:68" ht="12.75" customHeight="1" x14ac:dyDescent="0.25">
      <c r="AC90" s="44"/>
      <c r="AD90" s="44"/>
      <c r="AE90" s="44"/>
      <c r="AF90" s="44"/>
      <c r="AG90" s="44"/>
      <c r="AH90" s="44"/>
      <c r="AI90" s="44"/>
      <c r="AJ90" s="44"/>
      <c r="AK90" s="44"/>
      <c r="AL90" s="44"/>
      <c r="BF90" s="63" t="s">
        <v>686</v>
      </c>
      <c r="BG90" s="63" t="s">
        <v>2056</v>
      </c>
      <c r="BH90" s="63" t="s">
        <v>2057</v>
      </c>
      <c r="BI90" s="63">
        <v>107</v>
      </c>
      <c r="BJ90" s="63"/>
      <c r="BK90" s="63" t="s">
        <v>166</v>
      </c>
      <c r="BL90" s="63" t="s">
        <v>2021</v>
      </c>
      <c r="BM90" s="63" t="s">
        <v>745</v>
      </c>
      <c r="BN90" s="63" t="s">
        <v>164</v>
      </c>
      <c r="BO90" s="63">
        <v>89</v>
      </c>
      <c r="BP90" s="63" t="s">
        <v>2022</v>
      </c>
    </row>
    <row r="91" spans="1:68" ht="12.75" customHeight="1" x14ac:dyDescent="0.25">
      <c r="AC91" s="44"/>
      <c r="AD91" s="44"/>
      <c r="AE91" s="44"/>
      <c r="AF91" s="44"/>
      <c r="AG91" s="44"/>
      <c r="AH91" s="44"/>
      <c r="AI91" s="44"/>
      <c r="AJ91" s="44"/>
      <c r="AK91" s="44"/>
      <c r="AL91" s="44"/>
      <c r="BF91" s="63" t="s">
        <v>686</v>
      </c>
      <c r="BG91" s="63" t="s">
        <v>2058</v>
      </c>
      <c r="BH91" s="63" t="s">
        <v>2059</v>
      </c>
      <c r="BI91" s="63">
        <v>116</v>
      </c>
      <c r="BJ91" s="63"/>
      <c r="BK91" s="63" t="s">
        <v>166</v>
      </c>
      <c r="BL91" s="63" t="s">
        <v>2021</v>
      </c>
      <c r="BM91" s="63" t="s">
        <v>746</v>
      </c>
      <c r="BN91" s="63" t="s">
        <v>164</v>
      </c>
      <c r="BO91" s="63">
        <v>90</v>
      </c>
      <c r="BP91" s="63" t="s">
        <v>2022</v>
      </c>
    </row>
    <row r="92" spans="1:68" ht="12.75" customHeight="1" x14ac:dyDescent="0.25">
      <c r="AC92" s="44"/>
      <c r="AD92" s="44"/>
      <c r="AE92" s="44"/>
      <c r="AF92" s="44"/>
      <c r="AG92" s="44"/>
      <c r="AH92" s="44"/>
      <c r="AI92" s="44"/>
      <c r="AJ92" s="44"/>
      <c r="BF92" s="63" t="s">
        <v>686</v>
      </c>
      <c r="BG92" s="63" t="s">
        <v>2060</v>
      </c>
      <c r="BH92" s="63" t="s">
        <v>2061</v>
      </c>
      <c r="BI92" s="63">
        <v>50</v>
      </c>
      <c r="BJ92" s="63"/>
      <c r="BK92" s="63" t="s">
        <v>166</v>
      </c>
      <c r="BL92" s="63" t="s">
        <v>2027</v>
      </c>
      <c r="BM92" s="63" t="s">
        <v>656</v>
      </c>
      <c r="BN92" s="63" t="s">
        <v>164</v>
      </c>
      <c r="BO92" s="63">
        <v>91</v>
      </c>
      <c r="BP92" s="63" t="s">
        <v>2022</v>
      </c>
    </row>
    <row r="93" spans="1:68" ht="12.75" customHeight="1" x14ac:dyDescent="0.25">
      <c r="A93" s="231"/>
      <c r="B93" s="232"/>
      <c r="C93" s="231"/>
      <c r="D93" s="231"/>
      <c r="E93" s="231"/>
      <c r="F93" s="231"/>
      <c r="G93" s="231"/>
      <c r="H93" s="231"/>
      <c r="I93" s="231"/>
      <c r="J93" s="231"/>
      <c r="K93" s="232"/>
      <c r="L93" s="233"/>
      <c r="M93" s="234"/>
      <c r="N93" s="231"/>
      <c r="O93" s="231"/>
      <c r="P93" s="231"/>
      <c r="Q93" s="233"/>
      <c r="R93" s="231"/>
      <c r="S93" s="231"/>
      <c r="T93" s="231"/>
      <c r="U93" s="231"/>
      <c r="V93" s="231"/>
      <c r="W93" s="231"/>
      <c r="X93" s="231"/>
      <c r="Y93" s="231"/>
      <c r="Z93" s="231"/>
      <c r="AA93" s="231"/>
      <c r="AB93" s="231"/>
      <c r="AC93" s="44"/>
      <c r="AD93" s="44"/>
      <c r="BF93" s="63" t="s">
        <v>686</v>
      </c>
      <c r="BG93" s="63" t="s">
        <v>2062</v>
      </c>
      <c r="BH93" s="63" t="s">
        <v>2063</v>
      </c>
      <c r="BI93" s="63">
        <v>88</v>
      </c>
      <c r="BJ93" s="63"/>
      <c r="BK93" s="63" t="s">
        <v>166</v>
      </c>
      <c r="BL93" s="63" t="s">
        <v>2027</v>
      </c>
      <c r="BM93" s="63" t="s">
        <v>742</v>
      </c>
      <c r="BN93" s="63" t="s">
        <v>164</v>
      </c>
      <c r="BO93" s="63">
        <v>92</v>
      </c>
      <c r="BP93" s="63" t="s">
        <v>2022</v>
      </c>
    </row>
    <row r="94" spans="1:68" ht="12.75" customHeight="1" x14ac:dyDescent="0.25">
      <c r="A94" s="231"/>
      <c r="B94" s="232"/>
      <c r="C94" s="231"/>
      <c r="D94" s="231"/>
      <c r="E94" s="231"/>
      <c r="F94" s="231"/>
      <c r="G94" s="231"/>
      <c r="H94" s="231"/>
      <c r="I94" s="231"/>
      <c r="J94" s="231"/>
      <c r="K94" s="232"/>
      <c r="L94" s="233"/>
      <c r="M94" s="234"/>
      <c r="N94" s="231"/>
      <c r="O94" s="231"/>
      <c r="P94" s="231"/>
      <c r="Q94" s="233"/>
      <c r="R94" s="231"/>
      <c r="S94" s="231"/>
      <c r="T94" s="231"/>
      <c r="U94" s="231"/>
      <c r="V94" s="231"/>
      <c r="W94" s="231"/>
      <c r="X94" s="231"/>
      <c r="Y94" s="231"/>
      <c r="Z94" s="231"/>
      <c r="AA94" s="231"/>
      <c r="AB94" s="231"/>
      <c r="AC94" s="44"/>
      <c r="AD94" s="44"/>
      <c r="BF94" s="63" t="s">
        <v>686</v>
      </c>
      <c r="BG94" s="63" t="s">
        <v>695</v>
      </c>
      <c r="BH94" s="63" t="s">
        <v>860</v>
      </c>
      <c r="BI94" s="63">
        <v>62</v>
      </c>
      <c r="BJ94" s="63"/>
      <c r="BK94" s="63" t="s">
        <v>166</v>
      </c>
      <c r="BL94" s="63" t="s">
        <v>747</v>
      </c>
      <c r="BM94" s="63" t="s">
        <v>656</v>
      </c>
      <c r="BN94" s="63" t="s">
        <v>164</v>
      </c>
      <c r="BO94" s="63">
        <v>93</v>
      </c>
      <c r="BP94" s="63" t="s">
        <v>894</v>
      </c>
    </row>
    <row r="95" spans="1:68" ht="12.75" customHeight="1" x14ac:dyDescent="0.25">
      <c r="AC95" s="44"/>
      <c r="AD95" s="44"/>
      <c r="BF95" s="63" t="s">
        <v>686</v>
      </c>
      <c r="BG95" s="63" t="s">
        <v>696</v>
      </c>
      <c r="BH95" s="63" t="s">
        <v>861</v>
      </c>
      <c r="BI95" s="63">
        <v>124</v>
      </c>
      <c r="BJ95" s="63"/>
      <c r="BK95" s="63" t="s">
        <v>166</v>
      </c>
      <c r="BL95" s="63" t="s">
        <v>747</v>
      </c>
      <c r="BM95" s="63" t="s">
        <v>742</v>
      </c>
      <c r="BN95" s="63" t="s">
        <v>164</v>
      </c>
      <c r="BO95" s="63">
        <v>94</v>
      </c>
      <c r="BP95" s="63" t="s">
        <v>894</v>
      </c>
    </row>
    <row r="96" spans="1:68" ht="12.75" customHeight="1" x14ac:dyDescent="0.25">
      <c r="BF96" s="63" t="s">
        <v>686</v>
      </c>
      <c r="BG96" s="63" t="s">
        <v>697</v>
      </c>
      <c r="BH96" s="63" t="s">
        <v>862</v>
      </c>
      <c r="BI96" s="63">
        <v>186</v>
      </c>
      <c r="BJ96" s="63"/>
      <c r="BK96" s="63" t="s">
        <v>166</v>
      </c>
      <c r="BL96" s="63" t="s">
        <v>747</v>
      </c>
      <c r="BM96" s="63" t="s">
        <v>745</v>
      </c>
      <c r="BN96" s="63" t="s">
        <v>164</v>
      </c>
      <c r="BO96" s="63">
        <v>95</v>
      </c>
      <c r="BP96" s="63" t="s">
        <v>894</v>
      </c>
    </row>
    <row r="97" spans="1:68" ht="12.75" customHeight="1" x14ac:dyDescent="0.25">
      <c r="BF97" s="63" t="s">
        <v>686</v>
      </c>
      <c r="BG97" s="63" t="s">
        <v>698</v>
      </c>
      <c r="BH97" s="63" t="s">
        <v>863</v>
      </c>
      <c r="BI97" s="63">
        <v>248</v>
      </c>
      <c r="BJ97" s="63"/>
      <c r="BK97" s="63" t="s">
        <v>166</v>
      </c>
      <c r="BL97" s="63" t="s">
        <v>747</v>
      </c>
      <c r="BM97" s="63" t="s">
        <v>746</v>
      </c>
      <c r="BN97" s="63" t="s">
        <v>164</v>
      </c>
      <c r="BO97" s="63">
        <v>96</v>
      </c>
      <c r="BP97" s="63" t="s">
        <v>894</v>
      </c>
    </row>
    <row r="98" spans="1:68" ht="12.75" customHeight="1" x14ac:dyDescent="0.25">
      <c r="BF98" s="63" t="s">
        <v>686</v>
      </c>
      <c r="BG98" s="63" t="s">
        <v>2064</v>
      </c>
      <c r="BH98" s="63" t="s">
        <v>2065</v>
      </c>
      <c r="BI98" s="63">
        <v>328</v>
      </c>
      <c r="BJ98" s="63"/>
      <c r="BK98" s="63" t="s">
        <v>166</v>
      </c>
      <c r="BL98" s="63" t="s">
        <v>747</v>
      </c>
      <c r="BM98" s="63" t="s">
        <v>2018</v>
      </c>
      <c r="BN98" s="63" t="s">
        <v>164</v>
      </c>
      <c r="BO98" s="63">
        <v>97</v>
      </c>
      <c r="BP98" s="63" t="s">
        <v>894</v>
      </c>
    </row>
    <row r="99" spans="1:68" ht="12.75" customHeight="1" x14ac:dyDescent="0.25">
      <c r="A99" s="236" t="s">
        <v>140</v>
      </c>
      <c r="B99" s="237" t="s">
        <v>141</v>
      </c>
      <c r="C99" s="236" t="s">
        <v>0</v>
      </c>
      <c r="D99" s="236" t="s">
        <v>142</v>
      </c>
      <c r="E99" s="236" t="s">
        <v>143</v>
      </c>
      <c r="F99" s="236" t="s">
        <v>144</v>
      </c>
      <c r="G99" s="236" t="s">
        <v>145</v>
      </c>
      <c r="H99" s="236" t="s">
        <v>146</v>
      </c>
      <c r="I99" s="236" t="s">
        <v>147</v>
      </c>
      <c r="J99" s="236" t="s">
        <v>148</v>
      </c>
      <c r="K99" s="237" t="s">
        <v>149</v>
      </c>
      <c r="L99" s="238" t="s">
        <v>150</v>
      </c>
      <c r="M99" s="239" t="s">
        <v>151</v>
      </c>
      <c r="N99" s="236" t="s">
        <v>152</v>
      </c>
      <c r="O99" s="236" t="s">
        <v>176</v>
      </c>
      <c r="P99" s="222" t="s">
        <v>177</v>
      </c>
      <c r="Q99" s="238" t="s">
        <v>155</v>
      </c>
      <c r="R99" s="236" t="s">
        <v>156</v>
      </c>
      <c r="S99" s="236" t="s">
        <v>157</v>
      </c>
      <c r="T99" s="236" t="s">
        <v>158</v>
      </c>
      <c r="U99" s="236" t="s">
        <v>159</v>
      </c>
      <c r="V99" s="236" t="s">
        <v>181</v>
      </c>
      <c r="W99" s="236" t="s">
        <v>182</v>
      </c>
      <c r="X99" s="236" t="s">
        <v>185</v>
      </c>
      <c r="Y99" s="236" t="s">
        <v>238</v>
      </c>
      <c r="Z99" s="236" t="s">
        <v>183</v>
      </c>
      <c r="AA99" s="236" t="s">
        <v>184</v>
      </c>
      <c r="AB99" s="236" t="s">
        <v>186</v>
      </c>
      <c r="AC99" s="167" t="s">
        <v>971</v>
      </c>
      <c r="BF99" s="63" t="s">
        <v>699</v>
      </c>
      <c r="BG99" s="63" t="s">
        <v>700</v>
      </c>
      <c r="BH99" s="63" t="s">
        <v>864</v>
      </c>
      <c r="BI99" s="63">
        <v>85</v>
      </c>
      <c r="BJ99" s="63"/>
      <c r="BK99" s="63" t="s">
        <v>751</v>
      </c>
      <c r="BL99" s="63" t="s">
        <v>747</v>
      </c>
      <c r="BM99" s="63" t="s">
        <v>656</v>
      </c>
      <c r="BN99" s="63" t="s">
        <v>164</v>
      </c>
      <c r="BO99" s="63">
        <v>98</v>
      </c>
      <c r="BP99" s="63" t="s">
        <v>894</v>
      </c>
    </row>
    <row r="100" spans="1:68" ht="12.75" customHeight="1" x14ac:dyDescent="0.25">
      <c r="A100" s="231"/>
      <c r="B100" s="232"/>
      <c r="C100" s="231"/>
      <c r="D100" s="231"/>
      <c r="E100" s="231"/>
      <c r="F100" s="231"/>
      <c r="G100" s="231"/>
      <c r="H100" s="231"/>
      <c r="I100" s="231"/>
      <c r="J100" s="231"/>
      <c r="K100" s="232"/>
      <c r="L100" s="233"/>
      <c r="M100" s="234"/>
      <c r="N100" s="231"/>
      <c r="O100" s="235"/>
      <c r="P100" s="231"/>
      <c r="Q100" s="233"/>
      <c r="R100" s="231"/>
      <c r="S100" s="231"/>
      <c r="T100" s="231"/>
      <c r="U100" s="231"/>
      <c r="V100" s="231"/>
      <c r="W100" s="231"/>
      <c r="X100" s="231"/>
      <c r="Y100" s="231"/>
      <c r="Z100" s="231"/>
      <c r="AA100" s="231"/>
      <c r="AB100" s="231"/>
      <c r="AC100" s="44"/>
      <c r="AD100" s="44"/>
      <c r="BF100" s="63" t="s">
        <v>699</v>
      </c>
      <c r="BG100" s="63" t="s">
        <v>701</v>
      </c>
      <c r="BH100" s="63" t="s">
        <v>865</v>
      </c>
      <c r="BI100" s="63">
        <v>160</v>
      </c>
      <c r="BJ100" s="63"/>
      <c r="BK100" s="63" t="s">
        <v>751</v>
      </c>
      <c r="BL100" s="63" t="s">
        <v>747</v>
      </c>
      <c r="BM100" s="63" t="s">
        <v>742</v>
      </c>
      <c r="BN100" s="63" t="s">
        <v>164</v>
      </c>
      <c r="BO100" s="63">
        <v>99</v>
      </c>
      <c r="BP100" s="63" t="s">
        <v>894</v>
      </c>
    </row>
    <row r="101" spans="1:68" ht="12.75" customHeight="1" x14ac:dyDescent="0.25">
      <c r="A101" s="231"/>
      <c r="B101" s="232"/>
      <c r="C101" s="231"/>
      <c r="D101" s="231"/>
      <c r="E101" s="231"/>
      <c r="F101" s="231"/>
      <c r="G101" s="231"/>
      <c r="H101" s="231"/>
      <c r="I101" s="231"/>
      <c r="J101" s="231"/>
      <c r="K101" s="232"/>
      <c r="L101" s="233"/>
      <c r="M101" s="234"/>
      <c r="N101" s="231"/>
      <c r="O101" s="235"/>
      <c r="P101" s="231"/>
      <c r="Q101" s="233"/>
      <c r="R101" s="231"/>
      <c r="S101" s="231"/>
      <c r="T101" s="231"/>
      <c r="U101" s="231"/>
      <c r="V101" s="231"/>
      <c r="W101" s="231"/>
      <c r="X101" s="231"/>
      <c r="Y101" s="231"/>
      <c r="Z101" s="231"/>
      <c r="AA101" s="231"/>
      <c r="AB101" s="231"/>
      <c r="AC101" s="44"/>
      <c r="AD101" s="44"/>
      <c r="BF101" s="63" t="s">
        <v>699</v>
      </c>
      <c r="BG101" s="63" t="s">
        <v>702</v>
      </c>
      <c r="BH101" s="63" t="s">
        <v>866</v>
      </c>
      <c r="BI101" s="63">
        <v>285</v>
      </c>
      <c r="BJ101" s="63"/>
      <c r="BK101" s="63" t="s">
        <v>751</v>
      </c>
      <c r="BL101" s="63" t="s">
        <v>747</v>
      </c>
      <c r="BM101" s="63" t="s">
        <v>745</v>
      </c>
      <c r="BN101" s="63" t="s">
        <v>164</v>
      </c>
      <c r="BO101" s="63">
        <v>100</v>
      </c>
      <c r="BP101" s="63" t="s">
        <v>906</v>
      </c>
    </row>
    <row r="102" spans="1:68" ht="12.75" customHeight="1" x14ac:dyDescent="0.25">
      <c r="A102" s="231"/>
      <c r="B102" s="232"/>
      <c r="C102" s="231"/>
      <c r="D102" s="231"/>
      <c r="E102" s="231"/>
      <c r="F102" s="231"/>
      <c r="G102" s="231"/>
      <c r="H102" s="231"/>
      <c r="I102" s="231"/>
      <c r="J102" s="231"/>
      <c r="K102" s="232"/>
      <c r="L102" s="233"/>
      <c r="M102" s="234"/>
      <c r="N102" s="231"/>
      <c r="O102" s="235"/>
      <c r="P102" s="231"/>
      <c r="Q102" s="233"/>
      <c r="R102" s="231"/>
      <c r="S102" s="231"/>
      <c r="T102" s="231"/>
      <c r="U102" s="231"/>
      <c r="V102" s="231"/>
      <c r="W102" s="231"/>
      <c r="X102" s="231"/>
      <c r="Y102" s="231"/>
      <c r="Z102" s="231"/>
      <c r="AA102" s="231"/>
      <c r="AB102" s="231"/>
      <c r="AC102" s="44"/>
      <c r="AD102" s="44"/>
      <c r="BF102" s="63" t="s">
        <v>699</v>
      </c>
      <c r="BG102" s="63" t="s">
        <v>703</v>
      </c>
      <c r="BH102" s="63" t="s">
        <v>867</v>
      </c>
      <c r="BI102" s="63">
        <v>320</v>
      </c>
      <c r="BJ102" s="63"/>
      <c r="BK102" s="63" t="s">
        <v>751</v>
      </c>
      <c r="BL102" s="63" t="s">
        <v>747</v>
      </c>
      <c r="BM102" s="63" t="s">
        <v>746</v>
      </c>
      <c r="BN102" s="63" t="s">
        <v>164</v>
      </c>
      <c r="BO102" s="63">
        <v>101</v>
      </c>
      <c r="BP102" s="63" t="s">
        <v>894</v>
      </c>
    </row>
    <row r="103" spans="1:68" ht="12.75" customHeight="1" x14ac:dyDescent="0.25">
      <c r="A103" s="231"/>
      <c r="B103" s="232"/>
      <c r="C103" s="231"/>
      <c r="D103" s="231"/>
      <c r="E103" s="231"/>
      <c r="F103" s="231"/>
      <c r="G103" s="231"/>
      <c r="H103" s="231"/>
      <c r="I103" s="231"/>
      <c r="J103" s="231"/>
      <c r="K103" s="232"/>
      <c r="L103" s="233"/>
      <c r="M103" s="234"/>
      <c r="N103" s="231"/>
      <c r="O103" s="235"/>
      <c r="P103" s="231"/>
      <c r="Q103" s="233"/>
      <c r="R103" s="231"/>
      <c r="S103" s="231"/>
      <c r="T103" s="231"/>
      <c r="U103" s="231"/>
      <c r="V103" s="231"/>
      <c r="W103" s="231"/>
      <c r="X103" s="231"/>
      <c r="Y103" s="231"/>
      <c r="Z103" s="231"/>
      <c r="AA103" s="231"/>
      <c r="AB103" s="231"/>
      <c r="AC103" s="44"/>
      <c r="AD103" s="44"/>
      <c r="BF103" s="63" t="s">
        <v>686</v>
      </c>
      <c r="BG103" s="63" t="s">
        <v>704</v>
      </c>
      <c r="BH103" s="63" t="s">
        <v>868</v>
      </c>
      <c r="BI103" s="63">
        <v>28</v>
      </c>
      <c r="BJ103" s="63"/>
      <c r="BK103" s="63" t="s">
        <v>166</v>
      </c>
      <c r="BL103" s="63" t="s">
        <v>744</v>
      </c>
      <c r="BM103" s="63" t="s">
        <v>656</v>
      </c>
      <c r="BN103" s="63" t="s">
        <v>164</v>
      </c>
      <c r="BO103" s="63">
        <v>102</v>
      </c>
      <c r="BP103" s="63" t="s">
        <v>894</v>
      </c>
    </row>
    <row r="104" spans="1:68" ht="12.75" customHeight="1" x14ac:dyDescent="0.25">
      <c r="A104" s="231"/>
      <c r="B104" s="232"/>
      <c r="C104" s="231"/>
      <c r="D104" s="231"/>
      <c r="E104" s="231"/>
      <c r="F104" s="231"/>
      <c r="G104" s="231"/>
      <c r="H104" s="231"/>
      <c r="I104" s="231"/>
      <c r="J104" s="231"/>
      <c r="K104" s="232"/>
      <c r="L104" s="233"/>
      <c r="M104" s="234"/>
      <c r="N104" s="231"/>
      <c r="O104" s="235"/>
      <c r="P104" s="231"/>
      <c r="Q104" s="233"/>
      <c r="R104" s="231"/>
      <c r="S104" s="231"/>
      <c r="T104" s="231"/>
      <c r="U104" s="231"/>
      <c r="V104" s="231"/>
      <c r="W104" s="231"/>
      <c r="X104" s="231"/>
      <c r="Y104" s="231"/>
      <c r="Z104" s="231"/>
      <c r="AA104" s="231"/>
      <c r="AB104" s="231"/>
      <c r="AC104" s="44"/>
      <c r="AD104" s="44"/>
      <c r="BF104" s="63" t="s">
        <v>686</v>
      </c>
      <c r="BG104" s="63" t="s">
        <v>705</v>
      </c>
      <c r="BH104" s="63" t="s">
        <v>869</v>
      </c>
      <c r="BI104" s="63">
        <v>56</v>
      </c>
      <c r="BJ104" s="63"/>
      <c r="BK104" s="63" t="s">
        <v>166</v>
      </c>
      <c r="BL104" s="63" t="s">
        <v>744</v>
      </c>
      <c r="BM104" s="63" t="s">
        <v>742</v>
      </c>
      <c r="BN104" s="63" t="s">
        <v>164</v>
      </c>
      <c r="BO104" s="63">
        <v>103</v>
      </c>
      <c r="BP104" s="63" t="s">
        <v>894</v>
      </c>
    </row>
    <row r="105" spans="1:68" ht="12.75" customHeight="1" x14ac:dyDescent="0.25">
      <c r="A105" s="231"/>
      <c r="B105" s="232"/>
      <c r="C105" s="231"/>
      <c r="D105" s="231"/>
      <c r="E105" s="231"/>
      <c r="F105" s="231"/>
      <c r="G105" s="231"/>
      <c r="H105" s="231"/>
      <c r="I105" s="231"/>
      <c r="J105" s="231"/>
      <c r="K105" s="232"/>
      <c r="L105" s="233"/>
      <c r="M105" s="234"/>
      <c r="N105" s="231"/>
      <c r="O105" s="235"/>
      <c r="P105" s="231"/>
      <c r="Q105" s="233"/>
      <c r="R105" s="231"/>
      <c r="S105" s="231"/>
      <c r="T105" s="231"/>
      <c r="U105" s="231"/>
      <c r="V105" s="231"/>
      <c r="W105" s="231"/>
      <c r="X105" s="231"/>
      <c r="Y105" s="231"/>
      <c r="Z105" s="231"/>
      <c r="AA105" s="231"/>
      <c r="AB105" s="231"/>
      <c r="AC105" s="44"/>
      <c r="AD105" s="44"/>
      <c r="BF105" s="63" t="s">
        <v>686</v>
      </c>
      <c r="BG105" s="63" t="s">
        <v>2066</v>
      </c>
      <c r="BH105" s="63" t="s">
        <v>2067</v>
      </c>
      <c r="BI105" s="63">
        <v>89</v>
      </c>
      <c r="BJ105" s="63"/>
      <c r="BK105" s="63" t="s">
        <v>166</v>
      </c>
      <c r="BL105" s="63" t="s">
        <v>744</v>
      </c>
      <c r="BM105" s="63" t="s">
        <v>745</v>
      </c>
      <c r="BN105" s="63" t="s">
        <v>164</v>
      </c>
      <c r="BO105" s="63">
        <v>104</v>
      </c>
      <c r="BP105" s="63" t="s">
        <v>894</v>
      </c>
    </row>
    <row r="106" spans="1:68" ht="12.75" customHeight="1" x14ac:dyDescent="0.25">
      <c r="A106" s="231"/>
      <c r="B106" s="232"/>
      <c r="C106" s="231"/>
      <c r="D106" s="231"/>
      <c r="E106" s="231"/>
      <c r="F106" s="231"/>
      <c r="G106" s="231"/>
      <c r="H106" s="231"/>
      <c r="I106" s="231"/>
      <c r="J106" s="231"/>
      <c r="K106" s="232"/>
      <c r="L106" s="233"/>
      <c r="M106" s="234"/>
      <c r="N106" s="231"/>
      <c r="O106" s="235"/>
      <c r="P106" s="231"/>
      <c r="Q106" s="233"/>
      <c r="R106" s="231"/>
      <c r="S106" s="231"/>
      <c r="T106" s="231"/>
      <c r="U106" s="231"/>
      <c r="V106" s="231"/>
      <c r="W106" s="231"/>
      <c r="X106" s="231"/>
      <c r="Y106" s="231"/>
      <c r="Z106" s="231"/>
      <c r="AA106" s="231"/>
      <c r="AB106" s="231"/>
      <c r="AC106" s="44"/>
      <c r="AD106" s="44"/>
      <c r="BF106" s="63"/>
      <c r="BG106" s="63" t="s">
        <v>1402</v>
      </c>
      <c r="BH106" s="63"/>
      <c r="BI106" s="63" t="s">
        <v>845</v>
      </c>
      <c r="BJ106" s="63"/>
      <c r="BK106" s="63"/>
      <c r="BL106" s="63"/>
      <c r="BM106" s="63"/>
      <c r="BN106" s="63"/>
      <c r="BO106" s="63">
        <v>105</v>
      </c>
      <c r="BP106" s="63"/>
    </row>
    <row r="107" spans="1:68" ht="12.75" customHeight="1" x14ac:dyDescent="0.25">
      <c r="A107" s="231"/>
      <c r="B107" s="232"/>
      <c r="C107" s="231"/>
      <c r="D107" s="231"/>
      <c r="E107" s="231"/>
      <c r="F107" s="231"/>
      <c r="G107" s="231"/>
      <c r="H107" s="231"/>
      <c r="I107" s="231"/>
      <c r="J107" s="231"/>
      <c r="K107" s="232"/>
      <c r="L107" s="233"/>
      <c r="M107" s="234"/>
      <c r="N107" s="231"/>
      <c r="O107" s="235"/>
      <c r="P107" s="231"/>
      <c r="Q107" s="233"/>
      <c r="R107" s="231"/>
      <c r="S107" s="231"/>
      <c r="T107" s="231"/>
      <c r="U107" s="231"/>
      <c r="V107" s="231"/>
      <c r="W107" s="231"/>
      <c r="X107" s="231"/>
      <c r="Y107" s="231"/>
      <c r="Z107" s="231"/>
      <c r="AA107" s="231"/>
      <c r="AB107" s="231"/>
      <c r="AC107" s="44"/>
      <c r="AD107" s="44"/>
      <c r="BF107" s="63" t="s">
        <v>706</v>
      </c>
      <c r="BG107" s="63" t="s">
        <v>2068</v>
      </c>
      <c r="BH107" s="63" t="s">
        <v>2069</v>
      </c>
      <c r="BI107" s="63">
        <v>28</v>
      </c>
      <c r="BJ107" s="63"/>
      <c r="BK107" s="63" t="s">
        <v>165</v>
      </c>
      <c r="BL107" s="63" t="s">
        <v>653</v>
      </c>
      <c r="BM107" s="63" t="s">
        <v>656</v>
      </c>
      <c r="BN107" s="63" t="s">
        <v>164</v>
      </c>
      <c r="BO107" s="63">
        <v>106</v>
      </c>
      <c r="BP107" s="63" t="s">
        <v>893</v>
      </c>
    </row>
    <row r="108" spans="1:68" ht="12.75" customHeight="1" x14ac:dyDescent="0.25">
      <c r="A108" s="231"/>
      <c r="B108" s="232"/>
      <c r="C108" s="231"/>
      <c r="D108" s="231"/>
      <c r="E108" s="231"/>
      <c r="F108" s="231"/>
      <c r="G108" s="231"/>
      <c r="H108" s="231"/>
      <c r="I108" s="231"/>
      <c r="J108" s="231"/>
      <c r="K108" s="232"/>
      <c r="L108" s="233"/>
      <c r="M108" s="234"/>
      <c r="N108" s="231"/>
      <c r="O108" s="235"/>
      <c r="P108" s="231"/>
      <c r="Q108" s="233"/>
      <c r="R108" s="231"/>
      <c r="S108" s="231"/>
      <c r="T108" s="231"/>
      <c r="U108" s="231"/>
      <c r="V108" s="231"/>
      <c r="W108" s="231"/>
      <c r="X108" s="231"/>
      <c r="Y108" s="231"/>
      <c r="Z108" s="231"/>
      <c r="AA108" s="231"/>
      <c r="AB108" s="231"/>
      <c r="AC108" s="44"/>
      <c r="AD108" s="44"/>
      <c r="BF108" s="63" t="s">
        <v>706</v>
      </c>
      <c r="BG108" s="63" t="s">
        <v>2070</v>
      </c>
      <c r="BH108" s="63" t="s">
        <v>2071</v>
      </c>
      <c r="BI108" s="63">
        <v>54</v>
      </c>
      <c r="BJ108" s="63"/>
      <c r="BK108" s="63" t="s">
        <v>165</v>
      </c>
      <c r="BL108" s="63" t="s">
        <v>653</v>
      </c>
      <c r="BM108" s="63" t="s">
        <v>742</v>
      </c>
      <c r="BN108" s="63" t="s">
        <v>164</v>
      </c>
      <c r="BO108" s="63">
        <v>107</v>
      </c>
      <c r="BP108" s="63" t="s">
        <v>893</v>
      </c>
    </row>
    <row r="109" spans="1:68" ht="12.75" customHeight="1" x14ac:dyDescent="0.25">
      <c r="A109" s="231"/>
      <c r="B109" s="232"/>
      <c r="C109" s="231"/>
      <c r="D109" s="231"/>
      <c r="E109" s="231"/>
      <c r="F109" s="231"/>
      <c r="G109" s="231"/>
      <c r="H109" s="231"/>
      <c r="I109" s="231"/>
      <c r="J109" s="231"/>
      <c r="K109" s="232"/>
      <c r="L109" s="233"/>
      <c r="M109" s="234"/>
      <c r="N109" s="231"/>
      <c r="O109" s="235"/>
      <c r="P109" s="231"/>
      <c r="Q109" s="233"/>
      <c r="R109" s="231"/>
      <c r="S109" s="231"/>
      <c r="T109" s="231"/>
      <c r="U109" s="231"/>
      <c r="V109" s="231"/>
      <c r="W109" s="231"/>
      <c r="X109" s="231"/>
      <c r="Y109" s="231"/>
      <c r="Z109" s="231"/>
      <c r="AA109" s="231"/>
      <c r="AB109" s="231"/>
      <c r="AC109" s="44"/>
      <c r="AD109" s="44"/>
      <c r="BF109" s="63" t="s">
        <v>706</v>
      </c>
      <c r="BG109" s="63" t="s">
        <v>989</v>
      </c>
      <c r="BH109" s="63" t="s">
        <v>2072</v>
      </c>
      <c r="BI109" s="63">
        <v>32</v>
      </c>
      <c r="BJ109" s="63"/>
      <c r="BK109" s="63" t="s">
        <v>165</v>
      </c>
      <c r="BL109" s="63" t="s">
        <v>744</v>
      </c>
      <c r="BM109" s="63" t="s">
        <v>656</v>
      </c>
      <c r="BN109" s="63" t="s">
        <v>164</v>
      </c>
      <c r="BO109" s="63">
        <v>108</v>
      </c>
      <c r="BP109" s="63" t="s">
        <v>893</v>
      </c>
    </row>
    <row r="110" spans="1:68" ht="12.75" customHeight="1" x14ac:dyDescent="0.25">
      <c r="A110" s="231"/>
      <c r="B110" s="232"/>
      <c r="C110" s="231"/>
      <c r="D110" s="231"/>
      <c r="E110" s="231"/>
      <c r="F110" s="231"/>
      <c r="G110" s="231"/>
      <c r="H110" s="231"/>
      <c r="I110" s="231"/>
      <c r="J110" s="231"/>
      <c r="K110" s="232"/>
      <c r="L110" s="233"/>
      <c r="M110" s="234"/>
      <c r="N110" s="231"/>
      <c r="O110" s="235"/>
      <c r="P110" s="231"/>
      <c r="Q110" s="233"/>
      <c r="R110" s="231"/>
      <c r="S110" s="231"/>
      <c r="T110" s="231"/>
      <c r="U110" s="231"/>
      <c r="V110" s="231"/>
      <c r="W110" s="231"/>
      <c r="X110" s="231"/>
      <c r="Y110" s="231"/>
      <c r="Z110" s="231"/>
      <c r="AA110" s="231"/>
      <c r="AB110" s="231"/>
      <c r="AC110" s="44"/>
      <c r="AD110" s="44"/>
      <c r="BF110" s="63" t="s">
        <v>706</v>
      </c>
      <c r="BG110" s="63" t="s">
        <v>990</v>
      </c>
      <c r="BH110" s="63" t="s">
        <v>2073</v>
      </c>
      <c r="BI110" s="63">
        <v>64</v>
      </c>
      <c r="BJ110" s="63"/>
      <c r="BK110" s="63" t="s">
        <v>165</v>
      </c>
      <c r="BL110" s="63" t="s">
        <v>744</v>
      </c>
      <c r="BM110" s="63" t="s">
        <v>742</v>
      </c>
      <c r="BN110" s="63" t="s">
        <v>164</v>
      </c>
      <c r="BO110" s="63">
        <v>109</v>
      </c>
      <c r="BP110" s="63" t="s">
        <v>893</v>
      </c>
    </row>
    <row r="111" spans="1:68" ht="12.75" customHeight="1" x14ac:dyDescent="0.25">
      <c r="A111" s="231"/>
      <c r="B111" s="232"/>
      <c r="C111" s="231"/>
      <c r="D111" s="231"/>
      <c r="E111" s="231"/>
      <c r="F111" s="231"/>
      <c r="G111" s="231"/>
      <c r="H111" s="231"/>
      <c r="I111" s="231"/>
      <c r="J111" s="231"/>
      <c r="K111" s="232"/>
      <c r="L111" s="233"/>
      <c r="M111" s="234"/>
      <c r="N111" s="231"/>
      <c r="O111" s="235"/>
      <c r="P111" s="231"/>
      <c r="Q111" s="233"/>
      <c r="R111" s="231"/>
      <c r="S111" s="231"/>
      <c r="T111" s="231"/>
      <c r="U111" s="231"/>
      <c r="V111" s="231"/>
      <c r="W111" s="231"/>
      <c r="X111" s="231"/>
      <c r="Y111" s="231"/>
      <c r="Z111" s="231"/>
      <c r="AA111" s="231"/>
      <c r="AB111" s="231"/>
      <c r="AC111" s="44"/>
      <c r="AD111" s="44"/>
      <c r="BF111" s="63" t="s">
        <v>706</v>
      </c>
      <c r="BG111" s="63" t="s">
        <v>2074</v>
      </c>
      <c r="BH111" s="63" t="s">
        <v>2075</v>
      </c>
      <c r="BI111" s="63">
        <v>96</v>
      </c>
      <c r="BJ111" s="63"/>
      <c r="BK111" s="63" t="s">
        <v>165</v>
      </c>
      <c r="BL111" s="63" t="s">
        <v>744</v>
      </c>
      <c r="BM111" s="63" t="s">
        <v>745</v>
      </c>
      <c r="BN111" s="63" t="s">
        <v>164</v>
      </c>
      <c r="BO111" s="63">
        <v>110</v>
      </c>
      <c r="BP111" s="63" t="s">
        <v>893</v>
      </c>
    </row>
    <row r="112" spans="1:68" ht="12.75" customHeight="1" x14ac:dyDescent="0.25">
      <c r="A112" s="231"/>
      <c r="B112" s="232"/>
      <c r="C112" s="231"/>
      <c r="D112" s="231"/>
      <c r="E112" s="231"/>
      <c r="F112" s="231"/>
      <c r="G112" s="231"/>
      <c r="H112" s="231"/>
      <c r="I112" s="231"/>
      <c r="J112" s="231"/>
      <c r="K112" s="232"/>
      <c r="L112" s="233"/>
      <c r="M112" s="234"/>
      <c r="N112" s="231"/>
      <c r="O112" s="235"/>
      <c r="P112" s="231"/>
      <c r="Q112" s="233"/>
      <c r="R112" s="231"/>
      <c r="S112" s="231"/>
      <c r="T112" s="231"/>
      <c r="U112" s="231"/>
      <c r="V112" s="231"/>
      <c r="W112" s="231"/>
      <c r="X112" s="231"/>
      <c r="Y112" s="231"/>
      <c r="Z112" s="231"/>
      <c r="AA112" s="231"/>
      <c r="AB112" s="231"/>
      <c r="AC112" s="44"/>
      <c r="AD112" s="44"/>
      <c r="BF112" s="63" t="s">
        <v>706</v>
      </c>
      <c r="BG112" s="63" t="s">
        <v>991</v>
      </c>
      <c r="BH112" s="63" t="s">
        <v>2076</v>
      </c>
      <c r="BI112" s="63">
        <v>128</v>
      </c>
      <c r="BJ112" s="63"/>
      <c r="BK112" s="63" t="s">
        <v>165</v>
      </c>
      <c r="BL112" s="63" t="s">
        <v>744</v>
      </c>
      <c r="BM112" s="63" t="s">
        <v>746</v>
      </c>
      <c r="BN112" s="63" t="s">
        <v>164</v>
      </c>
      <c r="BO112" s="63">
        <v>111</v>
      </c>
      <c r="BP112" s="63" t="s">
        <v>893</v>
      </c>
    </row>
    <row r="113" spans="1:68" ht="12.75" customHeight="1" x14ac:dyDescent="0.25">
      <c r="A113" s="231"/>
      <c r="B113" s="232"/>
      <c r="C113" s="231"/>
      <c r="D113" s="231"/>
      <c r="E113" s="231"/>
      <c r="F113" s="231"/>
      <c r="G113" s="231"/>
      <c r="H113" s="231"/>
      <c r="I113" s="231"/>
      <c r="J113" s="231"/>
      <c r="K113" s="232"/>
      <c r="L113" s="233"/>
      <c r="M113" s="234"/>
      <c r="N113" s="231"/>
      <c r="O113" s="235"/>
      <c r="P113" s="231"/>
      <c r="Q113" s="233"/>
      <c r="R113" s="231"/>
      <c r="S113" s="231"/>
      <c r="T113" s="231"/>
      <c r="U113" s="231"/>
      <c r="V113" s="231"/>
      <c r="W113" s="231"/>
      <c r="X113" s="231"/>
      <c r="Y113" s="231"/>
      <c r="Z113" s="231"/>
      <c r="AA113" s="231"/>
      <c r="AB113" s="231"/>
      <c r="AC113" s="44"/>
      <c r="AD113" s="44"/>
      <c r="BF113" s="63" t="s">
        <v>706</v>
      </c>
      <c r="BG113" s="63" t="s">
        <v>992</v>
      </c>
      <c r="BH113" s="63" t="s">
        <v>2077</v>
      </c>
      <c r="BI113" s="63">
        <v>192</v>
      </c>
      <c r="BJ113" s="63"/>
      <c r="BK113" s="63" t="s">
        <v>165</v>
      </c>
      <c r="BL113" s="63" t="s">
        <v>744</v>
      </c>
      <c r="BM113" s="63" t="s">
        <v>752</v>
      </c>
      <c r="BN113" s="63" t="s">
        <v>164</v>
      </c>
      <c r="BO113" s="63">
        <v>112</v>
      </c>
      <c r="BP113" s="63" t="s">
        <v>894</v>
      </c>
    </row>
    <row r="114" spans="1:68" ht="12.75" customHeight="1" x14ac:dyDescent="0.25">
      <c r="A114" s="231"/>
      <c r="B114" s="232"/>
      <c r="C114" s="231"/>
      <c r="D114" s="231"/>
      <c r="E114" s="231"/>
      <c r="F114" s="231"/>
      <c r="G114" s="231"/>
      <c r="H114" s="231"/>
      <c r="I114" s="231"/>
      <c r="J114" s="231"/>
      <c r="K114" s="232"/>
      <c r="L114" s="233"/>
      <c r="M114" s="234"/>
      <c r="N114" s="231"/>
      <c r="O114" s="235"/>
      <c r="P114" s="231"/>
      <c r="Q114" s="233"/>
      <c r="R114" s="231"/>
      <c r="S114" s="231"/>
      <c r="T114" s="231"/>
      <c r="U114" s="231"/>
      <c r="V114" s="231"/>
      <c r="W114" s="231"/>
      <c r="X114" s="231"/>
      <c r="Y114" s="231"/>
      <c r="Z114" s="231"/>
      <c r="AA114" s="231"/>
      <c r="AB114" s="231"/>
      <c r="AC114" s="44"/>
      <c r="AD114" s="44"/>
      <c r="BF114" s="63" t="s">
        <v>706</v>
      </c>
      <c r="BG114" s="63" t="s">
        <v>2078</v>
      </c>
      <c r="BH114" s="63" t="s">
        <v>2079</v>
      </c>
      <c r="BI114" s="63">
        <v>256</v>
      </c>
      <c r="BJ114" s="63"/>
      <c r="BK114" s="63" t="s">
        <v>165</v>
      </c>
      <c r="BL114" s="63" t="s">
        <v>744</v>
      </c>
      <c r="BM114" s="63" t="s">
        <v>753</v>
      </c>
      <c r="BN114" s="63" t="s">
        <v>164</v>
      </c>
      <c r="BO114" s="63">
        <v>113</v>
      </c>
      <c r="BP114" s="63" t="s">
        <v>894</v>
      </c>
    </row>
    <row r="115" spans="1:68" ht="12.75" customHeight="1" x14ac:dyDescent="0.25">
      <c r="A115" s="231"/>
      <c r="B115" s="232"/>
      <c r="C115" s="231"/>
      <c r="D115" s="231"/>
      <c r="E115" s="231"/>
      <c r="F115" s="231"/>
      <c r="G115" s="231"/>
      <c r="H115" s="231"/>
      <c r="I115" s="231"/>
      <c r="J115" s="231"/>
      <c r="K115" s="232"/>
      <c r="L115" s="233"/>
      <c r="M115" s="234"/>
      <c r="N115" s="231"/>
      <c r="O115" s="235"/>
      <c r="P115" s="231"/>
      <c r="Q115" s="233"/>
      <c r="R115" s="231"/>
      <c r="S115" s="231"/>
      <c r="T115" s="231"/>
      <c r="U115" s="231"/>
      <c r="V115" s="231"/>
      <c r="W115" s="231"/>
      <c r="X115" s="231"/>
      <c r="Y115" s="231"/>
      <c r="Z115" s="231"/>
      <c r="AA115" s="231"/>
      <c r="AB115" s="231"/>
      <c r="AC115" s="44"/>
      <c r="AD115" s="44"/>
      <c r="BF115" s="63" t="s">
        <v>706</v>
      </c>
      <c r="BG115" s="63" t="s">
        <v>2080</v>
      </c>
      <c r="BH115" s="63" t="s">
        <v>2081</v>
      </c>
      <c r="BI115" s="63">
        <v>40</v>
      </c>
      <c r="BJ115" s="63"/>
      <c r="BK115" s="63" t="s">
        <v>165</v>
      </c>
      <c r="BL115" s="63" t="s">
        <v>2021</v>
      </c>
      <c r="BM115" s="63" t="s">
        <v>656</v>
      </c>
      <c r="BN115" s="63" t="s">
        <v>164</v>
      </c>
      <c r="BO115" s="63">
        <v>114</v>
      </c>
      <c r="BP115" s="63" t="s">
        <v>2022</v>
      </c>
    </row>
    <row r="116" spans="1:68" ht="12.75" customHeight="1" x14ac:dyDescent="0.25">
      <c r="A116" s="231"/>
      <c r="B116" s="232"/>
      <c r="C116" s="231"/>
      <c r="D116" s="231"/>
      <c r="E116" s="231"/>
      <c r="F116" s="231"/>
      <c r="G116" s="231"/>
      <c r="H116" s="231"/>
      <c r="I116" s="231"/>
      <c r="J116" s="231"/>
      <c r="K116" s="232"/>
      <c r="L116" s="233"/>
      <c r="M116" s="234"/>
      <c r="N116" s="231"/>
      <c r="O116" s="235"/>
      <c r="P116" s="231"/>
      <c r="Q116" s="233"/>
      <c r="R116" s="231"/>
      <c r="S116" s="231"/>
      <c r="T116" s="231"/>
      <c r="U116" s="231"/>
      <c r="V116" s="231"/>
      <c r="W116" s="231"/>
      <c r="X116" s="231"/>
      <c r="Y116" s="231"/>
      <c r="Z116" s="231"/>
      <c r="AA116" s="231"/>
      <c r="AB116" s="231"/>
      <c r="AC116" s="44"/>
      <c r="AD116" s="44"/>
      <c r="BF116" s="63" t="s">
        <v>706</v>
      </c>
      <c r="BG116" s="63" t="s">
        <v>2082</v>
      </c>
      <c r="BH116" s="63" t="s">
        <v>2083</v>
      </c>
      <c r="BI116" s="63">
        <v>77</v>
      </c>
      <c r="BJ116" s="63"/>
      <c r="BK116" s="63" t="s">
        <v>165</v>
      </c>
      <c r="BL116" s="63" t="s">
        <v>2021</v>
      </c>
      <c r="BM116" s="63" t="s">
        <v>742</v>
      </c>
      <c r="BN116" s="63" t="s">
        <v>164</v>
      </c>
      <c r="BO116" s="63">
        <v>115</v>
      </c>
      <c r="BP116" s="63" t="s">
        <v>2022</v>
      </c>
    </row>
    <row r="117" spans="1:68" ht="12.75" customHeight="1" x14ac:dyDescent="0.25">
      <c r="A117" s="231"/>
      <c r="B117" s="232"/>
      <c r="C117" s="231"/>
      <c r="D117" s="231"/>
      <c r="E117" s="231"/>
      <c r="F117" s="231"/>
      <c r="G117" s="231"/>
      <c r="H117" s="231"/>
      <c r="I117" s="231"/>
      <c r="J117" s="231"/>
      <c r="K117" s="232"/>
      <c r="L117" s="233"/>
      <c r="M117" s="234"/>
      <c r="N117" s="231"/>
      <c r="O117" s="235"/>
      <c r="P117" s="231"/>
      <c r="Q117" s="233"/>
      <c r="R117" s="231"/>
      <c r="S117" s="231"/>
      <c r="T117" s="231"/>
      <c r="U117" s="231"/>
      <c r="V117" s="231"/>
      <c r="W117" s="231"/>
      <c r="X117" s="231"/>
      <c r="Y117" s="231"/>
      <c r="Z117" s="231"/>
      <c r="AA117" s="231"/>
      <c r="AB117" s="231"/>
      <c r="AC117" s="44"/>
      <c r="AD117" s="44"/>
      <c r="BF117" s="63" t="s">
        <v>707</v>
      </c>
      <c r="BG117" s="63" t="s">
        <v>895</v>
      </c>
      <c r="BH117" s="63" t="s">
        <v>209</v>
      </c>
      <c r="BI117" s="63">
        <v>59</v>
      </c>
      <c r="BJ117" s="63"/>
      <c r="BK117" s="63" t="s">
        <v>901</v>
      </c>
      <c r="BL117" s="63" t="s">
        <v>744</v>
      </c>
      <c r="BM117" s="63" t="s">
        <v>656</v>
      </c>
      <c r="BN117" s="63" t="s">
        <v>164</v>
      </c>
      <c r="BO117" s="63">
        <v>116</v>
      </c>
      <c r="BP117" s="63" t="s">
        <v>893</v>
      </c>
    </row>
    <row r="118" spans="1:68" ht="12.75" customHeight="1" x14ac:dyDescent="0.25">
      <c r="A118" s="231"/>
      <c r="B118" s="232"/>
      <c r="C118" s="231"/>
      <c r="D118" s="231"/>
      <c r="E118" s="231"/>
      <c r="F118" s="231"/>
      <c r="G118" s="231"/>
      <c r="H118" s="231"/>
      <c r="I118" s="231"/>
      <c r="J118" s="231"/>
      <c r="K118" s="232"/>
      <c r="L118" s="233"/>
      <c r="M118" s="234"/>
      <c r="N118" s="231"/>
      <c r="O118" s="235"/>
      <c r="P118" s="231"/>
      <c r="Q118" s="233"/>
      <c r="R118" s="231"/>
      <c r="S118" s="231"/>
      <c r="T118" s="231"/>
      <c r="U118" s="231"/>
      <c r="V118" s="231"/>
      <c r="W118" s="231"/>
      <c r="X118" s="231"/>
      <c r="Y118" s="231"/>
      <c r="Z118" s="231"/>
      <c r="AA118" s="231"/>
      <c r="AB118" s="231"/>
      <c r="AC118" s="44"/>
      <c r="AD118" s="44"/>
      <c r="BF118" s="63" t="s">
        <v>707</v>
      </c>
      <c r="BG118" s="63" t="s">
        <v>896</v>
      </c>
      <c r="BH118" s="63" t="s">
        <v>210</v>
      </c>
      <c r="BI118" s="63">
        <v>120</v>
      </c>
      <c r="BJ118" s="63"/>
      <c r="BK118" s="63" t="s">
        <v>901</v>
      </c>
      <c r="BL118" s="63" t="s">
        <v>744</v>
      </c>
      <c r="BM118" s="63" t="s">
        <v>742</v>
      </c>
      <c r="BN118" s="63" t="s">
        <v>164</v>
      </c>
      <c r="BO118" s="63">
        <v>117</v>
      </c>
      <c r="BP118" s="63" t="s">
        <v>893</v>
      </c>
    </row>
    <row r="119" spans="1:68" ht="12.75" customHeight="1" x14ac:dyDescent="0.25">
      <c r="A119" s="231"/>
      <c r="B119" s="232"/>
      <c r="C119" s="231"/>
      <c r="D119" s="231"/>
      <c r="E119" s="231"/>
      <c r="F119" s="231"/>
      <c r="G119" s="231"/>
      <c r="H119" s="231"/>
      <c r="I119" s="231"/>
      <c r="J119" s="231"/>
      <c r="K119" s="232"/>
      <c r="L119" s="233"/>
      <c r="M119" s="234"/>
      <c r="N119" s="231"/>
      <c r="O119" s="235"/>
      <c r="P119" s="231"/>
      <c r="Q119" s="233"/>
      <c r="R119" s="231"/>
      <c r="S119" s="231"/>
      <c r="T119" s="231"/>
      <c r="U119" s="231"/>
      <c r="V119" s="231"/>
      <c r="W119" s="231"/>
      <c r="X119" s="231"/>
      <c r="Y119" s="231"/>
      <c r="Z119" s="231"/>
      <c r="AA119" s="231"/>
      <c r="AB119" s="231"/>
      <c r="AC119" s="44"/>
      <c r="AD119" s="44"/>
      <c r="BF119" s="63" t="s">
        <v>707</v>
      </c>
      <c r="BG119" s="63" t="s">
        <v>2084</v>
      </c>
      <c r="BH119" s="63" t="s">
        <v>2085</v>
      </c>
      <c r="BI119" s="63">
        <v>180</v>
      </c>
      <c r="BJ119" s="63"/>
      <c r="BK119" s="63" t="s">
        <v>901</v>
      </c>
      <c r="BL119" s="63" t="s">
        <v>744</v>
      </c>
      <c r="BM119" s="63" t="s">
        <v>745</v>
      </c>
      <c r="BN119" s="63" t="s">
        <v>164</v>
      </c>
      <c r="BO119" s="63">
        <v>118</v>
      </c>
      <c r="BP119" s="63" t="s">
        <v>893</v>
      </c>
    </row>
    <row r="120" spans="1:68" ht="12.75" customHeight="1" x14ac:dyDescent="0.25">
      <c r="A120" s="231"/>
      <c r="B120" s="232"/>
      <c r="C120" s="231"/>
      <c r="D120" s="231"/>
      <c r="E120" s="231"/>
      <c r="F120" s="231"/>
      <c r="G120" s="231"/>
      <c r="H120" s="231"/>
      <c r="I120" s="231"/>
      <c r="J120" s="231"/>
      <c r="K120" s="232"/>
      <c r="L120" s="233"/>
      <c r="M120" s="234"/>
      <c r="N120" s="231"/>
      <c r="O120" s="235"/>
      <c r="P120" s="231"/>
      <c r="Q120" s="233"/>
      <c r="R120" s="231"/>
      <c r="S120" s="231"/>
      <c r="T120" s="231"/>
      <c r="U120" s="231"/>
      <c r="V120" s="231"/>
      <c r="W120" s="231"/>
      <c r="X120" s="231"/>
      <c r="Y120" s="231"/>
      <c r="Z120" s="231"/>
      <c r="AA120" s="231"/>
      <c r="AB120" s="231"/>
      <c r="AC120" s="44"/>
      <c r="AD120" s="44"/>
      <c r="BF120" s="63" t="s">
        <v>707</v>
      </c>
      <c r="BG120" s="63" t="s">
        <v>897</v>
      </c>
      <c r="BH120" s="63" t="s">
        <v>211</v>
      </c>
      <c r="BI120" s="63">
        <v>234</v>
      </c>
      <c r="BJ120" s="63"/>
      <c r="BK120" s="63" t="s">
        <v>901</v>
      </c>
      <c r="BL120" s="63" t="s">
        <v>744</v>
      </c>
      <c r="BM120" s="63" t="s">
        <v>746</v>
      </c>
      <c r="BN120" s="63" t="s">
        <v>164</v>
      </c>
      <c r="BO120" s="63">
        <v>119</v>
      </c>
      <c r="BP120" s="63" t="s">
        <v>893</v>
      </c>
    </row>
    <row r="121" spans="1:68" ht="12.75" customHeight="1" x14ac:dyDescent="0.25">
      <c r="A121" s="231"/>
      <c r="B121" s="232"/>
      <c r="C121" s="231"/>
      <c r="D121" s="231"/>
      <c r="E121" s="231"/>
      <c r="F121" s="231"/>
      <c r="G121" s="231"/>
      <c r="H121" s="231"/>
      <c r="I121" s="231"/>
      <c r="J121" s="231"/>
      <c r="K121" s="232"/>
      <c r="L121" s="233"/>
      <c r="M121" s="234"/>
      <c r="N121" s="231"/>
      <c r="O121" s="235"/>
      <c r="P121" s="231"/>
      <c r="Q121" s="233"/>
      <c r="R121" s="231"/>
      <c r="S121" s="231"/>
      <c r="T121" s="231"/>
      <c r="U121" s="231"/>
      <c r="V121" s="231"/>
      <c r="W121" s="231"/>
      <c r="X121" s="231"/>
      <c r="Y121" s="231"/>
      <c r="Z121" s="231"/>
      <c r="AA121" s="231"/>
      <c r="AB121" s="231"/>
      <c r="AC121" s="44"/>
      <c r="AD121" s="44"/>
      <c r="BF121" s="63" t="s">
        <v>707</v>
      </c>
      <c r="BG121" s="63" t="s">
        <v>898</v>
      </c>
      <c r="BH121" s="63" t="s">
        <v>212</v>
      </c>
      <c r="BI121" s="63">
        <v>360</v>
      </c>
      <c r="BJ121" s="63"/>
      <c r="BK121" s="63" t="s">
        <v>901</v>
      </c>
      <c r="BL121" s="63" t="s">
        <v>744</v>
      </c>
      <c r="BM121" s="63" t="s">
        <v>752</v>
      </c>
      <c r="BN121" s="63" t="s">
        <v>164</v>
      </c>
      <c r="BO121" s="63">
        <v>120</v>
      </c>
      <c r="BP121" s="63" t="s">
        <v>894</v>
      </c>
    </row>
    <row r="122" spans="1:68" ht="12.75" customHeight="1" x14ac:dyDescent="0.25">
      <c r="A122" s="231"/>
      <c r="B122" s="232"/>
      <c r="C122" s="231"/>
      <c r="D122" s="231"/>
      <c r="E122" s="231"/>
      <c r="F122" s="231"/>
      <c r="G122" s="231"/>
      <c r="H122" s="231"/>
      <c r="I122" s="231"/>
      <c r="J122" s="231"/>
      <c r="K122" s="232"/>
      <c r="L122" s="233"/>
      <c r="M122" s="234"/>
      <c r="N122" s="231"/>
      <c r="O122" s="235"/>
      <c r="P122" s="231"/>
      <c r="Q122" s="233"/>
      <c r="R122" s="231"/>
      <c r="S122" s="231"/>
      <c r="T122" s="231"/>
      <c r="U122" s="231"/>
      <c r="V122" s="231"/>
      <c r="W122" s="231"/>
      <c r="X122" s="231"/>
      <c r="Y122" s="231"/>
      <c r="Z122" s="231"/>
      <c r="AA122" s="231"/>
      <c r="AB122" s="231"/>
      <c r="AC122" s="44"/>
      <c r="AD122" s="44"/>
      <c r="BF122" s="63" t="s">
        <v>707</v>
      </c>
      <c r="BG122" s="63" t="s">
        <v>899</v>
      </c>
      <c r="BH122" s="63" t="s">
        <v>213</v>
      </c>
      <c r="BI122" s="63">
        <v>468</v>
      </c>
      <c r="BJ122" s="63"/>
      <c r="BK122" s="63" t="s">
        <v>901</v>
      </c>
      <c r="BL122" s="63" t="s">
        <v>744</v>
      </c>
      <c r="BM122" s="63" t="s">
        <v>753</v>
      </c>
      <c r="BN122" s="63" t="s">
        <v>164</v>
      </c>
      <c r="BO122" s="63">
        <v>121</v>
      </c>
      <c r="BP122" s="63" t="s">
        <v>894</v>
      </c>
    </row>
    <row r="123" spans="1:68" ht="12.75" customHeight="1" x14ac:dyDescent="0.25">
      <c r="A123" s="231"/>
      <c r="B123" s="232"/>
      <c r="C123" s="231"/>
      <c r="D123" s="231"/>
      <c r="E123" s="231"/>
      <c r="F123" s="231"/>
      <c r="G123" s="231"/>
      <c r="H123" s="231"/>
      <c r="I123" s="231"/>
      <c r="J123" s="231"/>
      <c r="K123" s="232"/>
      <c r="L123" s="233"/>
      <c r="M123" s="234"/>
      <c r="N123" s="231"/>
      <c r="O123" s="235"/>
      <c r="P123" s="231"/>
      <c r="Q123" s="233"/>
      <c r="R123" s="231"/>
      <c r="S123" s="231"/>
      <c r="T123" s="231"/>
      <c r="U123" s="231"/>
      <c r="V123" s="231"/>
      <c r="W123" s="231"/>
      <c r="X123" s="231"/>
      <c r="Y123" s="231"/>
      <c r="Z123" s="231"/>
      <c r="AA123" s="231"/>
      <c r="AB123" s="231"/>
      <c r="AC123" s="44"/>
      <c r="AD123" s="44"/>
      <c r="BF123" s="63" t="s">
        <v>707</v>
      </c>
      <c r="BG123" s="63" t="s">
        <v>900</v>
      </c>
      <c r="BH123" s="63" t="s">
        <v>214</v>
      </c>
      <c r="BI123" s="63">
        <v>577</v>
      </c>
      <c r="BJ123" s="63"/>
      <c r="BK123" s="63" t="s">
        <v>901</v>
      </c>
      <c r="BL123" s="63" t="s">
        <v>744</v>
      </c>
      <c r="BM123" s="63" t="s">
        <v>754</v>
      </c>
      <c r="BN123" s="63" t="s">
        <v>164</v>
      </c>
      <c r="BO123" s="63">
        <v>122</v>
      </c>
      <c r="BP123" s="63"/>
    </row>
    <row r="124" spans="1:68" ht="12.75" customHeight="1" x14ac:dyDescent="0.2">
      <c r="A124" s="231"/>
      <c r="B124" s="232"/>
      <c r="C124" s="231"/>
      <c r="D124" s="231"/>
      <c r="E124" s="231"/>
      <c r="F124" s="231"/>
      <c r="G124" s="231"/>
      <c r="H124" s="231"/>
      <c r="I124" s="231"/>
      <c r="J124" s="231"/>
      <c r="K124" s="232"/>
      <c r="L124" s="233"/>
      <c r="M124" s="234"/>
      <c r="N124" s="231"/>
      <c r="O124" s="235"/>
      <c r="P124" s="231"/>
      <c r="Q124" s="233"/>
      <c r="R124" s="231"/>
      <c r="S124" s="231"/>
      <c r="T124" s="231"/>
      <c r="U124" s="231"/>
      <c r="V124" s="231"/>
      <c r="W124" s="231"/>
      <c r="X124" s="231"/>
      <c r="Y124" s="231"/>
      <c r="Z124" s="231"/>
      <c r="AA124" s="231"/>
      <c r="AB124" s="231"/>
      <c r="AC124" s="44"/>
      <c r="AD124" s="44"/>
    </row>
    <row r="125" spans="1:68" ht="12.75" customHeight="1" x14ac:dyDescent="0.2">
      <c r="A125" s="231"/>
      <c r="B125" s="232"/>
      <c r="C125" s="231"/>
      <c r="D125" s="231"/>
      <c r="E125" s="231"/>
      <c r="F125" s="231"/>
      <c r="G125" s="231"/>
      <c r="H125" s="231"/>
      <c r="I125" s="231"/>
      <c r="J125" s="231"/>
      <c r="K125" s="232"/>
      <c r="L125" s="233"/>
      <c r="M125" s="234"/>
      <c r="N125" s="231"/>
      <c r="O125" s="235"/>
      <c r="P125" s="231"/>
      <c r="Q125" s="233"/>
      <c r="R125" s="231"/>
      <c r="S125" s="231"/>
      <c r="T125" s="231"/>
      <c r="U125" s="231"/>
      <c r="V125" s="231"/>
      <c r="W125" s="231"/>
      <c r="X125" s="231"/>
      <c r="Y125" s="231"/>
      <c r="Z125" s="231"/>
      <c r="AA125" s="231"/>
      <c r="AB125" s="231"/>
      <c r="AC125" s="44"/>
      <c r="AD125" s="44"/>
    </row>
    <row r="126" spans="1:68" ht="12.75" customHeight="1" x14ac:dyDescent="0.2">
      <c r="O126" s="226"/>
    </row>
    <row r="127" spans="1:68" ht="12.75" customHeight="1" x14ac:dyDescent="0.2">
      <c r="O127" s="226"/>
    </row>
    <row r="128" spans="1:68" ht="12.75" customHeight="1" x14ac:dyDescent="0.2">
      <c r="A128" s="236" t="s">
        <v>140</v>
      </c>
      <c r="B128" s="237" t="s">
        <v>141</v>
      </c>
      <c r="C128" s="236" t="s">
        <v>0</v>
      </c>
      <c r="D128" s="236" t="s">
        <v>142</v>
      </c>
      <c r="E128" s="236" t="s">
        <v>143</v>
      </c>
      <c r="F128" s="236" t="s">
        <v>144</v>
      </c>
      <c r="G128" s="236" t="s">
        <v>145</v>
      </c>
      <c r="H128" s="236" t="s">
        <v>146</v>
      </c>
      <c r="I128" s="236" t="s">
        <v>147</v>
      </c>
      <c r="J128" s="236" t="s">
        <v>148</v>
      </c>
      <c r="K128" s="237" t="s">
        <v>149</v>
      </c>
      <c r="L128" s="238" t="s">
        <v>150</v>
      </c>
      <c r="M128" s="239" t="s">
        <v>151</v>
      </c>
      <c r="N128" s="236" t="s">
        <v>152</v>
      </c>
      <c r="O128" s="236" t="s">
        <v>176</v>
      </c>
      <c r="P128" s="222" t="s">
        <v>177</v>
      </c>
      <c r="Q128" s="238" t="s">
        <v>155</v>
      </c>
      <c r="R128" s="236" t="s">
        <v>156</v>
      </c>
      <c r="S128" s="236" t="s">
        <v>157</v>
      </c>
      <c r="T128" s="236" t="s">
        <v>158</v>
      </c>
      <c r="U128" s="236" t="s">
        <v>159</v>
      </c>
      <c r="V128" s="236" t="s">
        <v>181</v>
      </c>
      <c r="W128" s="236" t="s">
        <v>182</v>
      </c>
      <c r="X128" s="236" t="s">
        <v>185</v>
      </c>
      <c r="Y128" s="236" t="s">
        <v>238</v>
      </c>
      <c r="Z128" s="236" t="s">
        <v>183</v>
      </c>
      <c r="AA128" s="236" t="s">
        <v>184</v>
      </c>
      <c r="AB128" s="236" t="s">
        <v>186</v>
      </c>
      <c r="AC128" s="167" t="s">
        <v>971</v>
      </c>
    </row>
    <row r="129" spans="1:30" ht="12.75" customHeight="1" x14ac:dyDescent="0.2">
      <c r="A129" s="231"/>
      <c r="B129" s="232"/>
      <c r="C129" s="231"/>
      <c r="D129" s="231"/>
      <c r="E129" s="231"/>
      <c r="F129" s="231"/>
      <c r="G129" s="231"/>
      <c r="H129" s="231"/>
      <c r="I129" s="231"/>
      <c r="J129" s="231"/>
      <c r="K129" s="232"/>
      <c r="L129" s="233"/>
      <c r="M129" s="234"/>
      <c r="N129" s="231"/>
      <c r="O129" s="235"/>
      <c r="P129" s="231"/>
      <c r="Q129" s="233"/>
      <c r="R129" s="231"/>
      <c r="S129" s="231"/>
      <c r="T129" s="231"/>
      <c r="U129" s="231"/>
      <c r="V129" s="231"/>
      <c r="W129" s="231"/>
      <c r="X129" s="231"/>
      <c r="Y129" s="231"/>
      <c r="Z129" s="231"/>
      <c r="AA129" s="231"/>
      <c r="AB129" s="231"/>
      <c r="AC129" s="44"/>
      <c r="AD129" s="44"/>
    </row>
    <row r="130" spans="1:30" ht="12.75" customHeight="1" x14ac:dyDescent="0.2">
      <c r="A130" s="231"/>
      <c r="B130" s="232"/>
      <c r="C130" s="231"/>
      <c r="D130" s="231"/>
      <c r="E130" s="231"/>
      <c r="F130" s="231"/>
      <c r="G130" s="231"/>
      <c r="H130" s="231"/>
      <c r="I130" s="231"/>
      <c r="J130" s="231"/>
      <c r="K130" s="232"/>
      <c r="L130" s="233"/>
      <c r="M130" s="234"/>
      <c r="N130" s="231"/>
      <c r="O130" s="235"/>
      <c r="P130" s="231"/>
      <c r="Q130" s="233"/>
      <c r="R130" s="231"/>
      <c r="S130" s="231"/>
      <c r="T130" s="231"/>
      <c r="U130" s="231"/>
      <c r="V130" s="231"/>
      <c r="W130" s="231"/>
      <c r="X130" s="231"/>
      <c r="Y130" s="231"/>
      <c r="Z130" s="231"/>
      <c r="AA130" s="231"/>
      <c r="AB130" s="231"/>
      <c r="AC130" s="44"/>
      <c r="AD130" s="44"/>
    </row>
    <row r="131" spans="1:30" ht="12.75" customHeight="1" x14ac:dyDescent="0.2">
      <c r="A131" s="231"/>
      <c r="B131" s="232"/>
      <c r="C131" s="231"/>
      <c r="D131" s="231"/>
      <c r="E131" s="231"/>
      <c r="F131" s="231"/>
      <c r="G131" s="231"/>
      <c r="H131" s="231"/>
      <c r="I131" s="231"/>
      <c r="J131" s="231"/>
      <c r="K131" s="232"/>
      <c r="L131" s="233"/>
      <c r="M131" s="234"/>
      <c r="N131" s="231"/>
      <c r="O131" s="235"/>
      <c r="P131" s="231"/>
      <c r="Q131" s="233"/>
      <c r="R131" s="231"/>
      <c r="S131" s="231"/>
      <c r="T131" s="231"/>
      <c r="U131" s="231"/>
      <c r="V131" s="231"/>
      <c r="W131" s="231"/>
      <c r="X131" s="231"/>
      <c r="Y131" s="231"/>
      <c r="Z131" s="231"/>
      <c r="AA131" s="231"/>
      <c r="AB131" s="231"/>
      <c r="AC131" s="44"/>
      <c r="AD131" s="44"/>
    </row>
    <row r="132" spans="1:30" ht="12.75" customHeight="1" x14ac:dyDescent="0.2">
      <c r="A132" s="231"/>
      <c r="B132" s="232"/>
      <c r="C132" s="231"/>
      <c r="D132" s="231"/>
      <c r="E132" s="231"/>
      <c r="F132" s="231"/>
      <c r="G132" s="231"/>
      <c r="H132" s="231"/>
      <c r="I132" s="231"/>
      <c r="J132" s="231"/>
      <c r="K132" s="232"/>
      <c r="L132" s="233"/>
      <c r="M132" s="234"/>
      <c r="N132" s="231"/>
      <c r="O132" s="235"/>
      <c r="P132" s="231"/>
      <c r="Q132" s="233"/>
      <c r="R132" s="231"/>
      <c r="S132" s="231"/>
      <c r="T132" s="231"/>
      <c r="U132" s="231"/>
      <c r="V132" s="231"/>
      <c r="W132" s="231"/>
      <c r="X132" s="231"/>
      <c r="Y132" s="231"/>
      <c r="Z132" s="231"/>
      <c r="AA132" s="231"/>
      <c r="AB132" s="231"/>
      <c r="AC132" s="44"/>
      <c r="AD132" s="44"/>
    </row>
    <row r="133" spans="1:30" ht="12.75" customHeight="1" x14ac:dyDescent="0.2">
      <c r="A133" s="231"/>
      <c r="B133" s="232"/>
      <c r="C133" s="231"/>
      <c r="D133" s="231"/>
      <c r="E133" s="231"/>
      <c r="F133" s="231"/>
      <c r="G133" s="231"/>
      <c r="H133" s="231"/>
      <c r="I133" s="231"/>
      <c r="J133" s="231"/>
      <c r="K133" s="232"/>
      <c r="L133" s="233"/>
      <c r="M133" s="234"/>
      <c r="N133" s="231"/>
      <c r="O133" s="235"/>
      <c r="P133" s="231"/>
      <c r="Q133" s="233"/>
      <c r="R133" s="231"/>
      <c r="S133" s="231"/>
      <c r="T133" s="231"/>
      <c r="U133" s="231"/>
      <c r="V133" s="231"/>
      <c r="W133" s="231"/>
      <c r="X133" s="231"/>
      <c r="Y133" s="231"/>
      <c r="Z133" s="231"/>
      <c r="AA133" s="231"/>
      <c r="AB133" s="231"/>
      <c r="AC133" s="44"/>
      <c r="AD133" s="44"/>
    </row>
    <row r="134" spans="1:30" ht="12.75" customHeight="1" x14ac:dyDescent="0.2">
      <c r="O134" s="226"/>
    </row>
    <row r="135" spans="1:30" ht="12.75" customHeight="1" x14ac:dyDescent="0.2">
      <c r="O135" s="226"/>
    </row>
    <row r="136" spans="1:30" ht="12.75" customHeight="1" x14ac:dyDescent="0.2">
      <c r="O136" s="226"/>
    </row>
    <row r="137" spans="1:30" ht="12.75" customHeight="1" x14ac:dyDescent="0.2">
      <c r="O137" s="226"/>
    </row>
    <row r="138" spans="1:30" ht="12.75" customHeight="1" x14ac:dyDescent="0.2">
      <c r="A138" s="236" t="s">
        <v>140</v>
      </c>
      <c r="B138" s="237" t="s">
        <v>141</v>
      </c>
      <c r="C138" s="236" t="s">
        <v>0</v>
      </c>
      <c r="D138" s="236" t="s">
        <v>142</v>
      </c>
      <c r="E138" s="236" t="s">
        <v>143</v>
      </c>
      <c r="F138" s="236" t="s">
        <v>144</v>
      </c>
      <c r="G138" s="236" t="s">
        <v>145</v>
      </c>
      <c r="H138" s="236" t="s">
        <v>146</v>
      </c>
      <c r="I138" s="236" t="s">
        <v>147</v>
      </c>
      <c r="J138" s="236" t="s">
        <v>148</v>
      </c>
      <c r="K138" s="237" t="s">
        <v>149</v>
      </c>
      <c r="L138" s="238" t="s">
        <v>150</v>
      </c>
      <c r="M138" s="239" t="s">
        <v>151</v>
      </c>
      <c r="N138" s="236" t="s">
        <v>152</v>
      </c>
      <c r="O138" s="236" t="s">
        <v>176</v>
      </c>
      <c r="P138" s="222" t="s">
        <v>177</v>
      </c>
      <c r="Q138" s="238" t="s">
        <v>155</v>
      </c>
      <c r="R138" s="236" t="s">
        <v>156</v>
      </c>
      <c r="S138" s="236" t="s">
        <v>157</v>
      </c>
      <c r="T138" s="236" t="s">
        <v>158</v>
      </c>
      <c r="U138" s="236" t="s">
        <v>159</v>
      </c>
      <c r="V138" s="236" t="s">
        <v>181</v>
      </c>
      <c r="W138" s="236" t="s">
        <v>182</v>
      </c>
      <c r="X138" s="236" t="s">
        <v>185</v>
      </c>
      <c r="Y138" s="236" t="s">
        <v>238</v>
      </c>
      <c r="Z138" s="236" t="s">
        <v>183</v>
      </c>
      <c r="AA138" s="236" t="s">
        <v>184</v>
      </c>
      <c r="AB138" s="236" t="s">
        <v>186</v>
      </c>
      <c r="AC138" s="167" t="s">
        <v>971</v>
      </c>
    </row>
    <row r="139" spans="1:30" ht="12.75" customHeight="1" x14ac:dyDescent="0.2">
      <c r="A139" s="231"/>
      <c r="B139" s="232"/>
      <c r="C139" s="231"/>
      <c r="D139" s="231"/>
      <c r="E139" s="231"/>
      <c r="F139" s="231"/>
      <c r="G139" s="231"/>
      <c r="H139" s="231"/>
      <c r="I139" s="231"/>
      <c r="J139" s="231"/>
      <c r="K139" s="232"/>
      <c r="L139" s="233"/>
      <c r="M139" s="234"/>
      <c r="N139" s="231"/>
      <c r="O139" s="235"/>
      <c r="P139" s="231"/>
      <c r="Q139" s="233"/>
      <c r="R139" s="231"/>
      <c r="S139" s="231"/>
      <c r="T139" s="231"/>
      <c r="U139" s="231"/>
      <c r="V139" s="231"/>
      <c r="W139" s="231"/>
      <c r="X139" s="231"/>
      <c r="Y139" s="231"/>
      <c r="Z139" s="231"/>
      <c r="AA139" s="231"/>
      <c r="AB139" s="231"/>
      <c r="AC139" s="44"/>
      <c r="AD139" s="44"/>
    </row>
    <row r="140" spans="1:30" ht="12.75" customHeight="1" x14ac:dyDescent="0.2">
      <c r="A140" s="231"/>
      <c r="B140" s="232"/>
      <c r="C140" s="231"/>
      <c r="D140" s="231"/>
      <c r="E140" s="231"/>
      <c r="F140" s="231"/>
      <c r="G140" s="231"/>
      <c r="H140" s="231"/>
      <c r="I140" s="231"/>
      <c r="J140" s="231"/>
      <c r="K140" s="232"/>
      <c r="L140" s="233"/>
      <c r="M140" s="234"/>
      <c r="N140" s="231"/>
      <c r="O140" s="235"/>
      <c r="P140" s="231"/>
      <c r="Q140" s="233"/>
      <c r="R140" s="231"/>
      <c r="S140" s="231"/>
      <c r="T140" s="231"/>
      <c r="U140" s="231"/>
      <c r="V140" s="231"/>
      <c r="W140" s="231"/>
      <c r="X140" s="231"/>
      <c r="Y140" s="231"/>
      <c r="Z140" s="231"/>
      <c r="AA140" s="231"/>
      <c r="AB140" s="231"/>
      <c r="AC140" s="44"/>
      <c r="AD140" s="44"/>
    </row>
    <row r="141" spans="1:30" ht="12.75" customHeight="1" x14ac:dyDescent="0.2">
      <c r="A141" s="231"/>
      <c r="B141" s="232"/>
      <c r="C141" s="231"/>
      <c r="D141" s="231"/>
      <c r="E141" s="231"/>
      <c r="F141" s="231"/>
      <c r="G141" s="231"/>
      <c r="H141" s="231"/>
      <c r="I141" s="231"/>
      <c r="J141" s="231"/>
      <c r="K141" s="232"/>
      <c r="L141" s="233"/>
      <c r="M141" s="234"/>
      <c r="N141" s="231"/>
      <c r="O141" s="235"/>
      <c r="P141" s="231"/>
      <c r="Q141" s="233"/>
      <c r="R141" s="231"/>
      <c r="S141" s="231"/>
      <c r="T141" s="231"/>
      <c r="U141" s="231"/>
      <c r="V141" s="231"/>
      <c r="W141" s="231"/>
      <c r="X141" s="231"/>
      <c r="Y141" s="231"/>
      <c r="Z141" s="231"/>
      <c r="AA141" s="231"/>
      <c r="AB141" s="231"/>
      <c r="AC141" s="44"/>
      <c r="AD141" s="44"/>
    </row>
    <row r="142" spans="1:30" ht="12.75" customHeight="1" x14ac:dyDescent="0.2">
      <c r="A142" s="231"/>
      <c r="B142" s="232"/>
      <c r="C142" s="231"/>
      <c r="D142" s="231"/>
      <c r="E142" s="231"/>
      <c r="F142" s="231"/>
      <c r="G142" s="231"/>
      <c r="H142" s="231"/>
      <c r="I142" s="231"/>
      <c r="J142" s="231"/>
      <c r="K142" s="232"/>
      <c r="L142" s="233"/>
      <c r="M142" s="234"/>
      <c r="N142" s="231"/>
      <c r="O142" s="235"/>
      <c r="P142" s="231"/>
      <c r="Q142" s="233"/>
      <c r="R142" s="231"/>
      <c r="S142" s="231"/>
      <c r="T142" s="231"/>
      <c r="U142" s="231"/>
      <c r="V142" s="231"/>
      <c r="W142" s="231"/>
      <c r="X142" s="231"/>
      <c r="Y142" s="231"/>
      <c r="Z142" s="231"/>
      <c r="AA142" s="231"/>
      <c r="AB142" s="231"/>
      <c r="AC142" s="44"/>
      <c r="AD142" s="44"/>
    </row>
    <row r="143" spans="1:30" ht="12.75" customHeight="1" x14ac:dyDescent="0.2">
      <c r="A143" s="231"/>
      <c r="B143" s="232"/>
      <c r="C143" s="231"/>
      <c r="D143" s="231"/>
      <c r="E143" s="231"/>
      <c r="F143" s="231"/>
      <c r="G143" s="231"/>
      <c r="H143" s="231"/>
      <c r="I143" s="231"/>
      <c r="J143" s="231"/>
      <c r="K143" s="232"/>
      <c r="L143" s="233"/>
      <c r="M143" s="234"/>
      <c r="N143" s="231"/>
      <c r="O143" s="231"/>
      <c r="P143" s="231"/>
      <c r="Q143" s="233"/>
      <c r="R143" s="231"/>
      <c r="S143" s="231"/>
      <c r="T143" s="231"/>
      <c r="U143" s="231"/>
      <c r="V143" s="231"/>
      <c r="W143" s="231"/>
      <c r="X143" s="231"/>
      <c r="Y143" s="231"/>
      <c r="Z143" s="231"/>
      <c r="AA143" s="231"/>
      <c r="AB143" s="231"/>
      <c r="AC143" s="44"/>
      <c r="AD143" s="44"/>
    </row>
    <row r="144" spans="1:30" ht="12.75" customHeight="1" x14ac:dyDescent="0.2">
      <c r="A144" s="231"/>
      <c r="B144" s="232"/>
      <c r="C144" s="231"/>
      <c r="D144" s="231"/>
      <c r="E144" s="231"/>
      <c r="F144" s="231"/>
      <c r="G144" s="231"/>
      <c r="H144" s="231"/>
      <c r="I144" s="231"/>
      <c r="J144" s="231"/>
      <c r="K144" s="232"/>
      <c r="L144" s="233"/>
      <c r="M144" s="234"/>
      <c r="N144" s="231"/>
      <c r="O144" s="231"/>
      <c r="P144" s="231"/>
      <c r="Q144" s="233"/>
      <c r="R144" s="231"/>
      <c r="S144" s="231"/>
      <c r="T144" s="231"/>
      <c r="U144" s="231"/>
      <c r="V144" s="231"/>
      <c r="W144" s="231"/>
      <c r="X144" s="231"/>
      <c r="Y144" s="231"/>
      <c r="Z144" s="231"/>
      <c r="AA144" s="231"/>
      <c r="AB144" s="231"/>
      <c r="AC144" s="44"/>
      <c r="AD144" s="44"/>
    </row>
    <row r="145" spans="1:29" ht="12.75" customHeight="1" x14ac:dyDescent="0.2"/>
    <row r="146" spans="1:29" ht="12.75" customHeight="1" x14ac:dyDescent="0.2">
      <c r="A146" s="236" t="s">
        <v>140</v>
      </c>
      <c r="B146" s="237" t="s">
        <v>141</v>
      </c>
      <c r="C146" s="236" t="s">
        <v>0</v>
      </c>
      <c r="D146" s="236" t="s">
        <v>142</v>
      </c>
      <c r="E146" s="236" t="s">
        <v>143</v>
      </c>
      <c r="F146" s="236" t="s">
        <v>144</v>
      </c>
      <c r="G146" s="236" t="s">
        <v>145</v>
      </c>
      <c r="H146" s="236" t="s">
        <v>146</v>
      </c>
      <c r="I146" s="236" t="s">
        <v>147</v>
      </c>
      <c r="J146" s="236" t="s">
        <v>148</v>
      </c>
      <c r="K146" s="237" t="s">
        <v>149</v>
      </c>
      <c r="L146" s="238" t="s">
        <v>150</v>
      </c>
      <c r="M146" s="239" t="s">
        <v>151</v>
      </c>
      <c r="N146" s="236" t="s">
        <v>152</v>
      </c>
      <c r="O146" s="236" t="s">
        <v>153</v>
      </c>
      <c r="P146" s="236" t="s">
        <v>154</v>
      </c>
      <c r="Q146" s="238" t="s">
        <v>155</v>
      </c>
      <c r="R146" s="236" t="s">
        <v>156</v>
      </c>
      <c r="S146" s="236" t="s">
        <v>157</v>
      </c>
      <c r="T146" s="236" t="s">
        <v>158</v>
      </c>
      <c r="U146" s="236" t="s">
        <v>159</v>
      </c>
      <c r="V146" s="236" t="s">
        <v>181</v>
      </c>
      <c r="W146" s="236" t="s">
        <v>182</v>
      </c>
      <c r="X146" s="236" t="s">
        <v>185</v>
      </c>
      <c r="Y146" s="236" t="s">
        <v>238</v>
      </c>
      <c r="Z146" s="236" t="s">
        <v>183</v>
      </c>
      <c r="AA146" s="236" t="s">
        <v>184</v>
      </c>
      <c r="AB146" s="236" t="s">
        <v>186</v>
      </c>
      <c r="AC146" s="167" t="s">
        <v>971</v>
      </c>
    </row>
    <row r="147" spans="1:29" ht="12.75" customHeight="1" x14ac:dyDescent="0.2">
      <c r="A147" s="231"/>
      <c r="B147" s="232"/>
      <c r="C147" s="231"/>
      <c r="D147" s="231"/>
      <c r="E147" s="231"/>
      <c r="F147" s="231"/>
      <c r="G147" s="231"/>
      <c r="H147" s="231"/>
      <c r="I147" s="231"/>
      <c r="J147" s="231"/>
      <c r="K147" s="232"/>
      <c r="L147" s="233"/>
      <c r="M147" s="234"/>
      <c r="N147" s="231"/>
      <c r="O147" s="235"/>
      <c r="P147" s="235"/>
      <c r="Q147" s="233"/>
      <c r="R147" s="231"/>
      <c r="S147" s="231"/>
      <c r="T147" s="231"/>
      <c r="U147" s="231"/>
      <c r="V147" s="231"/>
      <c r="W147" s="231"/>
      <c r="X147" s="231"/>
      <c r="Y147" s="231"/>
      <c r="Z147" s="231"/>
      <c r="AA147" s="231"/>
      <c r="AB147" s="231"/>
      <c r="AC147" s="44"/>
    </row>
    <row r="148" spans="1:29" ht="12.75" customHeight="1" x14ac:dyDescent="0.2">
      <c r="A148" s="231"/>
      <c r="B148" s="232"/>
      <c r="C148" s="231"/>
      <c r="D148" s="231"/>
      <c r="E148" s="231"/>
      <c r="F148" s="231"/>
      <c r="G148" s="231"/>
      <c r="H148" s="231"/>
      <c r="I148" s="231"/>
      <c r="J148" s="231"/>
      <c r="K148" s="232"/>
      <c r="L148" s="233"/>
      <c r="M148" s="234"/>
      <c r="N148" s="231"/>
      <c r="O148" s="235"/>
      <c r="P148" s="235"/>
      <c r="Q148" s="233"/>
      <c r="R148" s="231"/>
      <c r="S148" s="231"/>
      <c r="T148" s="231"/>
      <c r="U148" s="231"/>
      <c r="V148" s="231"/>
      <c r="W148" s="231"/>
      <c r="X148" s="231"/>
      <c r="Y148" s="231"/>
      <c r="Z148" s="231"/>
      <c r="AA148" s="231"/>
      <c r="AB148" s="231"/>
      <c r="AC148" s="44"/>
    </row>
    <row r="149" spans="1:29" ht="12.75" customHeight="1" x14ac:dyDescent="0.2">
      <c r="A149" s="231"/>
      <c r="B149" s="232"/>
      <c r="C149" s="231"/>
      <c r="D149" s="231"/>
      <c r="E149" s="231"/>
      <c r="F149" s="231"/>
      <c r="G149" s="231"/>
      <c r="H149" s="231"/>
      <c r="I149" s="231"/>
      <c r="J149" s="231"/>
      <c r="K149" s="232"/>
      <c r="L149" s="233"/>
      <c r="M149" s="234"/>
      <c r="N149" s="231"/>
      <c r="O149" s="235"/>
      <c r="P149" s="235"/>
      <c r="Q149" s="233"/>
      <c r="R149" s="231"/>
      <c r="S149" s="231"/>
      <c r="T149" s="231"/>
      <c r="U149" s="231"/>
      <c r="V149" s="231"/>
      <c r="W149" s="231"/>
      <c r="X149" s="231"/>
      <c r="Y149" s="231"/>
      <c r="Z149" s="231"/>
      <c r="AA149" s="231"/>
      <c r="AB149" s="231"/>
      <c r="AC149" s="44"/>
    </row>
    <row r="150" spans="1:29" ht="12.75" customHeight="1" x14ac:dyDescent="0.2">
      <c r="A150" s="231"/>
      <c r="B150" s="232"/>
      <c r="C150" s="231"/>
      <c r="D150" s="231"/>
      <c r="E150" s="231"/>
      <c r="F150" s="231"/>
      <c r="G150" s="231"/>
      <c r="H150" s="231"/>
      <c r="I150" s="231"/>
      <c r="J150" s="231"/>
      <c r="K150" s="232"/>
      <c r="L150" s="233"/>
      <c r="M150" s="234"/>
      <c r="N150" s="231"/>
      <c r="O150" s="235"/>
      <c r="P150" s="235"/>
      <c r="Q150" s="233"/>
      <c r="R150" s="231"/>
      <c r="S150" s="231"/>
      <c r="T150" s="231"/>
      <c r="U150" s="231"/>
      <c r="V150" s="231"/>
      <c r="W150" s="231"/>
      <c r="X150" s="231"/>
      <c r="Y150" s="231"/>
      <c r="Z150" s="231"/>
      <c r="AA150" s="231"/>
      <c r="AB150" s="231"/>
      <c r="AC150" s="44"/>
    </row>
    <row r="151" spans="1:29" ht="12.75" customHeight="1" x14ac:dyDescent="0.2">
      <c r="A151" s="231"/>
      <c r="B151" s="232"/>
      <c r="C151" s="231"/>
      <c r="D151" s="231"/>
      <c r="E151" s="231"/>
      <c r="F151" s="231"/>
      <c r="G151" s="231"/>
      <c r="H151" s="231"/>
      <c r="I151" s="231"/>
      <c r="J151" s="231"/>
      <c r="K151" s="232"/>
      <c r="L151" s="233"/>
      <c r="M151" s="234"/>
      <c r="N151" s="231"/>
      <c r="O151" s="235"/>
      <c r="P151" s="235"/>
      <c r="Q151" s="233"/>
      <c r="R151" s="231"/>
      <c r="S151" s="231"/>
      <c r="T151" s="231"/>
      <c r="U151" s="231"/>
      <c r="V151" s="231"/>
      <c r="W151" s="231"/>
      <c r="X151" s="231"/>
      <c r="Y151" s="231"/>
      <c r="Z151" s="231"/>
      <c r="AA151" s="231"/>
      <c r="AB151" s="231"/>
      <c r="AC151" s="44"/>
    </row>
    <row r="152" spans="1:29" ht="12.75" customHeight="1" x14ac:dyDescent="0.2">
      <c r="A152" s="231"/>
      <c r="B152" s="232"/>
      <c r="C152" s="231"/>
      <c r="D152" s="231"/>
      <c r="E152" s="231"/>
      <c r="F152" s="231"/>
      <c r="G152" s="231"/>
      <c r="H152" s="231"/>
      <c r="I152" s="231"/>
      <c r="J152" s="231"/>
      <c r="K152" s="232"/>
      <c r="L152" s="233"/>
      <c r="M152" s="234"/>
      <c r="N152" s="231"/>
      <c r="O152" s="235"/>
      <c r="P152" s="235"/>
      <c r="Q152" s="233"/>
      <c r="R152" s="231"/>
      <c r="S152" s="231"/>
      <c r="T152" s="231"/>
      <c r="U152" s="231"/>
      <c r="V152" s="231"/>
      <c r="W152" s="231"/>
      <c r="X152" s="231"/>
      <c r="Y152" s="231"/>
      <c r="Z152" s="231"/>
      <c r="AA152" s="231"/>
      <c r="AB152" s="231"/>
      <c r="AC152" s="44"/>
    </row>
    <row r="153" spans="1:29" ht="12.75" customHeight="1" x14ac:dyDescent="0.2">
      <c r="A153" s="231"/>
      <c r="B153" s="232"/>
      <c r="C153" s="231"/>
      <c r="D153" s="231"/>
      <c r="E153" s="231"/>
      <c r="F153" s="231"/>
      <c r="G153" s="231"/>
      <c r="H153" s="231"/>
      <c r="I153" s="231"/>
      <c r="J153" s="231"/>
      <c r="K153" s="232"/>
      <c r="L153" s="233"/>
      <c r="M153" s="234"/>
      <c r="N153" s="231"/>
      <c r="O153" s="235"/>
      <c r="P153" s="235"/>
      <c r="Q153" s="233"/>
      <c r="R153" s="231"/>
      <c r="S153" s="231"/>
      <c r="T153" s="231"/>
      <c r="U153" s="231"/>
      <c r="V153" s="231"/>
      <c r="W153" s="231"/>
      <c r="X153" s="231"/>
      <c r="Y153" s="231"/>
      <c r="Z153" s="231"/>
      <c r="AA153" s="231"/>
      <c r="AB153" s="231"/>
      <c r="AC153" s="44"/>
    </row>
    <row r="154" spans="1:29" ht="12.75" customHeight="1" x14ac:dyDescent="0.2">
      <c r="A154" s="231"/>
      <c r="B154" s="232"/>
      <c r="C154" s="231"/>
      <c r="D154" s="231"/>
      <c r="E154" s="231"/>
      <c r="F154" s="231"/>
      <c r="G154" s="231"/>
      <c r="H154" s="231"/>
      <c r="I154" s="231"/>
      <c r="J154" s="231"/>
      <c r="K154" s="232"/>
      <c r="L154" s="233"/>
      <c r="M154" s="234"/>
      <c r="N154" s="231"/>
      <c r="O154" s="235"/>
      <c r="P154" s="235"/>
      <c r="Q154" s="233"/>
      <c r="R154" s="231"/>
      <c r="S154" s="231"/>
      <c r="T154" s="231"/>
      <c r="U154" s="231"/>
      <c r="V154" s="231"/>
      <c r="W154" s="231"/>
      <c r="X154" s="231"/>
      <c r="Y154" s="231"/>
      <c r="Z154" s="231"/>
      <c r="AA154" s="231"/>
      <c r="AB154" s="231"/>
      <c r="AC154" s="44"/>
    </row>
    <row r="155" spans="1:29" ht="12.75" customHeight="1" x14ac:dyDescent="0.2">
      <c r="A155" s="231"/>
      <c r="B155" s="232"/>
      <c r="C155" s="231"/>
      <c r="D155" s="231"/>
      <c r="E155" s="231"/>
      <c r="F155" s="231"/>
      <c r="G155" s="231"/>
      <c r="H155" s="231"/>
      <c r="I155" s="231"/>
      <c r="J155" s="231"/>
      <c r="K155" s="232"/>
      <c r="L155" s="233"/>
      <c r="M155" s="234"/>
      <c r="N155" s="231"/>
      <c r="O155" s="235"/>
      <c r="P155" s="235"/>
      <c r="Q155" s="233"/>
      <c r="R155" s="231"/>
      <c r="S155" s="231"/>
      <c r="T155" s="231"/>
      <c r="U155" s="231"/>
      <c r="V155" s="231"/>
      <c r="W155" s="231"/>
      <c r="X155" s="231"/>
      <c r="Y155" s="231"/>
      <c r="Z155" s="231"/>
      <c r="AA155" s="231"/>
      <c r="AB155" s="231"/>
      <c r="AC155" s="44"/>
    </row>
    <row r="156" spans="1:29" ht="12.75" customHeight="1" x14ac:dyDescent="0.2">
      <c r="A156" s="231"/>
      <c r="B156" s="232"/>
      <c r="C156" s="231"/>
      <c r="D156" s="231"/>
      <c r="E156" s="231"/>
      <c r="F156" s="231"/>
      <c r="G156" s="231"/>
      <c r="H156" s="231"/>
      <c r="I156" s="231"/>
      <c r="J156" s="231"/>
      <c r="K156" s="232"/>
      <c r="L156" s="233"/>
      <c r="M156" s="234"/>
      <c r="N156" s="231"/>
      <c r="O156" s="235"/>
      <c r="P156" s="235"/>
      <c r="Q156" s="233"/>
      <c r="R156" s="231"/>
      <c r="S156" s="231"/>
      <c r="T156" s="231"/>
      <c r="U156" s="231"/>
      <c r="V156" s="231"/>
      <c r="W156" s="231"/>
      <c r="X156" s="231"/>
      <c r="Y156" s="231"/>
      <c r="Z156" s="231"/>
      <c r="AA156" s="231"/>
      <c r="AB156" s="231"/>
      <c r="AC156" s="44"/>
    </row>
    <row r="157" spans="1:29" ht="12.75" customHeight="1" x14ac:dyDescent="0.2">
      <c r="A157" s="231"/>
      <c r="B157" s="232"/>
      <c r="C157" s="231"/>
      <c r="D157" s="231"/>
      <c r="E157" s="231"/>
      <c r="F157" s="231"/>
      <c r="G157" s="231"/>
      <c r="H157" s="231"/>
      <c r="I157" s="231"/>
      <c r="J157" s="231"/>
      <c r="K157" s="232"/>
      <c r="L157" s="233"/>
      <c r="M157" s="234"/>
      <c r="N157" s="231"/>
      <c r="O157" s="235"/>
      <c r="P157" s="235"/>
      <c r="Q157" s="233"/>
      <c r="R157" s="231"/>
      <c r="S157" s="231"/>
      <c r="T157" s="231"/>
      <c r="U157" s="231"/>
      <c r="V157" s="231"/>
      <c r="W157" s="231"/>
      <c r="X157" s="231"/>
      <c r="Y157" s="231"/>
      <c r="Z157" s="231"/>
      <c r="AA157" s="231"/>
      <c r="AB157" s="231"/>
      <c r="AC157" s="44"/>
    </row>
    <row r="158" spans="1:29" ht="12.75" customHeight="1" x14ac:dyDescent="0.2">
      <c r="A158" s="231"/>
      <c r="B158" s="232"/>
      <c r="C158" s="231"/>
      <c r="D158" s="231"/>
      <c r="E158" s="231"/>
      <c r="F158" s="231"/>
      <c r="G158" s="231"/>
      <c r="H158" s="231"/>
      <c r="I158" s="231"/>
      <c r="J158" s="231"/>
      <c r="K158" s="232"/>
      <c r="L158" s="233"/>
      <c r="M158" s="234"/>
      <c r="N158" s="231"/>
      <c r="O158" s="235"/>
      <c r="P158" s="235"/>
      <c r="Q158" s="233"/>
      <c r="R158" s="231"/>
      <c r="S158" s="231"/>
      <c r="T158" s="231"/>
      <c r="U158" s="231"/>
      <c r="V158" s="231"/>
      <c r="W158" s="231"/>
      <c r="X158" s="231"/>
      <c r="Y158" s="231"/>
      <c r="Z158" s="231"/>
      <c r="AA158" s="231"/>
      <c r="AB158" s="231"/>
      <c r="AC158" s="44"/>
    </row>
    <row r="159" spans="1:29" ht="12.75" customHeight="1" x14ac:dyDescent="0.2">
      <c r="A159" s="231"/>
      <c r="B159" s="232"/>
      <c r="C159" s="231"/>
      <c r="D159" s="231"/>
      <c r="E159" s="231"/>
      <c r="F159" s="231"/>
      <c r="G159" s="231"/>
      <c r="H159" s="231"/>
      <c r="I159" s="231"/>
      <c r="J159" s="231"/>
      <c r="K159" s="232"/>
      <c r="L159" s="233"/>
      <c r="M159" s="234"/>
      <c r="N159" s="231"/>
      <c r="O159" s="235"/>
      <c r="P159" s="235"/>
      <c r="Q159" s="233"/>
      <c r="R159" s="231"/>
      <c r="S159" s="231"/>
      <c r="T159" s="231"/>
      <c r="U159" s="231"/>
      <c r="V159" s="231"/>
      <c r="W159" s="231"/>
      <c r="X159" s="231"/>
      <c r="Y159" s="231"/>
      <c r="Z159" s="231"/>
      <c r="AA159" s="231"/>
      <c r="AB159" s="231"/>
      <c r="AC159" s="44"/>
    </row>
    <row r="160" spans="1:29" ht="12.75" customHeight="1" x14ac:dyDescent="0.2">
      <c r="A160" s="231"/>
      <c r="B160" s="232"/>
      <c r="C160" s="231"/>
      <c r="D160" s="231"/>
      <c r="E160" s="231"/>
      <c r="F160" s="231"/>
      <c r="G160" s="231"/>
      <c r="H160" s="231"/>
      <c r="I160" s="231"/>
      <c r="J160" s="231"/>
      <c r="K160" s="232"/>
      <c r="L160" s="233"/>
      <c r="M160" s="234"/>
      <c r="N160" s="231"/>
      <c r="O160" s="235"/>
      <c r="P160" s="235"/>
      <c r="Q160" s="233"/>
      <c r="R160" s="231"/>
      <c r="S160" s="231"/>
      <c r="T160" s="231"/>
      <c r="U160" s="231"/>
      <c r="V160" s="231"/>
      <c r="W160" s="231"/>
      <c r="X160" s="231"/>
      <c r="Y160" s="231"/>
      <c r="Z160" s="231"/>
      <c r="AA160" s="231"/>
      <c r="AB160" s="231"/>
      <c r="AC160" s="44"/>
    </row>
    <row r="161" spans="1:29" ht="12.75" customHeight="1" x14ac:dyDescent="0.2">
      <c r="A161" s="231"/>
      <c r="B161" s="232"/>
      <c r="C161" s="231"/>
      <c r="D161" s="231"/>
      <c r="E161" s="231"/>
      <c r="F161" s="231"/>
      <c r="G161" s="231"/>
      <c r="H161" s="231"/>
      <c r="I161" s="231"/>
      <c r="J161" s="231"/>
      <c r="K161" s="232"/>
      <c r="L161" s="233"/>
      <c r="M161" s="234"/>
      <c r="N161" s="231"/>
      <c r="O161" s="235"/>
      <c r="P161" s="235"/>
      <c r="Q161" s="233"/>
      <c r="R161" s="231"/>
      <c r="S161" s="231"/>
      <c r="T161" s="231"/>
      <c r="U161" s="231"/>
      <c r="V161" s="231"/>
      <c r="W161" s="231"/>
      <c r="X161" s="231"/>
      <c r="Y161" s="231"/>
      <c r="Z161" s="231"/>
      <c r="AA161" s="231"/>
      <c r="AB161" s="231"/>
      <c r="AC161" s="44"/>
    </row>
    <row r="162" spans="1:29" ht="12.75" customHeight="1" x14ac:dyDescent="0.2">
      <c r="A162" s="231"/>
      <c r="B162" s="232"/>
      <c r="C162" s="231"/>
      <c r="D162" s="231"/>
      <c r="E162" s="231"/>
      <c r="F162" s="231"/>
      <c r="G162" s="231"/>
      <c r="H162" s="231"/>
      <c r="I162" s="231"/>
      <c r="J162" s="231"/>
      <c r="K162" s="232"/>
      <c r="L162" s="233"/>
      <c r="M162" s="234"/>
      <c r="N162" s="231"/>
      <c r="O162" s="235"/>
      <c r="P162" s="235"/>
      <c r="Q162" s="233"/>
      <c r="R162" s="231"/>
      <c r="S162" s="231"/>
      <c r="T162" s="231"/>
      <c r="U162" s="231"/>
      <c r="V162" s="231"/>
      <c r="W162" s="231"/>
      <c r="X162" s="231"/>
      <c r="Y162" s="231"/>
      <c r="Z162" s="231"/>
      <c r="AA162" s="231"/>
      <c r="AB162" s="231"/>
      <c r="AC162" s="44"/>
    </row>
    <row r="163" spans="1:29" ht="12.75" customHeight="1" x14ac:dyDescent="0.2">
      <c r="A163" s="231"/>
      <c r="B163" s="232"/>
      <c r="C163" s="231"/>
      <c r="D163" s="231"/>
      <c r="E163" s="231"/>
      <c r="F163" s="231"/>
      <c r="G163" s="231"/>
      <c r="H163" s="231"/>
      <c r="I163" s="231"/>
      <c r="J163" s="231"/>
      <c r="K163" s="232"/>
      <c r="L163" s="233"/>
      <c r="M163" s="234"/>
      <c r="N163" s="231"/>
      <c r="O163" s="235"/>
      <c r="P163" s="235"/>
      <c r="Q163" s="233"/>
      <c r="R163" s="231"/>
      <c r="S163" s="231"/>
      <c r="T163" s="231"/>
      <c r="U163" s="231"/>
      <c r="V163" s="231"/>
      <c r="W163" s="231"/>
      <c r="X163" s="231"/>
      <c r="Y163" s="231"/>
      <c r="Z163" s="231"/>
      <c r="AA163" s="231"/>
      <c r="AB163" s="231"/>
      <c r="AC163" s="44"/>
    </row>
    <row r="164" spans="1:29" ht="12.75" customHeight="1" x14ac:dyDescent="0.2">
      <c r="A164" s="231"/>
      <c r="B164" s="232"/>
      <c r="C164" s="231"/>
      <c r="D164" s="231"/>
      <c r="E164" s="231"/>
      <c r="F164" s="231"/>
      <c r="G164" s="231"/>
      <c r="H164" s="231"/>
      <c r="I164" s="231"/>
      <c r="J164" s="231"/>
      <c r="K164" s="232"/>
      <c r="L164" s="233"/>
      <c r="M164" s="234"/>
      <c r="N164" s="231"/>
      <c r="O164" s="235"/>
      <c r="P164" s="235"/>
      <c r="Q164" s="233"/>
      <c r="R164" s="231"/>
      <c r="S164" s="231"/>
      <c r="T164" s="231"/>
      <c r="U164" s="231"/>
      <c r="V164" s="231"/>
      <c r="W164" s="231"/>
      <c r="X164" s="231"/>
      <c r="Y164" s="231"/>
      <c r="Z164" s="231"/>
      <c r="AA164" s="231"/>
      <c r="AB164" s="231"/>
      <c r="AC164" s="44"/>
    </row>
    <row r="165" spans="1:29" ht="12.75" customHeight="1" x14ac:dyDescent="0.2"/>
    <row r="166" spans="1:29" ht="12.75" customHeight="1" x14ac:dyDescent="0.2"/>
    <row r="167" spans="1:29" ht="12.75" customHeight="1" x14ac:dyDescent="0.2"/>
    <row r="168" spans="1:29" ht="12.75" customHeight="1" x14ac:dyDescent="0.2"/>
    <row r="169" spans="1:29" ht="12.75" customHeight="1" x14ac:dyDescent="0.2"/>
    <row r="170" spans="1:29" ht="12.75" customHeight="1" x14ac:dyDescent="0.2"/>
    <row r="171" spans="1:29" ht="12.75" customHeight="1" x14ac:dyDescent="0.2"/>
    <row r="172" spans="1:29" ht="12.75" customHeight="1" x14ac:dyDescent="0.2"/>
    <row r="173" spans="1:29" ht="12.75" customHeight="1" x14ac:dyDescent="0.2"/>
    <row r="174" spans="1:29" ht="12.75" customHeight="1" x14ac:dyDescent="0.2"/>
    <row r="175" spans="1:29" ht="12.75" customHeight="1" x14ac:dyDescent="0.2"/>
    <row r="176" spans="1:29" ht="12.75" customHeight="1" x14ac:dyDescent="0.2"/>
    <row r="177" ht="12.75" customHeight="1" x14ac:dyDescent="0.2"/>
    <row r="178" ht="12.75" customHeight="1" x14ac:dyDescent="0.2"/>
  </sheetData>
  <sheetProtection algorithmName="SHA-512" hashValue="2fBPWT1qviASTcj426Grp3R+TcEtsWLbw+2b1WfcymbUwuKggvDklK5dPwp85qJ/neAE3RG2I3MEJ27RQFwfFA==" saltValue="lztinPtNVgTPlg3TFabUsA==" spinCount="100000" sheet="1" objects="1" scenarios="1"/>
  <pageMargins left="0.7" right="0.7" top="0.75" bottom="0.75" header="0.3" footer="0.3"/>
  <pageSetup orientation="portrait" r:id="rId1"/>
  <tableParts count="13">
    <tablePart r:id="rId2"/>
    <tablePart r:id="rId3"/>
    <tablePart r:id="rId4"/>
    <tablePart r:id="rId5"/>
    <tablePart r:id="rId6"/>
    <tablePart r:id="rId7"/>
    <tablePart r:id="rId8"/>
    <tablePart r:id="rId9"/>
    <tablePart r:id="rId10"/>
    <tablePart r:id="rId11"/>
    <tablePart r:id="rId12"/>
    <tablePart r:id="rId13"/>
    <tablePart r:id="rId14"/>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AS215"/>
  <sheetViews>
    <sheetView showGridLines="0" showRowColHeaders="0" zoomScale="85" zoomScaleNormal="85" workbookViewId="0">
      <selection activeCell="C14" sqref="C14:H14"/>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AH1" s="711" t="s">
        <v>494</v>
      </c>
      <c r="AI1" s="712"/>
      <c r="AJ1" s="712"/>
      <c r="AK1" s="712"/>
      <c r="AL1" s="723" t="s">
        <v>911</v>
      </c>
      <c r="AM1" s="723"/>
      <c r="AN1" s="723"/>
      <c r="AO1" s="723"/>
      <c r="AP1" s="723"/>
      <c r="AQ1" s="717" t="s">
        <v>499</v>
      </c>
      <c r="AR1" s="718"/>
    </row>
    <row r="2" spans="3:44" ht="15.95" customHeight="1" x14ac:dyDescent="0.25">
      <c r="AH2" s="713" t="str">
        <f ca="1">INCENSTATUS</f>
        <v>---</v>
      </c>
      <c r="AI2" s="714"/>
      <c r="AJ2" s="714"/>
      <c r="AK2" s="714"/>
      <c r="AL2" s="724" t="str">
        <f ca="1">PROJSTATUS</f>
        <v>Please Complete Initial Application</v>
      </c>
      <c r="AM2" s="724"/>
      <c r="AN2" s="724"/>
      <c r="AO2" s="724"/>
      <c r="AP2" s="724"/>
      <c r="AQ2" s="719">
        <f ca="1">PROGRESSSTATUS</f>
        <v>0</v>
      </c>
      <c r="AR2" s="720"/>
    </row>
    <row r="3" spans="3:44" ht="15.95" customHeight="1" x14ac:dyDescent="0.25">
      <c r="AH3" s="715"/>
      <c r="AI3" s="716"/>
      <c r="AJ3" s="716"/>
      <c r="AK3" s="716"/>
      <c r="AL3" s="725"/>
      <c r="AM3" s="725"/>
      <c r="AN3" s="725"/>
      <c r="AO3" s="725"/>
      <c r="AP3" s="725"/>
      <c r="AQ3" s="721"/>
      <c r="AR3" s="722"/>
    </row>
    <row r="4" spans="3:44" ht="15.95" customHeight="1" x14ac:dyDescent="0.25"/>
    <row r="5" spans="3:44" ht="15.95" customHeight="1" x14ac:dyDescent="0.25"/>
    <row r="6" spans="3:44" ht="15.95" customHeight="1" x14ac:dyDescent="0.25"/>
    <row r="7" spans="3:44" ht="15.95" customHeight="1" x14ac:dyDescent="0.25"/>
    <row r="8" spans="3:44" ht="15.95" customHeight="1" x14ac:dyDescent="0.25"/>
    <row r="9" spans="3:44" ht="15.95" customHeight="1" x14ac:dyDescent="0.25"/>
    <row r="10" spans="3:44" ht="15.95" customHeight="1" x14ac:dyDescent="0.3">
      <c r="F10" s="732" t="s">
        <v>1452</v>
      </c>
      <c r="G10" s="732"/>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row>
    <row r="11" spans="3:44" ht="15.95" customHeight="1" x14ac:dyDescent="0.25">
      <c r="F11" s="888" t="s">
        <v>1673</v>
      </c>
      <c r="G11" s="888"/>
      <c r="H11" s="888"/>
      <c r="I11" s="888"/>
      <c r="J11" s="888"/>
      <c r="K11" s="888"/>
      <c r="L11" s="888"/>
      <c r="M11" s="888"/>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row>
    <row r="12" spans="3:44" ht="15.95" customHeight="1" x14ac:dyDescent="0.25">
      <c r="F12" s="888"/>
      <c r="G12" s="888"/>
      <c r="H12" s="888"/>
      <c r="I12" s="888"/>
      <c r="J12" s="888"/>
      <c r="K12" s="888"/>
      <c r="L12" s="888"/>
      <c r="M12" s="888"/>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row>
    <row r="13" spans="3:44" ht="15.95" customHeight="1" thickBot="1" x14ac:dyDescent="0.3">
      <c r="C13" s="912" t="s">
        <v>1674</v>
      </c>
      <c r="D13" s="912"/>
      <c r="E13" s="912"/>
      <c r="F13" s="912"/>
      <c r="G13" s="912"/>
      <c r="H13" s="912"/>
      <c r="I13" s="422"/>
      <c r="J13" s="422"/>
      <c r="K13" s="422"/>
      <c r="L13" s="422"/>
      <c r="M13" s="422"/>
      <c r="N13" s="422"/>
      <c r="O13" s="422"/>
      <c r="P13" s="422"/>
      <c r="Q13" s="422"/>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c r="AO13" s="135"/>
      <c r="AP13" s="135"/>
      <c r="AQ13" s="135"/>
    </row>
    <row r="14" spans="3:44" ht="15.95" customHeight="1" thickBot="1" x14ac:dyDescent="0.3">
      <c r="C14" s="925" t="str">
        <f>IF(M02S02F13="","",M02S02F13)</f>
        <v/>
      </c>
      <c r="D14" s="926"/>
      <c r="E14" s="926"/>
      <c r="F14" s="926"/>
      <c r="G14" s="926"/>
      <c r="H14" s="927"/>
      <c r="I14" s="422"/>
      <c r="J14" s="422"/>
      <c r="K14" s="422"/>
      <c r="L14" s="422"/>
      <c r="M14" s="422"/>
      <c r="N14" s="422"/>
      <c r="O14" s="422"/>
      <c r="P14" s="422"/>
      <c r="Q14" s="422"/>
      <c r="R14" s="422"/>
      <c r="S14" s="422"/>
      <c r="T14" s="422"/>
      <c r="U14" s="422"/>
      <c r="V14" s="422"/>
      <c r="W14" s="422"/>
      <c r="X14" s="422"/>
      <c r="Y14" s="422"/>
      <c r="Z14" s="422"/>
      <c r="AA14" s="422"/>
      <c r="AB14" s="422"/>
      <c r="AC14" s="422"/>
      <c r="AD14" s="422"/>
      <c r="AE14" s="422"/>
      <c r="AF14" s="422"/>
      <c r="AG14" s="422"/>
      <c r="AH14" s="422"/>
      <c r="AI14" s="422"/>
      <c r="AJ14" s="422"/>
      <c r="AK14" s="422"/>
      <c r="AL14" s="422"/>
      <c r="AM14" s="422"/>
      <c r="AN14" s="422"/>
      <c r="AO14" s="135"/>
      <c r="AP14" s="135"/>
      <c r="AQ14" s="135"/>
    </row>
    <row r="15" spans="3:44" ht="15.95" customHeight="1" x14ac:dyDescent="0.25">
      <c r="C15" s="135"/>
      <c r="D15" s="135"/>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row>
    <row r="16" spans="3:44" ht="15.95" customHeight="1" thickBot="1" x14ac:dyDescent="0.3">
      <c r="C16" s="912" t="s">
        <v>1421</v>
      </c>
      <c r="D16" s="912"/>
      <c r="E16" s="912"/>
      <c r="F16" s="912"/>
      <c r="G16" s="912"/>
      <c r="H16" s="912"/>
      <c r="I16" s="135"/>
      <c r="J16" s="912" t="s">
        <v>1675</v>
      </c>
      <c r="K16" s="912"/>
      <c r="L16" s="912"/>
      <c r="M16" s="912"/>
      <c r="N16" s="912"/>
      <c r="O16" s="912"/>
      <c r="P16" s="135"/>
      <c r="Q16" s="912" t="s">
        <v>530</v>
      </c>
      <c r="R16" s="912"/>
      <c r="S16" s="912"/>
      <c r="T16" s="912"/>
      <c r="U16" s="912"/>
      <c r="V16" s="912"/>
      <c r="W16" s="135"/>
      <c r="X16" s="912" t="s">
        <v>85</v>
      </c>
      <c r="Y16" s="912"/>
      <c r="Z16" s="912"/>
      <c r="AA16" s="912"/>
      <c r="AB16" s="912"/>
      <c r="AC16" s="912"/>
      <c r="AD16" s="63"/>
      <c r="AE16" s="912" t="s">
        <v>86</v>
      </c>
      <c r="AF16" s="912"/>
      <c r="AG16" s="912"/>
      <c r="AH16" s="912"/>
      <c r="AI16" s="912"/>
      <c r="AJ16" s="912"/>
      <c r="AK16" s="135"/>
      <c r="AL16" s="912" t="s">
        <v>87</v>
      </c>
      <c r="AM16" s="912"/>
      <c r="AN16" s="912"/>
      <c r="AO16" s="912"/>
      <c r="AP16" s="912"/>
      <c r="AQ16" s="912"/>
    </row>
    <row r="17" spans="3:43" ht="15.95" customHeight="1" thickBot="1" x14ac:dyDescent="0.3">
      <c r="C17" s="934"/>
      <c r="D17" s="827"/>
      <c r="E17" s="827"/>
      <c r="F17" s="827"/>
      <c r="G17" s="827"/>
      <c r="H17" s="828"/>
      <c r="I17" s="135"/>
      <c r="J17" s="812"/>
      <c r="K17" s="813"/>
      <c r="L17" s="813"/>
      <c r="M17" s="813"/>
      <c r="N17" s="813"/>
      <c r="O17" s="814"/>
      <c r="P17" s="135"/>
      <c r="Q17" s="925" t="str">
        <f>IF(M02S02F22="","",M02S02F22)</f>
        <v/>
      </c>
      <c r="R17" s="926"/>
      <c r="S17" s="926"/>
      <c r="T17" s="926"/>
      <c r="U17" s="926"/>
      <c r="V17" s="927"/>
      <c r="W17" s="419"/>
      <c r="X17" s="925" t="str">
        <f>IF(M02S02F23="","",M02S02F23)</f>
        <v/>
      </c>
      <c r="Y17" s="926"/>
      <c r="Z17" s="926"/>
      <c r="AA17" s="926"/>
      <c r="AB17" s="926"/>
      <c r="AC17" s="927"/>
      <c r="AD17" s="63"/>
      <c r="AE17" s="925" t="str">
        <f>IF(M02S02F24="","",M02S02F24)</f>
        <v>MO</v>
      </c>
      <c r="AF17" s="926"/>
      <c r="AG17" s="926"/>
      <c r="AH17" s="926"/>
      <c r="AI17" s="926"/>
      <c r="AJ17" s="927"/>
      <c r="AK17" s="419"/>
      <c r="AL17" s="928" t="str">
        <f>IF(M02S02F25="","",M02S02F25)</f>
        <v/>
      </c>
      <c r="AM17" s="929"/>
      <c r="AN17" s="929"/>
      <c r="AO17" s="929"/>
      <c r="AP17" s="929"/>
      <c r="AQ17" s="930"/>
    </row>
    <row r="18" spans="3:43" ht="15.95" customHeight="1" x14ac:dyDescent="0.25">
      <c r="C18" s="135"/>
      <c r="D18" s="135"/>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row>
    <row r="19" spans="3:43" ht="15.95" customHeight="1" thickBot="1" x14ac:dyDescent="0.3">
      <c r="C19" s="912" t="s">
        <v>1676</v>
      </c>
      <c r="D19" s="912"/>
      <c r="E19" s="912"/>
      <c r="F19" s="912"/>
      <c r="G19" s="912"/>
      <c r="H19" s="912"/>
      <c r="I19" s="135"/>
      <c r="J19" s="912"/>
      <c r="K19" s="912"/>
      <c r="L19" s="912"/>
      <c r="M19" s="912"/>
      <c r="N19" s="912"/>
      <c r="O19" s="912"/>
      <c r="P19" s="135"/>
      <c r="Q19" s="912"/>
      <c r="R19" s="912"/>
      <c r="S19" s="912"/>
      <c r="T19" s="912"/>
      <c r="U19" s="912"/>
      <c r="V19" s="912"/>
      <c r="W19" s="135"/>
      <c r="X19" s="912"/>
      <c r="Y19" s="912"/>
      <c r="Z19" s="912"/>
      <c r="AA19" s="912"/>
      <c r="AB19" s="912"/>
      <c r="AC19" s="912"/>
      <c r="AD19" s="135"/>
      <c r="AE19" s="912"/>
      <c r="AF19" s="912"/>
      <c r="AG19" s="912"/>
      <c r="AH19" s="912"/>
      <c r="AI19" s="912"/>
      <c r="AJ19" s="912"/>
      <c r="AK19" s="63"/>
      <c r="AL19" s="912"/>
      <c r="AM19" s="912"/>
      <c r="AN19" s="912"/>
      <c r="AO19" s="912"/>
      <c r="AP19" s="912"/>
      <c r="AQ19" s="912"/>
    </row>
    <row r="20" spans="3:43" ht="15.95" customHeight="1" thickBot="1" x14ac:dyDescent="0.3">
      <c r="C20" s="825"/>
      <c r="D20" s="810"/>
      <c r="E20" s="810"/>
      <c r="F20" s="810"/>
      <c r="G20" s="810"/>
      <c r="H20" s="811"/>
      <c r="I20" s="135"/>
      <c r="J20" s="825"/>
      <c r="K20" s="810"/>
      <c r="L20" s="810"/>
      <c r="M20" s="810"/>
      <c r="N20" s="810"/>
      <c r="O20" s="811"/>
      <c r="P20" s="419"/>
      <c r="Q20" s="931"/>
      <c r="R20" s="932"/>
      <c r="S20" s="932"/>
      <c r="T20" s="932"/>
      <c r="U20" s="932"/>
      <c r="V20" s="933"/>
      <c r="W20" s="135"/>
      <c r="X20" s="825"/>
      <c r="Y20" s="810"/>
      <c r="Z20" s="810"/>
      <c r="AA20" s="810"/>
      <c r="AB20" s="810"/>
      <c r="AC20" s="811"/>
      <c r="AD20" s="135"/>
      <c r="AE20" s="825"/>
      <c r="AF20" s="810"/>
      <c r="AG20" s="810"/>
      <c r="AH20" s="810"/>
      <c r="AI20" s="810"/>
      <c r="AJ20" s="811"/>
      <c r="AK20" s="63"/>
      <c r="AL20" s="825"/>
      <c r="AM20" s="810"/>
      <c r="AN20" s="810"/>
      <c r="AO20" s="810"/>
      <c r="AP20" s="810"/>
      <c r="AQ20" s="811"/>
    </row>
    <row r="21" spans="3:43" ht="15.95" customHeight="1" x14ac:dyDescent="0.25">
      <c r="C21" s="135"/>
      <c r="D21" s="135"/>
      <c r="E21" s="135"/>
      <c r="F21" s="135"/>
      <c r="G21" s="13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c r="AQ21" s="135"/>
    </row>
    <row r="22" spans="3:43" ht="15.95" customHeight="1" thickBot="1" x14ac:dyDescent="0.3">
      <c r="C22" s="135" t="s">
        <v>1677</v>
      </c>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row>
    <row r="23" spans="3:43" ht="15.95" customHeight="1" x14ac:dyDescent="0.25">
      <c r="C23" s="913"/>
      <c r="D23" s="856"/>
      <c r="E23" s="856"/>
      <c r="F23" s="856"/>
      <c r="G23" s="856"/>
      <c r="H23" s="856"/>
      <c r="I23" s="856"/>
      <c r="J23" s="856"/>
      <c r="K23" s="856"/>
      <c r="L23" s="856"/>
      <c r="M23" s="856"/>
      <c r="N23" s="856"/>
      <c r="O23" s="856"/>
      <c r="P23" s="856"/>
      <c r="Q23" s="856"/>
      <c r="R23" s="856"/>
      <c r="S23" s="856"/>
      <c r="T23" s="856"/>
      <c r="U23" s="856"/>
      <c r="V23" s="856"/>
      <c r="W23" s="856"/>
      <c r="X23" s="856"/>
      <c r="Y23" s="856"/>
      <c r="Z23" s="856"/>
      <c r="AA23" s="856"/>
      <c r="AB23" s="856"/>
      <c r="AC23" s="856"/>
      <c r="AD23" s="856"/>
      <c r="AE23" s="856"/>
      <c r="AF23" s="856"/>
      <c r="AG23" s="856"/>
      <c r="AH23" s="856"/>
      <c r="AI23" s="856"/>
      <c r="AJ23" s="856"/>
      <c r="AK23" s="856"/>
      <c r="AL23" s="856"/>
      <c r="AM23" s="856"/>
      <c r="AN23" s="856"/>
      <c r="AO23" s="856"/>
      <c r="AP23" s="856"/>
      <c r="AQ23" s="857"/>
    </row>
    <row r="24" spans="3:43" ht="15.95" customHeight="1" x14ac:dyDescent="0.25">
      <c r="C24" s="858"/>
      <c r="D24" s="859"/>
      <c r="E24" s="859"/>
      <c r="F24" s="859"/>
      <c r="G24" s="859"/>
      <c r="H24" s="859"/>
      <c r="I24" s="859"/>
      <c r="J24" s="859"/>
      <c r="K24" s="859"/>
      <c r="L24" s="859"/>
      <c r="M24" s="859"/>
      <c r="N24" s="859"/>
      <c r="O24" s="859"/>
      <c r="P24" s="859"/>
      <c r="Q24" s="859"/>
      <c r="R24" s="859"/>
      <c r="S24" s="859"/>
      <c r="T24" s="859"/>
      <c r="U24" s="859"/>
      <c r="V24" s="859"/>
      <c r="W24" s="859"/>
      <c r="X24" s="859"/>
      <c r="Y24" s="859"/>
      <c r="Z24" s="859"/>
      <c r="AA24" s="859"/>
      <c r="AB24" s="859"/>
      <c r="AC24" s="859"/>
      <c r="AD24" s="859"/>
      <c r="AE24" s="859"/>
      <c r="AF24" s="859"/>
      <c r="AG24" s="859"/>
      <c r="AH24" s="859"/>
      <c r="AI24" s="859"/>
      <c r="AJ24" s="859"/>
      <c r="AK24" s="859"/>
      <c r="AL24" s="859"/>
      <c r="AM24" s="859"/>
      <c r="AN24" s="859"/>
      <c r="AO24" s="859"/>
      <c r="AP24" s="859"/>
      <c r="AQ24" s="860"/>
    </row>
    <row r="25" spans="3:43" ht="15.95" customHeight="1" x14ac:dyDescent="0.25">
      <c r="C25" s="858"/>
      <c r="D25" s="859"/>
      <c r="E25" s="859"/>
      <c r="F25" s="859"/>
      <c r="G25" s="859"/>
      <c r="H25" s="859"/>
      <c r="I25" s="859"/>
      <c r="J25" s="859"/>
      <c r="K25" s="859"/>
      <c r="L25" s="859"/>
      <c r="M25" s="859"/>
      <c r="N25" s="859"/>
      <c r="O25" s="859"/>
      <c r="P25" s="859"/>
      <c r="Q25" s="859"/>
      <c r="R25" s="859"/>
      <c r="S25" s="859"/>
      <c r="T25" s="859"/>
      <c r="U25" s="859"/>
      <c r="V25" s="859"/>
      <c r="W25" s="859"/>
      <c r="X25" s="859"/>
      <c r="Y25" s="859"/>
      <c r="Z25" s="859"/>
      <c r="AA25" s="859"/>
      <c r="AB25" s="859"/>
      <c r="AC25" s="859"/>
      <c r="AD25" s="859"/>
      <c r="AE25" s="859"/>
      <c r="AF25" s="859"/>
      <c r="AG25" s="859"/>
      <c r="AH25" s="859"/>
      <c r="AI25" s="859"/>
      <c r="AJ25" s="859"/>
      <c r="AK25" s="859"/>
      <c r="AL25" s="859"/>
      <c r="AM25" s="859"/>
      <c r="AN25" s="859"/>
      <c r="AO25" s="859"/>
      <c r="AP25" s="859"/>
      <c r="AQ25" s="860"/>
    </row>
    <row r="26" spans="3:43" ht="15.95" customHeight="1" x14ac:dyDescent="0.25">
      <c r="C26" s="858"/>
      <c r="D26" s="859"/>
      <c r="E26" s="859"/>
      <c r="F26" s="859"/>
      <c r="G26" s="859"/>
      <c r="H26" s="859"/>
      <c r="I26" s="859"/>
      <c r="J26" s="859"/>
      <c r="K26" s="859"/>
      <c r="L26" s="859"/>
      <c r="M26" s="859"/>
      <c r="N26" s="859"/>
      <c r="O26" s="859"/>
      <c r="P26" s="859"/>
      <c r="Q26" s="859"/>
      <c r="R26" s="859"/>
      <c r="S26" s="859"/>
      <c r="T26" s="859"/>
      <c r="U26" s="859"/>
      <c r="V26" s="859"/>
      <c r="W26" s="859"/>
      <c r="X26" s="859"/>
      <c r="Y26" s="859"/>
      <c r="Z26" s="859"/>
      <c r="AA26" s="859"/>
      <c r="AB26" s="859"/>
      <c r="AC26" s="859"/>
      <c r="AD26" s="859"/>
      <c r="AE26" s="859"/>
      <c r="AF26" s="859"/>
      <c r="AG26" s="859"/>
      <c r="AH26" s="859"/>
      <c r="AI26" s="859"/>
      <c r="AJ26" s="859"/>
      <c r="AK26" s="859"/>
      <c r="AL26" s="859"/>
      <c r="AM26" s="859"/>
      <c r="AN26" s="859"/>
      <c r="AO26" s="859"/>
      <c r="AP26" s="859"/>
      <c r="AQ26" s="860"/>
    </row>
    <row r="27" spans="3:43" ht="15.95" customHeight="1" thickBot="1" x14ac:dyDescent="0.3">
      <c r="C27" s="861"/>
      <c r="D27" s="862"/>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62"/>
      <c r="AG27" s="862"/>
      <c r="AH27" s="862"/>
      <c r="AI27" s="862"/>
      <c r="AJ27" s="862"/>
      <c r="AK27" s="862"/>
      <c r="AL27" s="862"/>
      <c r="AM27" s="862"/>
      <c r="AN27" s="862"/>
      <c r="AO27" s="862"/>
      <c r="AP27" s="862"/>
      <c r="AQ27" s="863"/>
    </row>
    <row r="28" spans="3:43" ht="15.95" customHeight="1" x14ac:dyDescent="0.25">
      <c r="C28" s="135"/>
      <c r="D28" s="135"/>
      <c r="E28" s="135"/>
      <c r="F28" s="135"/>
      <c r="G28" s="135"/>
      <c r="H28" s="135"/>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row>
    <row r="29" spans="3:43" ht="15.95" customHeight="1" thickBot="1" x14ac:dyDescent="0.3">
      <c r="C29" s="135" t="s">
        <v>1678</v>
      </c>
      <c r="D29" s="135"/>
      <c r="E29" s="135"/>
      <c r="F29" s="135"/>
      <c r="G29" s="135"/>
      <c r="H29" s="135"/>
      <c r="I29" s="135"/>
      <c r="J29" s="915" t="s">
        <v>2290</v>
      </c>
      <c r="K29" s="916"/>
      <c r="L29" s="916"/>
      <c r="M29" s="916"/>
      <c r="N29" s="916"/>
      <c r="O29" s="916"/>
      <c r="P29" s="916"/>
      <c r="Q29" s="916"/>
      <c r="R29" s="916"/>
      <c r="S29" s="916"/>
      <c r="T29" s="916"/>
      <c r="U29" s="916"/>
      <c r="V29" s="916"/>
      <c r="W29" s="916"/>
      <c r="X29" s="916"/>
      <c r="Y29" s="916"/>
      <c r="Z29" s="916"/>
      <c r="AA29" s="916"/>
      <c r="AB29" s="916"/>
      <c r="AC29" s="916"/>
      <c r="AD29" s="916"/>
      <c r="AE29" s="916"/>
      <c r="AF29" s="916"/>
      <c r="AG29" s="916"/>
      <c r="AH29" s="916"/>
      <c r="AI29" s="916"/>
      <c r="AJ29" s="916"/>
      <c r="AK29" s="916"/>
      <c r="AL29" s="916"/>
      <c r="AM29" s="916"/>
      <c r="AN29" s="916"/>
      <c r="AO29" s="916"/>
      <c r="AP29" s="916"/>
      <c r="AQ29" s="917"/>
    </row>
    <row r="30" spans="3:43" ht="15.95" customHeight="1" thickBot="1" x14ac:dyDescent="0.3">
      <c r="C30" s="825"/>
      <c r="D30" s="810"/>
      <c r="E30" s="810"/>
      <c r="F30" s="810"/>
      <c r="G30" s="810"/>
      <c r="H30" s="811"/>
      <c r="I30" s="135"/>
      <c r="J30" s="918"/>
      <c r="K30" s="919"/>
      <c r="L30" s="919"/>
      <c r="M30" s="919"/>
      <c r="N30" s="919"/>
      <c r="O30" s="919"/>
      <c r="P30" s="919"/>
      <c r="Q30" s="919"/>
      <c r="R30" s="919"/>
      <c r="S30" s="919"/>
      <c r="T30" s="919"/>
      <c r="U30" s="919"/>
      <c r="V30" s="919"/>
      <c r="W30" s="919"/>
      <c r="X30" s="919"/>
      <c r="Y30" s="919"/>
      <c r="Z30" s="919"/>
      <c r="AA30" s="919"/>
      <c r="AB30" s="919"/>
      <c r="AC30" s="919"/>
      <c r="AD30" s="919"/>
      <c r="AE30" s="919"/>
      <c r="AF30" s="919"/>
      <c r="AG30" s="919"/>
      <c r="AH30" s="919"/>
      <c r="AI30" s="919"/>
      <c r="AJ30" s="919"/>
      <c r="AK30" s="919"/>
      <c r="AL30" s="919"/>
      <c r="AM30" s="919"/>
      <c r="AN30" s="919"/>
      <c r="AO30" s="919"/>
      <c r="AP30" s="919"/>
      <c r="AQ30" s="920"/>
    </row>
    <row r="31" spans="3:43" ht="15.95" customHeight="1" x14ac:dyDescent="0.25">
      <c r="C31" s="476"/>
      <c r="D31" s="476"/>
      <c r="E31" s="476"/>
      <c r="F31" s="476"/>
      <c r="G31" s="476"/>
      <c r="H31" s="476"/>
      <c r="I31" s="135"/>
      <c r="J31" s="921"/>
      <c r="K31" s="922"/>
      <c r="L31" s="922"/>
      <c r="M31" s="922"/>
      <c r="N31" s="922"/>
      <c r="O31" s="922"/>
      <c r="P31" s="922"/>
      <c r="Q31" s="922"/>
      <c r="R31" s="922"/>
      <c r="S31" s="922"/>
      <c r="T31" s="922"/>
      <c r="U31" s="922"/>
      <c r="V31" s="922"/>
      <c r="W31" s="922"/>
      <c r="X31" s="922"/>
      <c r="Y31" s="922"/>
      <c r="Z31" s="922"/>
      <c r="AA31" s="922"/>
      <c r="AB31" s="922"/>
      <c r="AC31" s="922"/>
      <c r="AD31" s="922"/>
      <c r="AE31" s="922"/>
      <c r="AF31" s="922"/>
      <c r="AG31" s="922"/>
      <c r="AH31" s="922"/>
      <c r="AI31" s="922"/>
      <c r="AJ31" s="922"/>
      <c r="AK31" s="922"/>
      <c r="AL31" s="922"/>
      <c r="AM31" s="922"/>
      <c r="AN31" s="922"/>
      <c r="AO31" s="922"/>
      <c r="AP31" s="922"/>
      <c r="AQ31" s="923"/>
    </row>
    <row r="32" spans="3:43" ht="15.95" customHeight="1" x14ac:dyDescent="0.25">
      <c r="C32" s="135"/>
      <c r="D32" s="135"/>
      <c r="E32" s="135"/>
      <c r="F32" s="135"/>
      <c r="G32" s="135"/>
      <c r="H32" s="135"/>
      <c r="I32" s="135"/>
      <c r="J32" s="135"/>
      <c r="K32" s="135"/>
      <c r="L32" s="135"/>
      <c r="M32" s="135"/>
      <c r="N32" s="135"/>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c r="AO32" s="135"/>
      <c r="AP32" s="135"/>
      <c r="AQ32" s="135"/>
    </row>
    <row r="33" spans="3:43" ht="15.95" customHeight="1" x14ac:dyDescent="0.2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c r="AP33" s="135"/>
      <c r="AQ33" s="135"/>
    </row>
    <row r="34" spans="3:43" ht="15.95" customHeight="1" x14ac:dyDescent="0.3">
      <c r="C34" s="135"/>
      <c r="D34" s="135"/>
      <c r="E34" s="135"/>
      <c r="F34" s="732" t="s">
        <v>1556</v>
      </c>
      <c r="G34" s="732"/>
      <c r="H34" s="732"/>
      <c r="I34" s="732"/>
      <c r="J34" s="732"/>
      <c r="K34" s="732"/>
      <c r="L34" s="732"/>
      <c r="M34" s="732"/>
      <c r="N34" s="732"/>
      <c r="O34" s="732"/>
      <c r="P34" s="732"/>
      <c r="Q34" s="732"/>
      <c r="R34" s="732"/>
      <c r="S34" s="732"/>
      <c r="T34" s="732"/>
      <c r="U34" s="732"/>
      <c r="V34" s="732"/>
      <c r="W34" s="732"/>
      <c r="X34" s="732"/>
      <c r="Y34" s="732"/>
      <c r="Z34" s="732"/>
      <c r="AA34" s="732"/>
      <c r="AB34" s="732"/>
      <c r="AC34" s="732"/>
      <c r="AD34" s="732"/>
      <c r="AE34" s="732"/>
      <c r="AF34" s="732"/>
      <c r="AG34" s="732"/>
      <c r="AH34" s="732"/>
      <c r="AI34" s="732"/>
      <c r="AJ34" s="732"/>
      <c r="AK34" s="732"/>
      <c r="AL34" s="732"/>
      <c r="AM34" s="732"/>
      <c r="AN34" s="732"/>
      <c r="AO34" s="135"/>
      <c r="AP34" s="135"/>
      <c r="AQ34" s="135"/>
    </row>
    <row r="35" spans="3:43" ht="15.95" customHeight="1" x14ac:dyDescent="0.3">
      <c r="C35" s="135"/>
      <c r="D35" s="135"/>
      <c r="E35" s="135"/>
      <c r="F35" s="418"/>
      <c r="G35" s="418"/>
      <c r="H35" s="418"/>
      <c r="I35" s="418"/>
      <c r="J35" s="418"/>
      <c r="K35" s="418"/>
      <c r="L35" s="418"/>
      <c r="M35" s="418"/>
      <c r="N35" s="418"/>
      <c r="O35" s="418"/>
      <c r="P35" s="418"/>
      <c r="Q35" s="418"/>
      <c r="R35" s="418"/>
      <c r="S35" s="418"/>
      <c r="T35" s="418"/>
      <c r="U35" s="418"/>
      <c r="V35" s="418"/>
      <c r="W35" s="418"/>
      <c r="X35" s="418"/>
      <c r="Y35" s="418"/>
      <c r="Z35" s="418"/>
      <c r="AA35" s="418"/>
      <c r="AB35" s="418"/>
      <c r="AC35" s="418"/>
      <c r="AD35" s="418"/>
      <c r="AE35" s="418"/>
      <c r="AF35" s="418"/>
      <c r="AG35" s="418"/>
      <c r="AH35" s="418"/>
      <c r="AI35" s="418"/>
      <c r="AJ35" s="418"/>
      <c r="AK35" s="418"/>
      <c r="AL35" s="418"/>
      <c r="AM35" s="418"/>
      <c r="AN35" s="418"/>
      <c r="AO35" s="135"/>
      <c r="AP35" s="135"/>
      <c r="AQ35" s="135"/>
    </row>
    <row r="36" spans="3:43" ht="15.95" customHeight="1" x14ac:dyDescent="0.25">
      <c r="C36" s="477" t="s">
        <v>1679</v>
      </c>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row>
    <row r="37" spans="3:43" ht="15.95" customHeight="1" x14ac:dyDescent="0.25">
      <c r="C37" s="924" t="s">
        <v>1680</v>
      </c>
      <c r="D37" s="916"/>
      <c r="E37" s="916"/>
      <c r="F37" s="916"/>
      <c r="G37" s="916"/>
      <c r="H37" s="916"/>
      <c r="I37" s="916"/>
      <c r="J37" s="916"/>
      <c r="K37" s="916"/>
      <c r="L37" s="916"/>
      <c r="M37" s="916"/>
      <c r="N37" s="916"/>
      <c r="O37" s="916"/>
      <c r="P37" s="916"/>
      <c r="Q37" s="916"/>
      <c r="R37" s="916"/>
      <c r="S37" s="916"/>
      <c r="T37" s="916"/>
      <c r="U37" s="916"/>
      <c r="V37" s="916"/>
      <c r="W37" s="916"/>
      <c r="X37" s="916"/>
      <c r="Y37" s="916"/>
      <c r="Z37" s="916"/>
      <c r="AA37" s="916"/>
      <c r="AB37" s="916"/>
      <c r="AC37" s="916"/>
      <c r="AD37" s="916"/>
      <c r="AE37" s="916"/>
      <c r="AF37" s="916"/>
      <c r="AG37" s="916"/>
      <c r="AH37" s="916"/>
      <c r="AI37" s="916"/>
      <c r="AJ37" s="916"/>
      <c r="AK37" s="916"/>
      <c r="AL37" s="916"/>
      <c r="AM37" s="916"/>
      <c r="AN37" s="916"/>
      <c r="AO37" s="916"/>
      <c r="AP37" s="916"/>
      <c r="AQ37" s="917"/>
    </row>
    <row r="38" spans="3:43" ht="15.95" customHeight="1" x14ac:dyDescent="0.25">
      <c r="C38" s="918"/>
      <c r="D38" s="919"/>
      <c r="E38" s="919"/>
      <c r="F38" s="919"/>
      <c r="G38" s="919"/>
      <c r="H38" s="919"/>
      <c r="I38" s="919"/>
      <c r="J38" s="919"/>
      <c r="K38" s="919"/>
      <c r="L38" s="919"/>
      <c r="M38" s="919"/>
      <c r="N38" s="919"/>
      <c r="O38" s="919"/>
      <c r="P38" s="919"/>
      <c r="Q38" s="919"/>
      <c r="R38" s="919"/>
      <c r="S38" s="919"/>
      <c r="T38" s="919"/>
      <c r="U38" s="919"/>
      <c r="V38" s="919"/>
      <c r="W38" s="919"/>
      <c r="X38" s="919"/>
      <c r="Y38" s="919"/>
      <c r="Z38" s="919"/>
      <c r="AA38" s="919"/>
      <c r="AB38" s="919"/>
      <c r="AC38" s="919"/>
      <c r="AD38" s="919"/>
      <c r="AE38" s="919"/>
      <c r="AF38" s="919"/>
      <c r="AG38" s="919"/>
      <c r="AH38" s="919"/>
      <c r="AI38" s="919"/>
      <c r="AJ38" s="919"/>
      <c r="AK38" s="919"/>
      <c r="AL38" s="919"/>
      <c r="AM38" s="919"/>
      <c r="AN38" s="919"/>
      <c r="AO38" s="919"/>
      <c r="AP38" s="919"/>
      <c r="AQ38" s="920"/>
    </row>
    <row r="39" spans="3:43" ht="15.95" customHeight="1" x14ac:dyDescent="0.25">
      <c r="C39" s="921"/>
      <c r="D39" s="922"/>
      <c r="E39" s="922"/>
      <c r="F39" s="922"/>
      <c r="G39" s="922"/>
      <c r="H39" s="922"/>
      <c r="I39" s="922"/>
      <c r="J39" s="922"/>
      <c r="K39" s="922"/>
      <c r="L39" s="922"/>
      <c r="M39" s="922"/>
      <c r="N39" s="922"/>
      <c r="O39" s="922"/>
      <c r="P39" s="922"/>
      <c r="Q39" s="922"/>
      <c r="R39" s="922"/>
      <c r="S39" s="922"/>
      <c r="T39" s="922"/>
      <c r="U39" s="922"/>
      <c r="V39" s="922"/>
      <c r="W39" s="922"/>
      <c r="X39" s="922"/>
      <c r="Y39" s="922"/>
      <c r="Z39" s="922"/>
      <c r="AA39" s="922"/>
      <c r="AB39" s="922"/>
      <c r="AC39" s="922"/>
      <c r="AD39" s="922"/>
      <c r="AE39" s="922"/>
      <c r="AF39" s="922"/>
      <c r="AG39" s="922"/>
      <c r="AH39" s="922"/>
      <c r="AI39" s="922"/>
      <c r="AJ39" s="922"/>
      <c r="AK39" s="922"/>
      <c r="AL39" s="922"/>
      <c r="AM39" s="922"/>
      <c r="AN39" s="922"/>
      <c r="AO39" s="922"/>
      <c r="AP39" s="922"/>
      <c r="AQ39" s="923"/>
    </row>
    <row r="40" spans="3:43" ht="15.95" customHeight="1" x14ac:dyDescent="0.25">
      <c r="C40" s="135"/>
      <c r="D40" s="135"/>
      <c r="E40" s="135"/>
      <c r="F40" s="135"/>
      <c r="G40" s="135"/>
      <c r="H40" s="135"/>
      <c r="I40" s="135"/>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row>
    <row r="41" spans="3:43" ht="15.95" customHeight="1" thickBot="1" x14ac:dyDescent="0.3">
      <c r="C41" s="135" t="s">
        <v>1681</v>
      </c>
      <c r="D41" s="135"/>
      <c r="E41" s="135"/>
      <c r="F41" s="135"/>
      <c r="G41" s="135"/>
      <c r="H41" s="135"/>
      <c r="I41" s="135"/>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row>
    <row r="42" spans="3:43" ht="15.95" customHeight="1" thickBot="1" x14ac:dyDescent="0.3">
      <c r="C42" s="825"/>
      <c r="D42" s="810"/>
      <c r="E42" s="810"/>
      <c r="F42" s="810"/>
      <c r="G42" s="810"/>
      <c r="H42" s="811"/>
      <c r="I42" s="135"/>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c r="AQ42" s="135"/>
    </row>
    <row r="43" spans="3:43" ht="15.95" customHeight="1" x14ac:dyDescent="0.25">
      <c r="C43" s="135"/>
      <c r="D43" s="135"/>
      <c r="E43" s="135"/>
      <c r="F43" s="135"/>
      <c r="G43" s="135"/>
      <c r="H43" s="135"/>
      <c r="I43" s="135"/>
      <c r="J43" s="135"/>
      <c r="K43" s="135"/>
      <c r="L43" s="135"/>
      <c r="M43" s="135"/>
      <c r="N43" s="135"/>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c r="AO43" s="135"/>
      <c r="AP43" s="135"/>
      <c r="AQ43" s="135"/>
    </row>
    <row r="44" spans="3:43" ht="15.95" customHeight="1" thickBot="1" x14ac:dyDescent="0.3">
      <c r="C44" s="135" t="s">
        <v>1682</v>
      </c>
      <c r="D44" s="135"/>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row>
    <row r="45" spans="3:43" ht="15.95" customHeight="1" x14ac:dyDescent="0.25">
      <c r="C45" s="913"/>
      <c r="D45" s="856"/>
      <c r="E45" s="856"/>
      <c r="F45" s="856"/>
      <c r="G45" s="856"/>
      <c r="H45" s="856"/>
      <c r="I45" s="856"/>
      <c r="J45" s="856"/>
      <c r="K45" s="856"/>
      <c r="L45" s="856"/>
      <c r="M45" s="856"/>
      <c r="N45" s="856"/>
      <c r="O45" s="856"/>
      <c r="P45" s="856"/>
      <c r="Q45" s="856"/>
      <c r="R45" s="856"/>
      <c r="S45" s="856"/>
      <c r="T45" s="856"/>
      <c r="U45" s="856"/>
      <c r="V45" s="856"/>
      <c r="W45" s="856"/>
      <c r="X45" s="856"/>
      <c r="Y45" s="856"/>
      <c r="Z45" s="856"/>
      <c r="AA45" s="856"/>
      <c r="AB45" s="856"/>
      <c r="AC45" s="856"/>
      <c r="AD45" s="856"/>
      <c r="AE45" s="856"/>
      <c r="AF45" s="856"/>
      <c r="AG45" s="856"/>
      <c r="AH45" s="856"/>
      <c r="AI45" s="856"/>
      <c r="AJ45" s="856"/>
      <c r="AK45" s="856"/>
      <c r="AL45" s="856"/>
      <c r="AM45" s="856"/>
      <c r="AN45" s="856"/>
      <c r="AO45" s="856"/>
      <c r="AP45" s="856"/>
      <c r="AQ45" s="857"/>
    </row>
    <row r="46" spans="3:43" ht="15.95" customHeight="1" x14ac:dyDescent="0.25">
      <c r="C46" s="858"/>
      <c r="D46" s="859"/>
      <c r="E46" s="859"/>
      <c r="F46" s="859"/>
      <c r="G46" s="859"/>
      <c r="H46" s="859"/>
      <c r="I46" s="859"/>
      <c r="J46" s="859"/>
      <c r="K46" s="859"/>
      <c r="L46" s="859"/>
      <c r="M46" s="859"/>
      <c r="N46" s="859"/>
      <c r="O46" s="859"/>
      <c r="P46" s="859"/>
      <c r="Q46" s="859"/>
      <c r="R46" s="859"/>
      <c r="S46" s="859"/>
      <c r="T46" s="859"/>
      <c r="U46" s="859"/>
      <c r="V46" s="859"/>
      <c r="W46" s="859"/>
      <c r="X46" s="859"/>
      <c r="Y46" s="859"/>
      <c r="Z46" s="859"/>
      <c r="AA46" s="859"/>
      <c r="AB46" s="859"/>
      <c r="AC46" s="859"/>
      <c r="AD46" s="859"/>
      <c r="AE46" s="859"/>
      <c r="AF46" s="859"/>
      <c r="AG46" s="859"/>
      <c r="AH46" s="859"/>
      <c r="AI46" s="859"/>
      <c r="AJ46" s="859"/>
      <c r="AK46" s="859"/>
      <c r="AL46" s="859"/>
      <c r="AM46" s="859"/>
      <c r="AN46" s="859"/>
      <c r="AO46" s="859"/>
      <c r="AP46" s="859"/>
      <c r="AQ46" s="860"/>
    </row>
    <row r="47" spans="3:43" ht="15.95" customHeight="1" thickBot="1" x14ac:dyDescent="0.3">
      <c r="C47" s="861"/>
      <c r="D47" s="862"/>
      <c r="E47" s="862"/>
      <c r="F47" s="862"/>
      <c r="G47" s="862"/>
      <c r="H47" s="862"/>
      <c r="I47" s="862"/>
      <c r="J47" s="862"/>
      <c r="K47" s="862"/>
      <c r="L47" s="862"/>
      <c r="M47" s="862"/>
      <c r="N47" s="862"/>
      <c r="O47" s="862"/>
      <c r="P47" s="862"/>
      <c r="Q47" s="862"/>
      <c r="R47" s="862"/>
      <c r="S47" s="862"/>
      <c r="T47" s="862"/>
      <c r="U47" s="862"/>
      <c r="V47" s="862"/>
      <c r="W47" s="862"/>
      <c r="X47" s="862"/>
      <c r="Y47" s="862"/>
      <c r="Z47" s="862"/>
      <c r="AA47" s="862"/>
      <c r="AB47" s="862"/>
      <c r="AC47" s="862"/>
      <c r="AD47" s="862"/>
      <c r="AE47" s="862"/>
      <c r="AF47" s="862"/>
      <c r="AG47" s="862"/>
      <c r="AH47" s="862"/>
      <c r="AI47" s="862"/>
      <c r="AJ47" s="862"/>
      <c r="AK47" s="862"/>
      <c r="AL47" s="862"/>
      <c r="AM47" s="862"/>
      <c r="AN47" s="862"/>
      <c r="AO47" s="862"/>
      <c r="AP47" s="862"/>
      <c r="AQ47" s="863"/>
    </row>
    <row r="48" spans="3:43" ht="15.95" customHeight="1" x14ac:dyDescent="0.25">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row>
    <row r="49" spans="3:43" ht="15.95" customHeight="1" x14ac:dyDescent="0.25">
      <c r="C49" s="135"/>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row>
    <row r="50" spans="3:43" ht="15.95" customHeight="1" x14ac:dyDescent="0.25">
      <c r="C50" s="477" t="s">
        <v>1454</v>
      </c>
      <c r="D50" s="135"/>
      <c r="E50" s="135"/>
      <c r="F50" s="135"/>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c r="AO50" s="135"/>
      <c r="AP50" s="135"/>
      <c r="AQ50" s="135"/>
    </row>
    <row r="51" spans="3:43" ht="15.95" customHeight="1" x14ac:dyDescent="0.25">
      <c r="C51" s="924" t="s">
        <v>1683</v>
      </c>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916"/>
      <c r="AM51" s="916"/>
      <c r="AN51" s="916"/>
      <c r="AO51" s="916"/>
      <c r="AP51" s="916"/>
      <c r="AQ51" s="917"/>
    </row>
    <row r="52" spans="3:43" ht="15.95" customHeight="1" x14ac:dyDescent="0.25">
      <c r="C52" s="918"/>
      <c r="D52" s="919"/>
      <c r="E52" s="919"/>
      <c r="F52" s="919"/>
      <c r="G52" s="919"/>
      <c r="H52" s="919"/>
      <c r="I52" s="919"/>
      <c r="J52" s="919"/>
      <c r="K52" s="919"/>
      <c r="L52" s="919"/>
      <c r="M52" s="919"/>
      <c r="N52" s="919"/>
      <c r="O52" s="919"/>
      <c r="P52" s="919"/>
      <c r="Q52" s="919"/>
      <c r="R52" s="919"/>
      <c r="S52" s="919"/>
      <c r="T52" s="919"/>
      <c r="U52" s="919"/>
      <c r="V52" s="919"/>
      <c r="W52" s="919"/>
      <c r="X52" s="919"/>
      <c r="Y52" s="919"/>
      <c r="Z52" s="919"/>
      <c r="AA52" s="919"/>
      <c r="AB52" s="919"/>
      <c r="AC52" s="919"/>
      <c r="AD52" s="919"/>
      <c r="AE52" s="919"/>
      <c r="AF52" s="919"/>
      <c r="AG52" s="919"/>
      <c r="AH52" s="919"/>
      <c r="AI52" s="919"/>
      <c r="AJ52" s="919"/>
      <c r="AK52" s="919"/>
      <c r="AL52" s="919"/>
      <c r="AM52" s="919"/>
      <c r="AN52" s="919"/>
      <c r="AO52" s="919"/>
      <c r="AP52" s="919"/>
      <c r="AQ52" s="920"/>
    </row>
    <row r="53" spans="3:43" s="63" customFormat="1" ht="15.95" customHeight="1" x14ac:dyDescent="0.25">
      <c r="C53" s="921"/>
      <c r="D53" s="922"/>
      <c r="E53" s="922"/>
      <c r="F53" s="922"/>
      <c r="G53" s="922"/>
      <c r="H53" s="922"/>
      <c r="I53" s="922"/>
      <c r="J53" s="922"/>
      <c r="K53" s="922"/>
      <c r="L53" s="922"/>
      <c r="M53" s="922"/>
      <c r="N53" s="922"/>
      <c r="O53" s="922"/>
      <c r="P53" s="922"/>
      <c r="Q53" s="922"/>
      <c r="R53" s="922"/>
      <c r="S53" s="922"/>
      <c r="T53" s="922"/>
      <c r="U53" s="922"/>
      <c r="V53" s="922"/>
      <c r="W53" s="922"/>
      <c r="X53" s="922"/>
      <c r="Y53" s="922"/>
      <c r="Z53" s="922"/>
      <c r="AA53" s="922"/>
      <c r="AB53" s="922"/>
      <c r="AC53" s="922"/>
      <c r="AD53" s="922"/>
      <c r="AE53" s="922"/>
      <c r="AF53" s="922"/>
      <c r="AG53" s="922"/>
      <c r="AH53" s="922"/>
      <c r="AI53" s="922"/>
      <c r="AJ53" s="922"/>
      <c r="AK53" s="922"/>
      <c r="AL53" s="922"/>
      <c r="AM53" s="922"/>
      <c r="AN53" s="922"/>
      <c r="AO53" s="922"/>
      <c r="AP53" s="922"/>
      <c r="AQ53" s="923"/>
    </row>
    <row r="54" spans="3:43" s="63" customFormat="1" ht="15.95" customHeight="1" x14ac:dyDescent="0.25"/>
    <row r="55" spans="3:43" s="63" customFormat="1" ht="15.95" customHeight="1" thickBot="1" x14ac:dyDescent="0.3">
      <c r="C55" s="912" t="s">
        <v>1684</v>
      </c>
      <c r="D55" s="912"/>
      <c r="E55" s="912"/>
      <c r="F55" s="912"/>
      <c r="G55" s="912"/>
      <c r="H55" s="912"/>
      <c r="I55" s="135"/>
      <c r="J55" s="912" t="s">
        <v>1685</v>
      </c>
      <c r="K55" s="912"/>
      <c r="L55" s="912"/>
      <c r="M55" s="912"/>
      <c r="N55" s="912"/>
      <c r="O55" s="912"/>
      <c r="P55" s="135"/>
      <c r="Q55" s="914" t="s">
        <v>1686</v>
      </c>
      <c r="R55" s="914"/>
      <c r="S55" s="914"/>
      <c r="T55" s="914"/>
      <c r="U55" s="914"/>
      <c r="V55" s="914"/>
      <c r="W55" s="135"/>
      <c r="X55" s="912" t="s">
        <v>1687</v>
      </c>
      <c r="Y55" s="912"/>
      <c r="Z55" s="912"/>
      <c r="AA55" s="912"/>
      <c r="AB55" s="912"/>
      <c r="AC55" s="912"/>
      <c r="AD55" s="135"/>
      <c r="AE55" s="912" t="s">
        <v>1688</v>
      </c>
      <c r="AF55" s="912"/>
      <c r="AG55" s="912"/>
      <c r="AH55" s="912"/>
      <c r="AI55" s="912"/>
      <c r="AJ55" s="912"/>
      <c r="AK55" s="135"/>
      <c r="AL55" s="914" t="s">
        <v>1689</v>
      </c>
      <c r="AM55" s="914"/>
      <c r="AN55" s="914"/>
      <c r="AO55" s="914"/>
      <c r="AP55" s="914"/>
      <c r="AQ55" s="914"/>
    </row>
    <row r="56" spans="3:43" s="63" customFormat="1" ht="15.95" customHeight="1" thickBot="1" x14ac:dyDescent="0.3">
      <c r="C56" s="825"/>
      <c r="D56" s="810"/>
      <c r="E56" s="810"/>
      <c r="F56" s="810"/>
      <c r="G56" s="810"/>
      <c r="H56" s="811"/>
      <c r="I56" s="135"/>
      <c r="J56" s="941"/>
      <c r="K56" s="942"/>
      <c r="L56" s="942"/>
      <c r="M56" s="942"/>
      <c r="N56" s="942"/>
      <c r="O56" s="943"/>
      <c r="P56" s="135"/>
      <c r="Q56" s="935" t="str">
        <f>IF(OR(C30="",C56=""),"",INDEX(NCLPD[#Data],MATCH(C56,NCLPD[Building Area Type],0),MATCH(C30,NCLPD[#Headers],0)))</f>
        <v/>
      </c>
      <c r="R56" s="936"/>
      <c r="S56" s="936"/>
      <c r="T56" s="936"/>
      <c r="U56" s="936"/>
      <c r="V56" s="937"/>
      <c r="W56" s="135"/>
      <c r="X56" s="825"/>
      <c r="Y56" s="810"/>
      <c r="Z56" s="810"/>
      <c r="AA56" s="810"/>
      <c r="AB56" s="810"/>
      <c r="AC56" s="811"/>
      <c r="AD56" s="135"/>
      <c r="AE56" s="852"/>
      <c r="AF56" s="853"/>
      <c r="AG56" s="853"/>
      <c r="AH56" s="853"/>
      <c r="AI56" s="853"/>
      <c r="AJ56" s="854"/>
      <c r="AK56" s="135"/>
      <c r="AL56" s="935" t="str">
        <f>IF(OR(C30="",X56=""),"",INDEX(NCLPD[#Data],MATCH(X56,NCLPD[Building Area Type],0),MATCH(C30,NCLPD[#Headers],0)))</f>
        <v/>
      </c>
      <c r="AM56" s="936"/>
      <c r="AN56" s="936"/>
      <c r="AO56" s="936"/>
      <c r="AP56" s="936"/>
      <c r="AQ56" s="937"/>
    </row>
    <row r="57" spans="3:43" s="63" customFormat="1" ht="15.95" customHeight="1" x14ac:dyDescent="0.25">
      <c r="C57" s="135"/>
      <c r="D57" s="135"/>
      <c r="E57" s="135"/>
      <c r="F57" s="135"/>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5"/>
      <c r="AN57" s="135"/>
      <c r="AO57" s="135"/>
      <c r="AP57" s="135"/>
      <c r="AQ57" s="135"/>
    </row>
    <row r="58" spans="3:43" s="63" customFormat="1" ht="15.95" customHeight="1" thickBot="1" x14ac:dyDescent="0.3">
      <c r="C58" s="135"/>
      <c r="D58" s="135"/>
      <c r="E58" s="135"/>
      <c r="F58" s="135"/>
      <c r="G58" s="135"/>
      <c r="H58" s="135"/>
      <c r="I58" s="135"/>
      <c r="J58" s="135"/>
      <c r="K58" s="135"/>
      <c r="L58" s="135"/>
      <c r="M58" s="135"/>
      <c r="N58" s="135"/>
      <c r="O58" s="135"/>
      <c r="P58" s="135"/>
      <c r="Q58" s="912" t="s">
        <v>1923</v>
      </c>
      <c r="R58" s="912"/>
      <c r="S58" s="912"/>
      <c r="T58" s="912"/>
      <c r="U58" s="912"/>
      <c r="V58" s="912"/>
      <c r="W58" s="135"/>
      <c r="X58" s="135"/>
      <c r="Y58" s="135"/>
      <c r="Z58" s="135"/>
      <c r="AA58" s="135"/>
      <c r="AB58" s="135"/>
      <c r="AC58" s="135"/>
      <c r="AD58" s="135"/>
      <c r="AE58" s="135"/>
      <c r="AF58" s="135"/>
      <c r="AG58" s="135"/>
      <c r="AH58" s="135"/>
      <c r="AI58" s="135"/>
      <c r="AJ58" s="135"/>
      <c r="AK58" s="135"/>
      <c r="AL58" s="912" t="s">
        <v>1924</v>
      </c>
      <c r="AM58" s="912"/>
      <c r="AN58" s="912"/>
      <c r="AO58" s="912"/>
      <c r="AP58" s="912"/>
      <c r="AQ58" s="912"/>
    </row>
    <row r="59" spans="3:43" s="63" customFormat="1" ht="15.95" customHeight="1" thickBot="1" x14ac:dyDescent="0.3">
      <c r="C59" s="135"/>
      <c r="D59" s="135"/>
      <c r="E59" s="135"/>
      <c r="F59" s="135"/>
      <c r="G59" s="135"/>
      <c r="H59" s="135"/>
      <c r="I59" s="135"/>
      <c r="J59" s="135"/>
      <c r="K59" s="135"/>
      <c r="L59" s="135"/>
      <c r="M59" s="135"/>
      <c r="N59" s="135"/>
      <c r="O59" s="135"/>
      <c r="P59" s="135"/>
      <c r="Q59" s="938" t="str">
        <f>IF(AND(J56&lt;&gt;0,J56&lt;&gt;"",Q56&lt;&gt;0,Q56&lt;&gt;""),J56*Q56,"")</f>
        <v/>
      </c>
      <c r="R59" s="939"/>
      <c r="S59" s="939"/>
      <c r="T59" s="939"/>
      <c r="U59" s="939"/>
      <c r="V59" s="940"/>
      <c r="W59" s="135"/>
      <c r="X59" s="135"/>
      <c r="Y59" s="135"/>
      <c r="Z59" s="135"/>
      <c r="AA59" s="135"/>
      <c r="AB59" s="135"/>
      <c r="AC59" s="135"/>
      <c r="AD59" s="135"/>
      <c r="AE59" s="135"/>
      <c r="AF59" s="135"/>
      <c r="AG59" s="135"/>
      <c r="AH59" s="135"/>
      <c r="AI59" s="135"/>
      <c r="AJ59" s="135"/>
      <c r="AK59" s="135"/>
      <c r="AL59" s="938" t="str">
        <f>IF(AND(AE56&lt;&gt;0,AE56&lt;&gt;"",AL56&lt;&gt;0,AL56&lt;&gt;""),AE56*AL56,"")</f>
        <v/>
      </c>
      <c r="AM59" s="939"/>
      <c r="AN59" s="939"/>
      <c r="AO59" s="939"/>
      <c r="AP59" s="939"/>
      <c r="AQ59" s="940"/>
    </row>
    <row r="60" spans="3:43" s="63" customFormat="1" ht="15.95" customHeight="1" x14ac:dyDescent="0.25">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c r="AO60" s="135"/>
      <c r="AP60" s="135"/>
      <c r="AQ60" s="135"/>
    </row>
    <row r="61" spans="3:43" s="63" customFormat="1" ht="15.95" customHeight="1" thickBot="1" x14ac:dyDescent="0.3">
      <c r="C61" s="912" t="s">
        <v>1690</v>
      </c>
      <c r="D61" s="912"/>
      <c r="E61" s="912"/>
      <c r="F61" s="912"/>
      <c r="G61" s="912"/>
      <c r="H61" s="912"/>
      <c r="I61" s="135"/>
      <c r="J61" s="912" t="s">
        <v>1691</v>
      </c>
      <c r="K61" s="912"/>
      <c r="L61" s="912"/>
      <c r="M61" s="912"/>
      <c r="N61" s="912"/>
      <c r="O61" s="912"/>
      <c r="P61" s="135"/>
      <c r="Q61" s="914" t="s">
        <v>1692</v>
      </c>
      <c r="R61" s="914"/>
      <c r="S61" s="914"/>
      <c r="T61" s="914"/>
      <c r="U61" s="914"/>
      <c r="V61" s="914"/>
      <c r="W61" s="135"/>
      <c r="X61" s="912" t="s">
        <v>1693</v>
      </c>
      <c r="Y61" s="912"/>
      <c r="Z61" s="912"/>
      <c r="AA61" s="912"/>
      <c r="AB61" s="912"/>
      <c r="AC61" s="912"/>
      <c r="AD61" s="135"/>
      <c r="AE61" s="912" t="s">
        <v>1694</v>
      </c>
      <c r="AF61" s="912"/>
      <c r="AG61" s="912"/>
      <c r="AH61" s="912"/>
      <c r="AI61" s="912"/>
      <c r="AJ61" s="912"/>
      <c r="AK61" s="135"/>
      <c r="AL61" s="914" t="s">
        <v>1695</v>
      </c>
      <c r="AM61" s="914"/>
      <c r="AN61" s="914"/>
      <c r="AO61" s="914"/>
      <c r="AP61" s="914"/>
      <c r="AQ61" s="914"/>
    </row>
    <row r="62" spans="3:43" s="63" customFormat="1" ht="15.95" customHeight="1" thickBot="1" x14ac:dyDescent="0.3">
      <c r="C62" s="825"/>
      <c r="D62" s="810"/>
      <c r="E62" s="810"/>
      <c r="F62" s="810"/>
      <c r="G62" s="810"/>
      <c r="H62" s="811"/>
      <c r="I62" s="135"/>
      <c r="J62" s="852"/>
      <c r="K62" s="853"/>
      <c r="L62" s="853"/>
      <c r="M62" s="853"/>
      <c r="N62" s="853"/>
      <c r="O62" s="854"/>
      <c r="P62" s="135"/>
      <c r="Q62" s="935" t="str">
        <f>IF(OR(C30="",C62=""),"",INDEX(NCLPD[#Data],MATCH(C62,NCLPD[Building Area Type],0),MATCH(C30,NCLPD[#Headers],0)))</f>
        <v/>
      </c>
      <c r="R62" s="936"/>
      <c r="S62" s="936"/>
      <c r="T62" s="936"/>
      <c r="U62" s="936"/>
      <c r="V62" s="937"/>
      <c r="W62" s="135"/>
      <c r="X62" s="825"/>
      <c r="Y62" s="810"/>
      <c r="Z62" s="810"/>
      <c r="AA62" s="810"/>
      <c r="AB62" s="810"/>
      <c r="AC62" s="811"/>
      <c r="AD62" s="135"/>
      <c r="AE62" s="852"/>
      <c r="AF62" s="853"/>
      <c r="AG62" s="853"/>
      <c r="AH62" s="853"/>
      <c r="AI62" s="853"/>
      <c r="AJ62" s="854"/>
      <c r="AK62" s="135"/>
      <c r="AL62" s="935" t="str">
        <f>IF(OR(C30="",X62=""),"",INDEX(NCLPD[#Data],MATCH(X62,NCLPD[Building Area Type],0),MATCH(C30,NCLPD[#Headers],0)))</f>
        <v/>
      </c>
      <c r="AM62" s="936"/>
      <c r="AN62" s="936"/>
      <c r="AO62" s="936"/>
      <c r="AP62" s="936"/>
      <c r="AQ62" s="937"/>
    </row>
    <row r="63" spans="3:43" s="63" customFormat="1" ht="15.95" customHeight="1" x14ac:dyDescent="0.25">
      <c r="C63" s="135"/>
      <c r="D63" s="135"/>
      <c r="E63" s="135"/>
      <c r="F63" s="135"/>
      <c r="G63" s="135"/>
      <c r="H63" s="135"/>
      <c r="I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5"/>
      <c r="AO63" s="135"/>
      <c r="AP63" s="135"/>
      <c r="AQ63" s="135"/>
    </row>
    <row r="64" spans="3:43" s="63" customFormat="1" ht="15.95" customHeight="1" thickBot="1" x14ac:dyDescent="0.3">
      <c r="C64" s="135"/>
      <c r="D64" s="135"/>
      <c r="E64" s="135"/>
      <c r="F64" s="135"/>
      <c r="G64" s="135"/>
      <c r="H64" s="135"/>
      <c r="I64" s="135"/>
      <c r="P64" s="135"/>
      <c r="Q64" s="912" t="s">
        <v>1925</v>
      </c>
      <c r="R64" s="912"/>
      <c r="S64" s="912"/>
      <c r="T64" s="912"/>
      <c r="U64" s="912"/>
      <c r="V64" s="912"/>
      <c r="W64" s="135"/>
      <c r="X64" s="135"/>
      <c r="Y64" s="135"/>
      <c r="Z64" s="135"/>
      <c r="AA64" s="135"/>
      <c r="AB64" s="135"/>
      <c r="AC64" s="135"/>
      <c r="AD64" s="135"/>
      <c r="AE64" s="135"/>
      <c r="AF64" s="135"/>
      <c r="AG64" s="135"/>
      <c r="AH64" s="135"/>
      <c r="AI64" s="135"/>
      <c r="AJ64" s="135"/>
      <c r="AK64" s="135"/>
      <c r="AL64" s="912" t="s">
        <v>1926</v>
      </c>
      <c r="AM64" s="912"/>
      <c r="AN64" s="912"/>
      <c r="AO64" s="912"/>
      <c r="AP64" s="912"/>
      <c r="AQ64" s="912"/>
    </row>
    <row r="65" spans="3:43" s="63" customFormat="1" ht="15.95" customHeight="1" thickBot="1" x14ac:dyDescent="0.3">
      <c r="C65" s="135"/>
      <c r="D65" s="135"/>
      <c r="E65" s="135"/>
      <c r="F65" s="135"/>
      <c r="G65" s="135"/>
      <c r="H65" s="135"/>
      <c r="I65" s="135"/>
      <c r="P65" s="135"/>
      <c r="Q65" s="938" t="str">
        <f>IF(AND(J62&lt;&gt;0,J62&lt;&gt;"",Q62&lt;&gt;0,Q62&lt;&gt;""),J62*Q62,"")</f>
        <v/>
      </c>
      <c r="R65" s="939"/>
      <c r="S65" s="939"/>
      <c r="T65" s="939"/>
      <c r="U65" s="939"/>
      <c r="V65" s="940"/>
      <c r="W65" s="135"/>
      <c r="X65" s="135"/>
      <c r="Y65" s="135"/>
      <c r="Z65" s="135"/>
      <c r="AA65" s="135"/>
      <c r="AB65" s="135"/>
      <c r="AC65" s="135"/>
      <c r="AD65" s="135"/>
      <c r="AE65" s="135"/>
      <c r="AF65" s="135"/>
      <c r="AG65" s="135"/>
      <c r="AH65" s="135"/>
      <c r="AI65" s="135"/>
      <c r="AJ65" s="135"/>
      <c r="AK65" s="135"/>
      <c r="AL65" s="938" t="str">
        <f>IF(AND(AE62&lt;&gt;0,AE62&lt;&gt;"",AL62&lt;&gt;0,AL62&lt;&gt;""),AE62*AL62,"")</f>
        <v/>
      </c>
      <c r="AM65" s="939"/>
      <c r="AN65" s="939"/>
      <c r="AO65" s="939"/>
      <c r="AP65" s="939"/>
      <c r="AQ65" s="940"/>
    </row>
    <row r="66" spans="3:43" s="63" customFormat="1" ht="15.95" customHeight="1" x14ac:dyDescent="0.25">
      <c r="C66" s="135"/>
      <c r="D66" s="135"/>
      <c r="E66" s="135"/>
      <c r="F66" s="135"/>
      <c r="G66" s="135"/>
      <c r="H66" s="135"/>
      <c r="I66" s="135"/>
      <c r="P66" s="135"/>
      <c r="Q66" s="135"/>
      <c r="R66" s="135"/>
      <c r="S66" s="135"/>
      <c r="T66" s="135"/>
      <c r="U66" s="135"/>
      <c r="V66" s="135"/>
      <c r="W66" s="135"/>
      <c r="X66" s="135"/>
      <c r="Y66" s="135"/>
      <c r="Z66" s="135"/>
      <c r="AA66" s="135"/>
      <c r="AB66" s="135"/>
      <c r="AC66" s="135"/>
      <c r="AD66" s="135"/>
      <c r="AE66" s="135"/>
      <c r="AF66" s="135"/>
      <c r="AG66" s="135"/>
      <c r="AH66" s="135"/>
      <c r="AI66" s="135"/>
      <c r="AJ66" s="135"/>
      <c r="AK66" s="135"/>
      <c r="AL66" s="135"/>
      <c r="AM66" s="135"/>
      <c r="AN66" s="135"/>
      <c r="AO66" s="135"/>
      <c r="AP66" s="135"/>
      <c r="AQ66" s="135"/>
    </row>
    <row r="67" spans="3:43" s="63" customFormat="1" ht="15.95" customHeight="1" thickBot="1" x14ac:dyDescent="0.3">
      <c r="C67" s="135" t="s">
        <v>1696</v>
      </c>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5"/>
      <c r="AI67" s="135"/>
      <c r="AJ67" s="135"/>
      <c r="AK67" s="135"/>
      <c r="AL67" s="135"/>
      <c r="AM67" s="135"/>
      <c r="AN67" s="135"/>
      <c r="AO67" s="135"/>
      <c r="AP67" s="135"/>
      <c r="AQ67" s="135"/>
    </row>
    <row r="68" spans="3:43" s="63" customFormat="1" ht="15.95" customHeight="1" x14ac:dyDescent="0.25">
      <c r="C68" s="913"/>
      <c r="D68" s="856"/>
      <c r="E68" s="856"/>
      <c r="F68" s="856"/>
      <c r="G68" s="856"/>
      <c r="H68" s="856"/>
      <c r="I68" s="856"/>
      <c r="J68" s="856"/>
      <c r="K68" s="856"/>
      <c r="L68" s="856"/>
      <c r="M68" s="856"/>
      <c r="N68" s="856"/>
      <c r="O68" s="856"/>
      <c r="P68" s="856"/>
      <c r="Q68" s="856"/>
      <c r="R68" s="856"/>
      <c r="S68" s="856"/>
      <c r="T68" s="856"/>
      <c r="U68" s="856"/>
      <c r="V68" s="856"/>
      <c r="W68" s="856"/>
      <c r="X68" s="856"/>
      <c r="Y68" s="856"/>
      <c r="Z68" s="856"/>
      <c r="AA68" s="856"/>
      <c r="AB68" s="856"/>
      <c r="AC68" s="856"/>
      <c r="AD68" s="856"/>
      <c r="AE68" s="856"/>
      <c r="AF68" s="856"/>
      <c r="AG68" s="856"/>
      <c r="AH68" s="856"/>
      <c r="AI68" s="856"/>
      <c r="AJ68" s="856"/>
      <c r="AK68" s="856"/>
      <c r="AL68" s="856"/>
      <c r="AM68" s="856"/>
      <c r="AN68" s="856"/>
      <c r="AO68" s="856"/>
      <c r="AP68" s="856"/>
      <c r="AQ68" s="857"/>
    </row>
    <row r="69" spans="3:43" s="63" customFormat="1" ht="15.95" customHeight="1" x14ac:dyDescent="0.25">
      <c r="C69" s="858"/>
      <c r="D69" s="859"/>
      <c r="E69" s="859"/>
      <c r="F69" s="859"/>
      <c r="G69" s="859"/>
      <c r="H69" s="859"/>
      <c r="I69" s="859"/>
      <c r="J69" s="859"/>
      <c r="K69" s="859"/>
      <c r="L69" s="859"/>
      <c r="M69" s="859"/>
      <c r="N69" s="859"/>
      <c r="O69" s="859"/>
      <c r="P69" s="859"/>
      <c r="Q69" s="859"/>
      <c r="R69" s="859"/>
      <c r="S69" s="859"/>
      <c r="T69" s="859"/>
      <c r="U69" s="859"/>
      <c r="V69" s="859"/>
      <c r="W69" s="859"/>
      <c r="X69" s="859"/>
      <c r="Y69" s="859"/>
      <c r="Z69" s="859"/>
      <c r="AA69" s="859"/>
      <c r="AB69" s="859"/>
      <c r="AC69" s="859"/>
      <c r="AD69" s="859"/>
      <c r="AE69" s="859"/>
      <c r="AF69" s="859"/>
      <c r="AG69" s="859"/>
      <c r="AH69" s="859"/>
      <c r="AI69" s="859"/>
      <c r="AJ69" s="859"/>
      <c r="AK69" s="859"/>
      <c r="AL69" s="859"/>
      <c r="AM69" s="859"/>
      <c r="AN69" s="859"/>
      <c r="AO69" s="859"/>
      <c r="AP69" s="859"/>
      <c r="AQ69" s="860"/>
    </row>
    <row r="70" spans="3:43" s="63" customFormat="1" ht="15.95" customHeight="1" thickBot="1" x14ac:dyDescent="0.3">
      <c r="C70" s="861"/>
      <c r="D70" s="862"/>
      <c r="E70" s="862"/>
      <c r="F70" s="862"/>
      <c r="G70" s="862"/>
      <c r="H70" s="862"/>
      <c r="I70" s="862"/>
      <c r="J70" s="862"/>
      <c r="K70" s="862"/>
      <c r="L70" s="862"/>
      <c r="M70" s="862"/>
      <c r="N70" s="862"/>
      <c r="O70" s="862"/>
      <c r="P70" s="862"/>
      <c r="Q70" s="862"/>
      <c r="R70" s="862"/>
      <c r="S70" s="862"/>
      <c r="T70" s="862"/>
      <c r="U70" s="862"/>
      <c r="V70" s="862"/>
      <c r="W70" s="862"/>
      <c r="X70" s="862"/>
      <c r="Y70" s="862"/>
      <c r="Z70" s="862"/>
      <c r="AA70" s="862"/>
      <c r="AB70" s="862"/>
      <c r="AC70" s="862"/>
      <c r="AD70" s="862"/>
      <c r="AE70" s="862"/>
      <c r="AF70" s="862"/>
      <c r="AG70" s="862"/>
      <c r="AH70" s="862"/>
      <c r="AI70" s="862"/>
      <c r="AJ70" s="862"/>
      <c r="AK70" s="862"/>
      <c r="AL70" s="862"/>
      <c r="AM70" s="862"/>
      <c r="AN70" s="862"/>
      <c r="AO70" s="862"/>
      <c r="AP70" s="862"/>
      <c r="AQ70" s="863"/>
    </row>
    <row r="71" spans="3:43" s="63" customFormat="1" ht="15.95" customHeight="1" x14ac:dyDescent="0.25">
      <c r="C71" s="420"/>
      <c r="D71" s="420"/>
      <c r="E71" s="420"/>
      <c r="F71" s="420"/>
      <c r="G71" s="420"/>
      <c r="H71" s="420"/>
      <c r="I71" s="420"/>
      <c r="J71" s="420"/>
      <c r="K71" s="420"/>
      <c r="L71" s="420"/>
      <c r="M71" s="420"/>
      <c r="N71" s="420"/>
      <c r="O71" s="420"/>
      <c r="P71" s="420"/>
      <c r="Q71" s="420"/>
      <c r="R71" s="420"/>
      <c r="S71" s="420"/>
      <c r="T71" s="420"/>
      <c r="U71" s="420"/>
      <c r="V71" s="420"/>
      <c r="W71" s="420"/>
      <c r="X71" s="420"/>
      <c r="Y71" s="420"/>
      <c r="Z71" s="420"/>
      <c r="AA71" s="420"/>
      <c r="AB71" s="420"/>
      <c r="AC71" s="420"/>
      <c r="AD71" s="420"/>
      <c r="AE71" s="420"/>
      <c r="AF71" s="420"/>
      <c r="AG71" s="420"/>
      <c r="AH71" s="420"/>
      <c r="AI71" s="420"/>
      <c r="AJ71" s="420"/>
      <c r="AK71" s="420"/>
      <c r="AL71" s="420"/>
      <c r="AM71" s="420"/>
      <c r="AN71" s="420"/>
      <c r="AO71" s="420"/>
      <c r="AP71" s="420"/>
      <c r="AQ71" s="420"/>
    </row>
    <row r="72" spans="3:43" s="63" customFormat="1" ht="15.95" customHeight="1" x14ac:dyDescent="0.25">
      <c r="C72" s="420"/>
      <c r="D72" s="420"/>
      <c r="E72" s="420"/>
      <c r="F72" s="420"/>
      <c r="G72" s="420"/>
      <c r="H72" s="420"/>
      <c r="I72" s="420"/>
      <c r="J72" s="420"/>
      <c r="K72" s="420"/>
      <c r="L72" s="420"/>
      <c r="M72" s="420"/>
      <c r="N72" s="420"/>
      <c r="O72" s="420"/>
      <c r="P72" s="420"/>
      <c r="Q72" s="420"/>
      <c r="R72" s="420"/>
      <c r="S72" s="420"/>
      <c r="T72" s="420"/>
      <c r="U72" s="420"/>
      <c r="V72" s="420"/>
      <c r="W72" s="420"/>
      <c r="X72" s="420"/>
      <c r="Y72" s="420"/>
      <c r="Z72" s="420"/>
      <c r="AA72" s="420"/>
      <c r="AB72" s="420"/>
      <c r="AC72" s="420"/>
      <c r="AD72" s="420"/>
      <c r="AE72" s="420"/>
      <c r="AF72" s="420"/>
      <c r="AG72" s="420"/>
      <c r="AH72" s="420"/>
      <c r="AI72" s="420"/>
      <c r="AJ72" s="420"/>
      <c r="AK72" s="420"/>
      <c r="AL72" s="420"/>
      <c r="AM72" s="420"/>
      <c r="AN72" s="420"/>
      <c r="AO72" s="420"/>
      <c r="AP72" s="420"/>
      <c r="AQ72" s="420"/>
    </row>
    <row r="73" spans="3:43" s="63" customFormat="1" ht="15.95" hidden="1" customHeight="1" x14ac:dyDescent="0.25">
      <c r="C73" s="477" t="s">
        <v>1603</v>
      </c>
      <c r="D73" s="135"/>
      <c r="E73" s="135"/>
      <c r="F73" s="135"/>
      <c r="G73" s="135"/>
      <c r="H73" s="135"/>
      <c r="I73" s="135"/>
      <c r="J73" s="135"/>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M73" s="135"/>
      <c r="AN73" s="135"/>
      <c r="AO73" s="135"/>
      <c r="AP73" s="135"/>
      <c r="AQ73" s="135"/>
    </row>
    <row r="74" spans="3:43" s="63" customFormat="1" ht="15.95" hidden="1" customHeight="1" x14ac:dyDescent="0.25">
      <c r="C74" s="924" t="s">
        <v>1697</v>
      </c>
      <c r="D74" s="916"/>
      <c r="E74" s="916"/>
      <c r="F74" s="916"/>
      <c r="G74" s="916"/>
      <c r="H74" s="916"/>
      <c r="I74" s="916"/>
      <c r="J74" s="916"/>
      <c r="K74" s="916"/>
      <c r="L74" s="916"/>
      <c r="M74" s="916"/>
      <c r="N74" s="916"/>
      <c r="O74" s="916"/>
      <c r="P74" s="916"/>
      <c r="Q74" s="916"/>
      <c r="R74" s="916"/>
      <c r="S74" s="916"/>
      <c r="T74" s="916"/>
      <c r="U74" s="916"/>
      <c r="V74" s="916"/>
      <c r="W74" s="916"/>
      <c r="X74" s="916"/>
      <c r="Y74" s="916"/>
      <c r="Z74" s="916"/>
      <c r="AA74" s="916"/>
      <c r="AB74" s="916"/>
      <c r="AC74" s="916"/>
      <c r="AD74" s="916"/>
      <c r="AE74" s="916"/>
      <c r="AF74" s="916"/>
      <c r="AG74" s="916"/>
      <c r="AH74" s="916"/>
      <c r="AI74" s="916"/>
      <c r="AJ74" s="916"/>
      <c r="AK74" s="916"/>
      <c r="AL74" s="916"/>
      <c r="AM74" s="916"/>
      <c r="AN74" s="916"/>
      <c r="AO74" s="916"/>
      <c r="AP74" s="916"/>
      <c r="AQ74" s="917"/>
    </row>
    <row r="75" spans="3:43" s="63" customFormat="1" ht="15.95" hidden="1" customHeight="1" x14ac:dyDescent="0.25">
      <c r="C75" s="918"/>
      <c r="D75" s="919"/>
      <c r="E75" s="919"/>
      <c r="F75" s="919"/>
      <c r="G75" s="919"/>
      <c r="H75" s="919"/>
      <c r="I75" s="919"/>
      <c r="J75" s="919"/>
      <c r="K75" s="919"/>
      <c r="L75" s="919"/>
      <c r="M75" s="919"/>
      <c r="N75" s="919"/>
      <c r="O75" s="919"/>
      <c r="P75" s="919"/>
      <c r="Q75" s="919"/>
      <c r="R75" s="919"/>
      <c r="S75" s="919"/>
      <c r="T75" s="919"/>
      <c r="U75" s="919"/>
      <c r="V75" s="919"/>
      <c r="W75" s="919"/>
      <c r="X75" s="919"/>
      <c r="Y75" s="919"/>
      <c r="Z75" s="919"/>
      <c r="AA75" s="919"/>
      <c r="AB75" s="919"/>
      <c r="AC75" s="919"/>
      <c r="AD75" s="919"/>
      <c r="AE75" s="919"/>
      <c r="AF75" s="919"/>
      <c r="AG75" s="919"/>
      <c r="AH75" s="919"/>
      <c r="AI75" s="919"/>
      <c r="AJ75" s="919"/>
      <c r="AK75" s="919"/>
      <c r="AL75" s="919"/>
      <c r="AM75" s="919"/>
      <c r="AN75" s="919"/>
      <c r="AO75" s="919"/>
      <c r="AP75" s="919"/>
      <c r="AQ75" s="920"/>
    </row>
    <row r="76" spans="3:43" s="63" customFormat="1" ht="15.95" hidden="1" customHeight="1" x14ac:dyDescent="0.25">
      <c r="C76" s="921"/>
      <c r="D76" s="922"/>
      <c r="E76" s="922"/>
      <c r="F76" s="922"/>
      <c r="G76" s="922"/>
      <c r="H76" s="922"/>
      <c r="I76" s="922"/>
      <c r="J76" s="922"/>
      <c r="K76" s="922"/>
      <c r="L76" s="922"/>
      <c r="M76" s="922"/>
      <c r="N76" s="922"/>
      <c r="O76" s="922"/>
      <c r="P76" s="922"/>
      <c r="Q76" s="922"/>
      <c r="R76" s="922"/>
      <c r="S76" s="922"/>
      <c r="T76" s="922"/>
      <c r="U76" s="922"/>
      <c r="V76" s="922"/>
      <c r="W76" s="922"/>
      <c r="X76" s="922"/>
      <c r="Y76" s="922"/>
      <c r="Z76" s="922"/>
      <c r="AA76" s="922"/>
      <c r="AB76" s="922"/>
      <c r="AC76" s="922"/>
      <c r="AD76" s="922"/>
      <c r="AE76" s="922"/>
      <c r="AF76" s="922"/>
      <c r="AG76" s="922"/>
      <c r="AH76" s="922"/>
      <c r="AI76" s="922"/>
      <c r="AJ76" s="922"/>
      <c r="AK76" s="922"/>
      <c r="AL76" s="922"/>
      <c r="AM76" s="922"/>
      <c r="AN76" s="922"/>
      <c r="AO76" s="922"/>
      <c r="AP76" s="922"/>
      <c r="AQ76" s="923"/>
    </row>
    <row r="77" spans="3:43" s="63" customFormat="1" ht="15.95" hidden="1" customHeight="1" x14ac:dyDescent="0.25">
      <c r="C77" s="135"/>
      <c r="D77" s="135"/>
      <c r="E77" s="135"/>
      <c r="F77" s="135"/>
      <c r="G77" s="135"/>
      <c r="H77" s="135"/>
      <c r="I77" s="135"/>
      <c r="J77" s="135"/>
      <c r="K77" s="135"/>
      <c r="L77" s="135"/>
      <c r="M77" s="135"/>
      <c r="N77" s="135"/>
      <c r="O77" s="135"/>
      <c r="P77" s="135"/>
      <c r="Q77" s="135"/>
      <c r="R77" s="135"/>
      <c r="S77" s="135"/>
      <c r="T77" s="135"/>
      <c r="U77" s="135"/>
      <c r="V77" s="135"/>
      <c r="W77" s="135"/>
      <c r="X77" s="135"/>
      <c r="Y77" s="135"/>
      <c r="Z77" s="135"/>
      <c r="AA77" s="135"/>
      <c r="AB77" s="135"/>
      <c r="AC77" s="135"/>
      <c r="AD77" s="135"/>
      <c r="AE77" s="135"/>
      <c r="AF77" s="135"/>
      <c r="AG77" s="135"/>
      <c r="AH77" s="135"/>
      <c r="AI77" s="135"/>
      <c r="AJ77" s="135"/>
      <c r="AK77" s="135"/>
      <c r="AL77" s="135"/>
      <c r="AM77" s="135"/>
      <c r="AN77" s="135"/>
      <c r="AO77" s="135"/>
      <c r="AP77" s="135"/>
      <c r="AQ77" s="135"/>
    </row>
    <row r="78" spans="3:43" s="63" customFormat="1" ht="15.95" hidden="1" customHeight="1" x14ac:dyDescent="0.25">
      <c r="C78" s="135" t="s">
        <v>1698</v>
      </c>
      <c r="D78" s="135"/>
      <c r="E78" s="135"/>
      <c r="F78" s="135"/>
      <c r="G78" s="135"/>
      <c r="H78" s="135"/>
      <c r="I78" s="135"/>
      <c r="J78" s="135"/>
      <c r="K78" s="135"/>
      <c r="L78" s="135"/>
      <c r="M78" s="135"/>
      <c r="N78" s="135"/>
      <c r="O78" s="135"/>
      <c r="P78" s="135"/>
      <c r="Q78" s="135"/>
      <c r="R78" s="135"/>
      <c r="S78" s="135"/>
      <c r="T78" s="135"/>
      <c r="U78" s="135"/>
      <c r="V78" s="135"/>
      <c r="W78" s="135"/>
      <c r="X78" s="135"/>
      <c r="Y78" s="135"/>
      <c r="Z78" s="135"/>
      <c r="AA78" s="135"/>
      <c r="AB78" s="135"/>
      <c r="AC78" s="135"/>
      <c r="AD78" s="135"/>
      <c r="AE78" s="135"/>
      <c r="AF78" s="135"/>
      <c r="AG78" s="135"/>
      <c r="AH78" s="135"/>
      <c r="AI78" s="135"/>
      <c r="AJ78" s="135"/>
      <c r="AK78" s="135"/>
      <c r="AL78" s="135"/>
      <c r="AM78" s="135"/>
      <c r="AN78" s="135"/>
      <c r="AO78" s="135"/>
      <c r="AP78" s="135"/>
      <c r="AQ78" s="135"/>
    </row>
    <row r="79" spans="3:43" s="63" customFormat="1" ht="15.95" hidden="1" customHeight="1" x14ac:dyDescent="0.25">
      <c r="C79" s="135"/>
      <c r="D79" s="135"/>
      <c r="E79" s="135"/>
      <c r="F79" s="135"/>
      <c r="G79" s="135"/>
      <c r="H79" s="135"/>
      <c r="I79" s="135"/>
      <c r="J79" s="135"/>
      <c r="K79" s="135"/>
      <c r="L79" s="135"/>
      <c r="M79" s="135"/>
      <c r="N79" s="135"/>
      <c r="O79" s="135"/>
      <c r="P79" s="135"/>
      <c r="Q79" s="135"/>
      <c r="R79" s="135"/>
      <c r="S79" s="135"/>
      <c r="T79" s="135"/>
      <c r="U79" s="135"/>
      <c r="V79" s="135"/>
      <c r="W79" s="135"/>
      <c r="X79" s="135"/>
      <c r="Y79" s="135"/>
      <c r="Z79" s="135"/>
      <c r="AA79" s="135"/>
      <c r="AB79" s="135"/>
      <c r="AC79" s="135"/>
      <c r="AD79" s="135"/>
      <c r="AE79" s="135"/>
      <c r="AF79" s="135"/>
      <c r="AG79" s="135"/>
      <c r="AH79" s="135"/>
      <c r="AI79" s="135"/>
      <c r="AJ79" s="135"/>
      <c r="AK79" s="135"/>
      <c r="AL79" s="135"/>
      <c r="AM79" s="135"/>
      <c r="AN79" s="135"/>
      <c r="AO79" s="135"/>
      <c r="AP79" s="135"/>
      <c r="AQ79" s="135"/>
    </row>
    <row r="80" spans="3:43" s="63" customFormat="1" ht="15.95" hidden="1" customHeight="1" x14ac:dyDescent="0.25">
      <c r="C80" s="135"/>
      <c r="D80" s="135"/>
      <c r="E80" s="135"/>
      <c r="F80" s="135"/>
      <c r="G80" s="135"/>
      <c r="H80" s="135"/>
      <c r="I80" s="135"/>
      <c r="J80" s="135"/>
      <c r="K80" s="135"/>
      <c r="L80" s="135"/>
      <c r="M80" s="135"/>
      <c r="N80" s="135"/>
      <c r="O80" s="135"/>
      <c r="P80" s="135"/>
      <c r="Q80" s="135"/>
      <c r="R80" s="135"/>
      <c r="S80" s="135"/>
      <c r="T80" s="135"/>
      <c r="U80" s="135"/>
      <c r="V80" s="135"/>
      <c r="W80" s="135"/>
      <c r="X80" s="135"/>
      <c r="Y80" s="135"/>
      <c r="Z80" s="135"/>
      <c r="AA80" s="135"/>
      <c r="AB80" s="135"/>
      <c r="AC80" s="135"/>
      <c r="AD80" s="135"/>
      <c r="AE80" s="135"/>
      <c r="AF80" s="135"/>
      <c r="AG80" s="135"/>
      <c r="AH80" s="135"/>
      <c r="AI80" s="135"/>
      <c r="AJ80" s="135"/>
      <c r="AK80" s="135"/>
      <c r="AL80" s="135"/>
      <c r="AM80" s="135"/>
      <c r="AN80" s="135"/>
      <c r="AO80" s="135"/>
      <c r="AP80" s="135"/>
      <c r="AQ80" s="135"/>
    </row>
    <row r="81" spans="3:43" s="63" customFormat="1" ht="15.95" hidden="1" customHeight="1" thickBot="1" x14ac:dyDescent="0.3">
      <c r="C81" s="135" t="s">
        <v>1699</v>
      </c>
      <c r="D81" s="135"/>
      <c r="E81" s="135"/>
      <c r="F81" s="135"/>
      <c r="G81" s="135"/>
      <c r="H81" s="135"/>
      <c r="I81" s="135"/>
      <c r="J81" s="135"/>
      <c r="K81" s="135"/>
      <c r="L81" s="135"/>
      <c r="M81" s="135"/>
      <c r="N81" s="135"/>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c r="AO81" s="135"/>
      <c r="AP81" s="135"/>
      <c r="AQ81" s="135"/>
    </row>
    <row r="82" spans="3:43" s="63" customFormat="1" ht="15.95" hidden="1" customHeight="1" x14ac:dyDescent="0.25">
      <c r="C82" s="913"/>
      <c r="D82" s="856"/>
      <c r="E82" s="856"/>
      <c r="F82" s="856"/>
      <c r="G82" s="856"/>
      <c r="H82" s="856"/>
      <c r="I82" s="856"/>
      <c r="J82" s="856"/>
      <c r="K82" s="856"/>
      <c r="L82" s="856"/>
      <c r="M82" s="856"/>
      <c r="N82" s="856"/>
      <c r="O82" s="856"/>
      <c r="P82" s="856"/>
      <c r="Q82" s="856"/>
      <c r="R82" s="856"/>
      <c r="S82" s="856"/>
      <c r="T82" s="856"/>
      <c r="U82" s="856"/>
      <c r="V82" s="856"/>
      <c r="W82" s="856"/>
      <c r="X82" s="856"/>
      <c r="Y82" s="856"/>
      <c r="Z82" s="856"/>
      <c r="AA82" s="856"/>
      <c r="AB82" s="856"/>
      <c r="AC82" s="856"/>
      <c r="AD82" s="856"/>
      <c r="AE82" s="856"/>
      <c r="AF82" s="856"/>
      <c r="AG82" s="856"/>
      <c r="AH82" s="856"/>
      <c r="AI82" s="856"/>
      <c r="AJ82" s="856"/>
      <c r="AK82" s="856"/>
      <c r="AL82" s="856"/>
      <c r="AM82" s="856"/>
      <c r="AN82" s="856"/>
      <c r="AO82" s="856"/>
      <c r="AP82" s="856"/>
      <c r="AQ82" s="857"/>
    </row>
    <row r="83" spans="3:43" s="63" customFormat="1" ht="15.95" hidden="1" customHeight="1" x14ac:dyDescent="0.25">
      <c r="C83" s="858"/>
      <c r="D83" s="859"/>
      <c r="E83" s="859"/>
      <c r="F83" s="859"/>
      <c r="G83" s="859"/>
      <c r="H83" s="859"/>
      <c r="I83" s="859"/>
      <c r="J83" s="859"/>
      <c r="K83" s="859"/>
      <c r="L83" s="859"/>
      <c r="M83" s="859"/>
      <c r="N83" s="859"/>
      <c r="O83" s="859"/>
      <c r="P83" s="859"/>
      <c r="Q83" s="859"/>
      <c r="R83" s="859"/>
      <c r="S83" s="859"/>
      <c r="T83" s="859"/>
      <c r="U83" s="859"/>
      <c r="V83" s="859"/>
      <c r="W83" s="859"/>
      <c r="X83" s="859"/>
      <c r="Y83" s="859"/>
      <c r="Z83" s="859"/>
      <c r="AA83" s="859"/>
      <c r="AB83" s="859"/>
      <c r="AC83" s="859"/>
      <c r="AD83" s="859"/>
      <c r="AE83" s="859"/>
      <c r="AF83" s="859"/>
      <c r="AG83" s="859"/>
      <c r="AH83" s="859"/>
      <c r="AI83" s="859"/>
      <c r="AJ83" s="859"/>
      <c r="AK83" s="859"/>
      <c r="AL83" s="859"/>
      <c r="AM83" s="859"/>
      <c r="AN83" s="859"/>
      <c r="AO83" s="859"/>
      <c r="AP83" s="859"/>
      <c r="AQ83" s="860"/>
    </row>
    <row r="84" spans="3:43" s="63" customFormat="1" ht="15.95" hidden="1" customHeight="1" thickBot="1" x14ac:dyDescent="0.3">
      <c r="C84" s="861"/>
      <c r="D84" s="862"/>
      <c r="E84" s="862"/>
      <c r="F84" s="862"/>
      <c r="G84" s="862"/>
      <c r="H84" s="862"/>
      <c r="I84" s="862"/>
      <c r="J84" s="862"/>
      <c r="K84" s="862"/>
      <c r="L84" s="862"/>
      <c r="M84" s="862"/>
      <c r="N84" s="862"/>
      <c r="O84" s="862"/>
      <c r="P84" s="862"/>
      <c r="Q84" s="862"/>
      <c r="R84" s="862"/>
      <c r="S84" s="862"/>
      <c r="T84" s="862"/>
      <c r="U84" s="862"/>
      <c r="V84" s="862"/>
      <c r="W84" s="862"/>
      <c r="X84" s="862"/>
      <c r="Y84" s="862"/>
      <c r="Z84" s="862"/>
      <c r="AA84" s="862"/>
      <c r="AB84" s="862"/>
      <c r="AC84" s="862"/>
      <c r="AD84" s="862"/>
      <c r="AE84" s="862"/>
      <c r="AF84" s="862"/>
      <c r="AG84" s="862"/>
      <c r="AH84" s="862"/>
      <c r="AI84" s="862"/>
      <c r="AJ84" s="862"/>
      <c r="AK84" s="862"/>
      <c r="AL84" s="862"/>
      <c r="AM84" s="862"/>
      <c r="AN84" s="862"/>
      <c r="AO84" s="862"/>
      <c r="AP84" s="862"/>
      <c r="AQ84" s="863"/>
    </row>
    <row r="85" spans="3:43" s="63" customFormat="1" ht="15.95" hidden="1" customHeight="1" x14ac:dyDescent="0.25">
      <c r="C85" s="135"/>
      <c r="D85" s="135"/>
      <c r="E85" s="135"/>
      <c r="F85" s="135"/>
      <c r="G85" s="135"/>
      <c r="H85" s="135"/>
      <c r="I85" s="135"/>
      <c r="J85" s="135"/>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5"/>
      <c r="AN85" s="135"/>
      <c r="AO85" s="135"/>
      <c r="AP85" s="135"/>
      <c r="AQ85" s="135"/>
    </row>
    <row r="86" spans="3:43" s="63" customFormat="1" ht="15.95" hidden="1" customHeight="1" x14ac:dyDescent="0.25">
      <c r="C86" s="135"/>
      <c r="D86" s="135"/>
      <c r="E86" s="135"/>
      <c r="F86" s="135"/>
      <c r="G86" s="135"/>
      <c r="H86" s="135"/>
      <c r="I86" s="135"/>
      <c r="J86" s="135"/>
      <c r="K86" s="135"/>
      <c r="L86" s="135"/>
      <c r="M86" s="135"/>
      <c r="N86" s="135"/>
      <c r="O86" s="135"/>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35"/>
      <c r="AN86" s="135"/>
      <c r="AO86" s="135"/>
      <c r="AP86" s="135"/>
      <c r="AQ86" s="135"/>
    </row>
    <row r="87" spans="3:43" s="63" customFormat="1" ht="15.95" customHeight="1" x14ac:dyDescent="0.25">
      <c r="C87" s="477" t="s">
        <v>1700</v>
      </c>
      <c r="D87" s="135"/>
      <c r="E87" s="135"/>
      <c r="F87" s="135"/>
      <c r="G87" s="135"/>
      <c r="H87" s="135"/>
      <c r="I87" s="135"/>
      <c r="J87" s="135"/>
      <c r="K87" s="135"/>
      <c r="L87" s="135"/>
      <c r="M87" s="135"/>
      <c r="N87" s="135"/>
      <c r="O87" s="135"/>
      <c r="P87" s="135"/>
      <c r="Q87" s="135"/>
      <c r="R87" s="135"/>
      <c r="S87" s="135"/>
      <c r="T87" s="135"/>
      <c r="U87" s="135"/>
      <c r="V87" s="135"/>
      <c r="W87" s="135"/>
      <c r="X87" s="135"/>
      <c r="Y87" s="135"/>
      <c r="Z87" s="135"/>
      <c r="AA87" s="135"/>
      <c r="AB87" s="135"/>
      <c r="AC87" s="135"/>
      <c r="AD87" s="135"/>
      <c r="AE87" s="135"/>
      <c r="AF87" s="135"/>
      <c r="AG87" s="135"/>
      <c r="AH87" s="135"/>
      <c r="AI87" s="135"/>
      <c r="AJ87" s="135"/>
      <c r="AK87" s="135"/>
      <c r="AL87" s="135"/>
      <c r="AM87" s="135"/>
      <c r="AN87" s="135"/>
      <c r="AO87" s="135"/>
      <c r="AP87" s="135"/>
      <c r="AQ87" s="135"/>
    </row>
    <row r="88" spans="3:43" s="63" customFormat="1" ht="15.95" customHeight="1" x14ac:dyDescent="0.25">
      <c r="C88" s="924" t="s">
        <v>1701</v>
      </c>
      <c r="D88" s="916"/>
      <c r="E88" s="916"/>
      <c r="F88" s="916"/>
      <c r="G88" s="916"/>
      <c r="H88" s="916"/>
      <c r="I88" s="916"/>
      <c r="J88" s="916"/>
      <c r="K88" s="916"/>
      <c r="L88" s="916"/>
      <c r="M88" s="916"/>
      <c r="N88" s="916"/>
      <c r="O88" s="916"/>
      <c r="P88" s="916"/>
      <c r="Q88" s="916"/>
      <c r="R88" s="916"/>
      <c r="S88" s="916"/>
      <c r="T88" s="916"/>
      <c r="U88" s="916"/>
      <c r="V88" s="916"/>
      <c r="W88" s="916"/>
      <c r="X88" s="916"/>
      <c r="Y88" s="916"/>
      <c r="Z88" s="916"/>
      <c r="AA88" s="916"/>
      <c r="AB88" s="916"/>
      <c r="AC88" s="916"/>
      <c r="AD88" s="916"/>
      <c r="AE88" s="916"/>
      <c r="AF88" s="916"/>
      <c r="AG88" s="916"/>
      <c r="AH88" s="916"/>
      <c r="AI88" s="916"/>
      <c r="AJ88" s="916"/>
      <c r="AK88" s="916"/>
      <c r="AL88" s="916"/>
      <c r="AM88" s="916"/>
      <c r="AN88" s="916"/>
      <c r="AO88" s="916"/>
      <c r="AP88" s="916"/>
      <c r="AQ88" s="917"/>
    </row>
    <row r="89" spans="3:43" s="63" customFormat="1" ht="15.95" customHeight="1" x14ac:dyDescent="0.25">
      <c r="C89" s="918"/>
      <c r="D89" s="919"/>
      <c r="E89" s="919"/>
      <c r="F89" s="919"/>
      <c r="G89" s="919"/>
      <c r="H89" s="919"/>
      <c r="I89" s="919"/>
      <c r="J89" s="919"/>
      <c r="K89" s="919"/>
      <c r="L89" s="919"/>
      <c r="M89" s="919"/>
      <c r="N89" s="919"/>
      <c r="O89" s="919"/>
      <c r="P89" s="919"/>
      <c r="Q89" s="919"/>
      <c r="R89" s="919"/>
      <c r="S89" s="919"/>
      <c r="T89" s="919"/>
      <c r="U89" s="919"/>
      <c r="V89" s="919"/>
      <c r="W89" s="919"/>
      <c r="X89" s="919"/>
      <c r="Y89" s="919"/>
      <c r="Z89" s="919"/>
      <c r="AA89" s="919"/>
      <c r="AB89" s="919"/>
      <c r="AC89" s="919"/>
      <c r="AD89" s="919"/>
      <c r="AE89" s="919"/>
      <c r="AF89" s="919"/>
      <c r="AG89" s="919"/>
      <c r="AH89" s="919"/>
      <c r="AI89" s="919"/>
      <c r="AJ89" s="919"/>
      <c r="AK89" s="919"/>
      <c r="AL89" s="919"/>
      <c r="AM89" s="919"/>
      <c r="AN89" s="919"/>
      <c r="AO89" s="919"/>
      <c r="AP89" s="919"/>
      <c r="AQ89" s="920"/>
    </row>
    <row r="90" spans="3:43" s="63" customFormat="1" ht="15.95" customHeight="1" x14ac:dyDescent="0.25">
      <c r="C90" s="918"/>
      <c r="D90" s="919"/>
      <c r="E90" s="919"/>
      <c r="F90" s="919"/>
      <c r="G90" s="919"/>
      <c r="H90" s="919"/>
      <c r="I90" s="919"/>
      <c r="J90" s="919"/>
      <c r="K90" s="919"/>
      <c r="L90" s="919"/>
      <c r="M90" s="919"/>
      <c r="N90" s="919"/>
      <c r="O90" s="919"/>
      <c r="P90" s="919"/>
      <c r="Q90" s="919"/>
      <c r="R90" s="919"/>
      <c r="S90" s="919"/>
      <c r="T90" s="919"/>
      <c r="U90" s="919"/>
      <c r="V90" s="919"/>
      <c r="W90" s="919"/>
      <c r="X90" s="919"/>
      <c r="Y90" s="919"/>
      <c r="Z90" s="919"/>
      <c r="AA90" s="919"/>
      <c r="AB90" s="919"/>
      <c r="AC90" s="919"/>
      <c r="AD90" s="919"/>
      <c r="AE90" s="919"/>
      <c r="AF90" s="919"/>
      <c r="AG90" s="919"/>
      <c r="AH90" s="919"/>
      <c r="AI90" s="919"/>
      <c r="AJ90" s="919"/>
      <c r="AK90" s="919"/>
      <c r="AL90" s="919"/>
      <c r="AM90" s="919"/>
      <c r="AN90" s="919"/>
      <c r="AO90" s="919"/>
      <c r="AP90" s="919"/>
      <c r="AQ90" s="920"/>
    </row>
    <row r="91" spans="3:43" s="63" customFormat="1" ht="15.95" customHeight="1" x14ac:dyDescent="0.25">
      <c r="C91" s="921"/>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2"/>
      <c r="AF91" s="922"/>
      <c r="AG91" s="922"/>
      <c r="AH91" s="922"/>
      <c r="AI91" s="922"/>
      <c r="AJ91" s="922"/>
      <c r="AK91" s="922"/>
      <c r="AL91" s="922"/>
      <c r="AM91" s="922"/>
      <c r="AN91" s="922"/>
      <c r="AO91" s="922"/>
      <c r="AP91" s="922"/>
      <c r="AQ91" s="923"/>
    </row>
    <row r="92" spans="3:43" s="63" customFormat="1" ht="15.95" customHeight="1" x14ac:dyDescent="0.25"/>
    <row r="93" spans="3:43" s="63" customFormat="1" ht="15.95" customHeight="1" x14ac:dyDescent="0.25">
      <c r="C93" s="135" t="s">
        <v>1702</v>
      </c>
      <c r="D93" s="135"/>
      <c r="E93" s="135"/>
      <c r="F93" s="135"/>
      <c r="G93" s="135"/>
      <c r="H93" s="135"/>
      <c r="I93" s="135"/>
      <c r="J93" s="135"/>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c r="AO93" s="135"/>
      <c r="AP93" s="135"/>
      <c r="AQ93" s="135"/>
    </row>
    <row r="94" spans="3:43" s="63" customFormat="1" ht="15.95" customHeight="1" x14ac:dyDescent="0.2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row>
    <row r="95" spans="3:43" s="63" customFormat="1" ht="15.95" customHeight="1" x14ac:dyDescent="0.25">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row>
    <row r="96" spans="3:43" s="63" customFormat="1" ht="15.95" customHeight="1" thickBot="1" x14ac:dyDescent="0.3">
      <c r="C96" s="135" t="s">
        <v>1703</v>
      </c>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row>
    <row r="97" spans="3:43" s="63" customFormat="1" ht="15.95" customHeight="1" x14ac:dyDescent="0.25">
      <c r="C97" s="913"/>
      <c r="D97" s="856"/>
      <c r="E97" s="856"/>
      <c r="F97" s="856"/>
      <c r="G97" s="856"/>
      <c r="H97" s="856"/>
      <c r="I97" s="856"/>
      <c r="J97" s="856"/>
      <c r="K97" s="856"/>
      <c r="L97" s="856"/>
      <c r="M97" s="856"/>
      <c r="N97" s="856"/>
      <c r="O97" s="856"/>
      <c r="P97" s="856"/>
      <c r="Q97" s="856"/>
      <c r="R97" s="856"/>
      <c r="S97" s="856"/>
      <c r="T97" s="856"/>
      <c r="U97" s="856"/>
      <c r="V97" s="856"/>
      <c r="W97" s="856"/>
      <c r="X97" s="856"/>
      <c r="Y97" s="856"/>
      <c r="Z97" s="856"/>
      <c r="AA97" s="856"/>
      <c r="AB97" s="856"/>
      <c r="AC97" s="856"/>
      <c r="AD97" s="856"/>
      <c r="AE97" s="856"/>
      <c r="AF97" s="856"/>
      <c r="AG97" s="856"/>
      <c r="AH97" s="856"/>
      <c r="AI97" s="856"/>
      <c r="AJ97" s="856"/>
      <c r="AK97" s="856"/>
      <c r="AL97" s="856"/>
      <c r="AM97" s="856"/>
      <c r="AN97" s="856"/>
      <c r="AO97" s="856"/>
      <c r="AP97" s="856"/>
      <c r="AQ97" s="857"/>
    </row>
    <row r="98" spans="3:43" s="63" customFormat="1" ht="15.95" customHeight="1" x14ac:dyDescent="0.25">
      <c r="C98" s="858"/>
      <c r="D98" s="859"/>
      <c r="E98" s="859"/>
      <c r="F98" s="859"/>
      <c r="G98" s="859"/>
      <c r="H98" s="859"/>
      <c r="I98" s="859"/>
      <c r="J98" s="859"/>
      <c r="K98" s="859"/>
      <c r="L98" s="859"/>
      <c r="M98" s="859"/>
      <c r="N98" s="859"/>
      <c r="O98" s="859"/>
      <c r="P98" s="859"/>
      <c r="Q98" s="859"/>
      <c r="R98" s="859"/>
      <c r="S98" s="859"/>
      <c r="T98" s="859"/>
      <c r="U98" s="859"/>
      <c r="V98" s="859"/>
      <c r="W98" s="859"/>
      <c r="X98" s="859"/>
      <c r="Y98" s="859"/>
      <c r="Z98" s="859"/>
      <c r="AA98" s="859"/>
      <c r="AB98" s="859"/>
      <c r="AC98" s="859"/>
      <c r="AD98" s="859"/>
      <c r="AE98" s="859"/>
      <c r="AF98" s="859"/>
      <c r="AG98" s="859"/>
      <c r="AH98" s="859"/>
      <c r="AI98" s="859"/>
      <c r="AJ98" s="859"/>
      <c r="AK98" s="859"/>
      <c r="AL98" s="859"/>
      <c r="AM98" s="859"/>
      <c r="AN98" s="859"/>
      <c r="AO98" s="859"/>
      <c r="AP98" s="859"/>
      <c r="AQ98" s="860"/>
    </row>
    <row r="99" spans="3:43" s="63" customFormat="1" ht="15.95" customHeight="1" thickBot="1" x14ac:dyDescent="0.3">
      <c r="C99" s="861"/>
      <c r="D99" s="862"/>
      <c r="E99" s="862"/>
      <c r="F99" s="862"/>
      <c r="G99" s="862"/>
      <c r="H99" s="862"/>
      <c r="I99" s="862"/>
      <c r="J99" s="862"/>
      <c r="K99" s="862"/>
      <c r="L99" s="862"/>
      <c r="M99" s="862"/>
      <c r="N99" s="862"/>
      <c r="O99" s="862"/>
      <c r="P99" s="862"/>
      <c r="Q99" s="862"/>
      <c r="R99" s="862"/>
      <c r="S99" s="862"/>
      <c r="T99" s="862"/>
      <c r="U99" s="862"/>
      <c r="V99" s="862"/>
      <c r="W99" s="862"/>
      <c r="X99" s="862"/>
      <c r="Y99" s="862"/>
      <c r="Z99" s="862"/>
      <c r="AA99" s="862"/>
      <c r="AB99" s="862"/>
      <c r="AC99" s="862"/>
      <c r="AD99" s="862"/>
      <c r="AE99" s="862"/>
      <c r="AF99" s="862"/>
      <c r="AG99" s="862"/>
      <c r="AH99" s="862"/>
      <c r="AI99" s="862"/>
      <c r="AJ99" s="862"/>
      <c r="AK99" s="862"/>
      <c r="AL99" s="862"/>
      <c r="AM99" s="862"/>
      <c r="AN99" s="862"/>
      <c r="AO99" s="862"/>
      <c r="AP99" s="862"/>
      <c r="AQ99" s="863"/>
    </row>
    <row r="100" spans="3:43" s="63" customFormat="1" ht="15.95" customHeight="1" x14ac:dyDescent="0.25"/>
    <row r="101" spans="3:43" s="63" customFormat="1" ht="15.95" customHeight="1" x14ac:dyDescent="0.25"/>
    <row r="102" spans="3:43" s="63" customFormat="1" ht="15.95" customHeight="1" thickBot="1" x14ac:dyDescent="0.3">
      <c r="C102" s="135" t="s">
        <v>1704</v>
      </c>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c r="AO102" s="135"/>
      <c r="AP102" s="135"/>
      <c r="AQ102" s="135"/>
    </row>
    <row r="103" spans="3:43" s="63" customFormat="1" ht="15.95" customHeight="1" x14ac:dyDescent="0.25">
      <c r="C103" s="913"/>
      <c r="D103" s="856"/>
      <c r="E103" s="856"/>
      <c r="F103" s="856"/>
      <c r="G103" s="856"/>
      <c r="H103" s="856"/>
      <c r="I103" s="856"/>
      <c r="J103" s="856"/>
      <c r="K103" s="856"/>
      <c r="L103" s="856"/>
      <c r="M103" s="856"/>
      <c r="N103" s="856"/>
      <c r="O103" s="856"/>
      <c r="P103" s="856"/>
      <c r="Q103" s="856"/>
      <c r="R103" s="856"/>
      <c r="S103" s="856"/>
      <c r="T103" s="856"/>
      <c r="U103" s="856"/>
      <c r="V103" s="856"/>
      <c r="W103" s="856"/>
      <c r="X103" s="856"/>
      <c r="Y103" s="856"/>
      <c r="Z103" s="856"/>
      <c r="AA103" s="856"/>
      <c r="AB103" s="856"/>
      <c r="AC103" s="856"/>
      <c r="AD103" s="856"/>
      <c r="AE103" s="856"/>
      <c r="AF103" s="856"/>
      <c r="AG103" s="856"/>
      <c r="AH103" s="856"/>
      <c r="AI103" s="856"/>
      <c r="AJ103" s="856"/>
      <c r="AK103" s="856"/>
      <c r="AL103" s="856"/>
      <c r="AM103" s="856"/>
      <c r="AN103" s="856"/>
      <c r="AO103" s="856"/>
      <c r="AP103" s="856"/>
      <c r="AQ103" s="857"/>
    </row>
    <row r="104" spans="3:43" s="63" customFormat="1" ht="15.95" customHeight="1" x14ac:dyDescent="0.25">
      <c r="C104" s="858"/>
      <c r="D104" s="859"/>
      <c r="E104" s="859"/>
      <c r="F104" s="859"/>
      <c r="G104" s="859"/>
      <c r="H104" s="859"/>
      <c r="I104" s="859"/>
      <c r="J104" s="859"/>
      <c r="K104" s="859"/>
      <c r="L104" s="859"/>
      <c r="M104" s="859"/>
      <c r="N104" s="859"/>
      <c r="O104" s="859"/>
      <c r="P104" s="859"/>
      <c r="Q104" s="859"/>
      <c r="R104" s="859"/>
      <c r="S104" s="859"/>
      <c r="T104" s="859"/>
      <c r="U104" s="859"/>
      <c r="V104" s="859"/>
      <c r="W104" s="859"/>
      <c r="X104" s="859"/>
      <c r="Y104" s="859"/>
      <c r="Z104" s="859"/>
      <c r="AA104" s="859"/>
      <c r="AB104" s="859"/>
      <c r="AC104" s="859"/>
      <c r="AD104" s="859"/>
      <c r="AE104" s="859"/>
      <c r="AF104" s="859"/>
      <c r="AG104" s="859"/>
      <c r="AH104" s="859"/>
      <c r="AI104" s="859"/>
      <c r="AJ104" s="859"/>
      <c r="AK104" s="859"/>
      <c r="AL104" s="859"/>
      <c r="AM104" s="859"/>
      <c r="AN104" s="859"/>
      <c r="AO104" s="859"/>
      <c r="AP104" s="859"/>
      <c r="AQ104" s="860"/>
    </row>
    <row r="105" spans="3:43" s="63" customFormat="1" ht="15.95" customHeight="1" thickBot="1" x14ac:dyDescent="0.3">
      <c r="C105" s="861"/>
      <c r="D105" s="862"/>
      <c r="E105" s="862"/>
      <c r="F105" s="862"/>
      <c r="G105" s="862"/>
      <c r="H105" s="862"/>
      <c r="I105" s="862"/>
      <c r="J105" s="862"/>
      <c r="K105" s="862"/>
      <c r="L105" s="862"/>
      <c r="M105" s="862"/>
      <c r="N105" s="862"/>
      <c r="O105" s="862"/>
      <c r="P105" s="862"/>
      <c r="Q105" s="862"/>
      <c r="R105" s="862"/>
      <c r="S105" s="862"/>
      <c r="T105" s="862"/>
      <c r="U105" s="862"/>
      <c r="V105" s="862"/>
      <c r="W105" s="862"/>
      <c r="X105" s="862"/>
      <c r="Y105" s="862"/>
      <c r="Z105" s="862"/>
      <c r="AA105" s="862"/>
      <c r="AB105" s="862"/>
      <c r="AC105" s="862"/>
      <c r="AD105" s="862"/>
      <c r="AE105" s="862"/>
      <c r="AF105" s="862"/>
      <c r="AG105" s="862"/>
      <c r="AH105" s="862"/>
      <c r="AI105" s="862"/>
      <c r="AJ105" s="862"/>
      <c r="AK105" s="862"/>
      <c r="AL105" s="862"/>
      <c r="AM105" s="862"/>
      <c r="AN105" s="862"/>
      <c r="AO105" s="862"/>
      <c r="AP105" s="862"/>
      <c r="AQ105" s="863"/>
    </row>
    <row r="106" spans="3:43" s="63" customFormat="1" ht="15.95" customHeight="1" x14ac:dyDescent="0.25"/>
    <row r="107" spans="3:43" s="63" customFormat="1" ht="15.95" customHeight="1" x14ac:dyDescent="0.25"/>
    <row r="108" spans="3:43" s="63" customFormat="1" ht="15.95" customHeight="1" x14ac:dyDescent="0.3">
      <c r="F108" s="732" t="s">
        <v>1705</v>
      </c>
      <c r="G108" s="732"/>
      <c r="H108" s="732"/>
      <c r="I108" s="732"/>
      <c r="J108" s="732"/>
      <c r="K108" s="732"/>
      <c r="L108" s="732"/>
      <c r="M108" s="732"/>
      <c r="N108" s="732"/>
      <c r="O108" s="732"/>
      <c r="P108" s="732"/>
      <c r="Q108" s="732"/>
      <c r="R108" s="732"/>
      <c r="S108" s="732"/>
      <c r="T108" s="732"/>
      <c r="U108" s="732"/>
      <c r="V108" s="732"/>
      <c r="W108" s="732"/>
      <c r="X108" s="732"/>
      <c r="Y108" s="732"/>
      <c r="Z108" s="732"/>
      <c r="AA108" s="732"/>
      <c r="AB108" s="732"/>
      <c r="AC108" s="732"/>
      <c r="AD108" s="732"/>
      <c r="AE108" s="732"/>
      <c r="AF108" s="732"/>
      <c r="AG108" s="732"/>
      <c r="AH108" s="732"/>
      <c r="AI108" s="732"/>
      <c r="AJ108" s="732"/>
      <c r="AK108" s="732"/>
      <c r="AL108" s="732"/>
      <c r="AM108" s="732"/>
      <c r="AN108" s="732"/>
    </row>
    <row r="109" spans="3:43" s="63" customFormat="1" ht="15.95" customHeight="1" x14ac:dyDescent="0.3">
      <c r="F109" s="418"/>
      <c r="G109" s="418"/>
      <c r="H109" s="418"/>
      <c r="I109" s="418"/>
      <c r="J109" s="418"/>
      <c r="K109" s="418"/>
      <c r="L109" s="418"/>
      <c r="M109" s="418"/>
      <c r="N109" s="418"/>
      <c r="O109" s="418"/>
      <c r="P109" s="418"/>
      <c r="Q109" s="418"/>
      <c r="R109" s="418"/>
      <c r="S109" s="418"/>
      <c r="T109" s="418"/>
      <c r="U109" s="418"/>
      <c r="V109" s="418"/>
      <c r="W109" s="418"/>
      <c r="X109" s="418"/>
      <c r="Y109" s="418"/>
      <c r="Z109" s="418"/>
      <c r="AA109" s="418"/>
      <c r="AB109" s="418"/>
      <c r="AC109" s="418"/>
      <c r="AD109" s="418"/>
      <c r="AE109" s="418"/>
      <c r="AF109" s="418"/>
      <c r="AG109" s="418"/>
      <c r="AH109" s="418"/>
      <c r="AI109" s="418"/>
      <c r="AJ109" s="418"/>
      <c r="AK109" s="418"/>
      <c r="AL109" s="418"/>
      <c r="AM109" s="418"/>
      <c r="AN109" s="418"/>
    </row>
    <row r="110" spans="3:43" s="63" customFormat="1" ht="15.95" customHeight="1" x14ac:dyDescent="0.25">
      <c r="C110" s="944" t="s">
        <v>1881</v>
      </c>
      <c r="D110" s="945"/>
      <c r="E110" s="945"/>
      <c r="F110" s="945"/>
      <c r="G110" s="945"/>
      <c r="H110" s="945"/>
      <c r="I110" s="945"/>
      <c r="J110" s="945"/>
      <c r="K110" s="945"/>
      <c r="L110" s="945"/>
      <c r="M110" s="945"/>
      <c r="N110" s="945"/>
      <c r="O110" s="945"/>
      <c r="P110" s="945"/>
      <c r="Q110" s="945"/>
      <c r="R110" s="945"/>
      <c r="S110" s="945"/>
      <c r="T110" s="945"/>
      <c r="U110" s="945"/>
      <c r="V110" s="945"/>
      <c r="W110" s="945"/>
      <c r="X110" s="945"/>
      <c r="Y110" s="945"/>
      <c r="Z110" s="945"/>
      <c r="AA110" s="945"/>
      <c r="AB110" s="945"/>
      <c r="AC110" s="945"/>
      <c r="AD110" s="945"/>
      <c r="AE110" s="945"/>
      <c r="AF110" s="945"/>
      <c r="AG110" s="945"/>
      <c r="AH110" s="945"/>
      <c r="AI110" s="945"/>
      <c r="AJ110" s="945"/>
      <c r="AK110" s="945"/>
      <c r="AL110" s="945"/>
      <c r="AM110" s="945"/>
      <c r="AN110" s="945"/>
      <c r="AO110" s="945"/>
      <c r="AP110" s="945"/>
      <c r="AQ110" s="946"/>
    </row>
    <row r="111" spans="3:43" s="63" customFormat="1" ht="15.95" customHeight="1" x14ac:dyDescent="0.25">
      <c r="C111" s="947"/>
      <c r="D111" s="948"/>
      <c r="E111" s="948"/>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8"/>
      <c r="AK111" s="948"/>
      <c r="AL111" s="948"/>
      <c r="AM111" s="948"/>
      <c r="AN111" s="948"/>
      <c r="AO111" s="948"/>
      <c r="AP111" s="948"/>
      <c r="AQ111" s="949"/>
    </row>
    <row r="112" spans="3:43" s="63" customFormat="1" ht="15.95" customHeight="1" x14ac:dyDescent="0.25">
      <c r="C112" s="947"/>
      <c r="D112" s="948"/>
      <c r="E112" s="948"/>
      <c r="F112" s="948"/>
      <c r="G112" s="948"/>
      <c r="H112" s="948"/>
      <c r="I112" s="948"/>
      <c r="J112" s="948"/>
      <c r="K112" s="948"/>
      <c r="L112" s="948"/>
      <c r="M112" s="948"/>
      <c r="N112" s="948"/>
      <c r="O112" s="948"/>
      <c r="P112" s="948"/>
      <c r="Q112" s="948"/>
      <c r="R112" s="948"/>
      <c r="S112" s="948"/>
      <c r="T112" s="948"/>
      <c r="U112" s="948"/>
      <c r="V112" s="948"/>
      <c r="W112" s="948"/>
      <c r="X112" s="948"/>
      <c r="Y112" s="948"/>
      <c r="Z112" s="948"/>
      <c r="AA112" s="948"/>
      <c r="AB112" s="948"/>
      <c r="AC112" s="948"/>
      <c r="AD112" s="948"/>
      <c r="AE112" s="948"/>
      <c r="AF112" s="948"/>
      <c r="AG112" s="948"/>
      <c r="AH112" s="948"/>
      <c r="AI112" s="948"/>
      <c r="AJ112" s="948"/>
      <c r="AK112" s="948"/>
      <c r="AL112" s="948"/>
      <c r="AM112" s="948"/>
      <c r="AN112" s="948"/>
      <c r="AO112" s="948"/>
      <c r="AP112" s="948"/>
      <c r="AQ112" s="949"/>
    </row>
    <row r="113" spans="3:43" s="63" customFormat="1" ht="15.95" customHeight="1" x14ac:dyDescent="0.25">
      <c r="C113" s="950"/>
      <c r="D113" s="951"/>
      <c r="E113" s="951"/>
      <c r="F113" s="951"/>
      <c r="G113" s="951"/>
      <c r="H113" s="951"/>
      <c r="I113" s="951"/>
      <c r="J113" s="951"/>
      <c r="K113" s="951"/>
      <c r="L113" s="951"/>
      <c r="M113" s="951"/>
      <c r="N113" s="951"/>
      <c r="O113" s="951"/>
      <c r="P113" s="951"/>
      <c r="Q113" s="951"/>
      <c r="R113" s="951"/>
      <c r="S113" s="951"/>
      <c r="T113" s="951"/>
      <c r="U113" s="951"/>
      <c r="V113" s="951"/>
      <c r="W113" s="951"/>
      <c r="X113" s="951"/>
      <c r="Y113" s="951"/>
      <c r="Z113" s="951"/>
      <c r="AA113" s="951"/>
      <c r="AB113" s="951"/>
      <c r="AC113" s="951"/>
      <c r="AD113" s="951"/>
      <c r="AE113" s="951"/>
      <c r="AF113" s="951"/>
      <c r="AG113" s="951"/>
      <c r="AH113" s="951"/>
      <c r="AI113" s="951"/>
      <c r="AJ113" s="951"/>
      <c r="AK113" s="951"/>
      <c r="AL113" s="951"/>
      <c r="AM113" s="951"/>
      <c r="AN113" s="951"/>
      <c r="AO113" s="951"/>
      <c r="AP113" s="951"/>
      <c r="AQ113" s="952"/>
    </row>
    <row r="114" spans="3:43" s="63" customFormat="1" ht="15.95" customHeight="1" x14ac:dyDescent="0.25"/>
    <row r="115" spans="3:43" s="63" customFormat="1" ht="15.95" hidden="1" customHeight="1" x14ac:dyDescent="0.25"/>
    <row r="116" spans="3:43" s="63" customFormat="1" ht="15.95" hidden="1" customHeight="1" x14ac:dyDescent="0.25"/>
    <row r="117" spans="3:43" s="63" customFormat="1" ht="15.95" hidden="1" customHeight="1" x14ac:dyDescent="0.25"/>
    <row r="118" spans="3:43" s="63" customFormat="1" ht="15.95" hidden="1" customHeight="1" x14ac:dyDescent="0.25"/>
    <row r="119" spans="3:43" s="63" customFormat="1" ht="15.95" hidden="1" customHeight="1" x14ac:dyDescent="0.25"/>
    <row r="120" spans="3:43" s="63" customFormat="1" ht="15.95" hidden="1" customHeight="1" x14ac:dyDescent="0.25"/>
    <row r="121" spans="3:43" s="63" customFormat="1" ht="15.95" hidden="1" customHeight="1" x14ac:dyDescent="0.25"/>
    <row r="122" spans="3:43" s="63" customFormat="1" ht="15.95" hidden="1" customHeight="1" x14ac:dyDescent="0.25">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row>
    <row r="123" spans="3:43" s="63" customFormat="1" ht="15.95" hidden="1" customHeight="1" x14ac:dyDescent="0.25">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row>
    <row r="124" spans="3:43" s="63" customFormat="1" ht="15.95" hidden="1" customHeight="1" x14ac:dyDescent="0.25">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row>
    <row r="125" spans="3:43" s="63" customFormat="1" ht="15.95" hidden="1" customHeight="1" x14ac:dyDescent="0.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row>
    <row r="126" spans="3:43" s="63" customFormat="1" ht="15.95" hidden="1" customHeight="1" x14ac:dyDescent="0.25">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row>
    <row r="127" spans="3:43" s="63" customFormat="1" ht="15.95" hidden="1" customHeight="1" x14ac:dyDescent="0.25">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row>
    <row r="128" spans="3:43" s="63" customFormat="1" ht="15.95" hidden="1" customHeight="1" x14ac:dyDescent="0.25">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row>
    <row r="129" spans="3:43" s="63" customFormat="1" ht="15.95" hidden="1" customHeight="1" x14ac:dyDescent="0.25">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row>
    <row r="130" spans="3:43" s="63" customFormat="1" ht="15.95" hidden="1" customHeight="1" x14ac:dyDescent="0.25">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row>
    <row r="131" spans="3:43" s="63" customFormat="1" ht="15.95" hidden="1" customHeight="1" x14ac:dyDescent="0.25">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row>
    <row r="132" spans="3:43" s="63" customFormat="1" ht="15.95" hidden="1" customHeight="1" x14ac:dyDescent="0.25">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row>
    <row r="133" spans="3:43" s="63" customFormat="1" ht="15.95" hidden="1" customHeight="1" x14ac:dyDescent="0.25">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row>
    <row r="134" spans="3:43" s="63" customFormat="1" ht="15.95" hidden="1" customHeight="1" x14ac:dyDescent="0.25">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row>
    <row r="135" spans="3:43" s="63" customFormat="1" ht="15.95" hidden="1" customHeight="1" x14ac:dyDescent="0.2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row>
    <row r="136" spans="3:43" s="63" customFormat="1" ht="15.95" hidden="1" customHeight="1" x14ac:dyDescent="0.25">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row>
    <row r="137" spans="3:43" s="63" customFormat="1" ht="15.95" hidden="1" customHeight="1" x14ac:dyDescent="0.25">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row>
    <row r="138" spans="3:43" s="63" customFormat="1" ht="15.95" hidden="1" customHeight="1" x14ac:dyDescent="0.25">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row>
    <row r="139" spans="3:43" s="63" customFormat="1" ht="15.95" hidden="1" customHeight="1" x14ac:dyDescent="0.25">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row>
    <row r="140" spans="3:43" s="63" customFormat="1" ht="15.95" hidden="1" customHeight="1" x14ac:dyDescent="0.25">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row>
    <row r="141" spans="3:43" s="63" customFormat="1" ht="15.95" hidden="1" customHeight="1" x14ac:dyDescent="0.25">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row>
    <row r="142" spans="3:43" s="63" customFormat="1" ht="15.95" hidden="1" customHeight="1" x14ac:dyDescent="0.25">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row>
    <row r="143" spans="3:43" s="63" customFormat="1" ht="15.95" hidden="1" customHeight="1" x14ac:dyDescent="0.25">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row>
    <row r="144" spans="3:43" s="63" customFormat="1" ht="15.95" hidden="1" customHeight="1" x14ac:dyDescent="0.25">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row>
    <row r="145" spans="3:43" s="63" customFormat="1" ht="15.95" hidden="1" customHeight="1" x14ac:dyDescent="0.2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row>
    <row r="146" spans="3:43" s="63" customFormat="1" ht="15.95" hidden="1" customHeight="1" x14ac:dyDescent="0.25">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row>
    <row r="147" spans="3:43" s="63" customFormat="1" ht="15.95" hidden="1" customHeight="1" x14ac:dyDescent="0.25">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row>
    <row r="148" spans="3:43" s="63" customFormat="1" ht="15.95" hidden="1" customHeight="1" x14ac:dyDescent="0.25">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row>
    <row r="149" spans="3:43" s="63" customFormat="1" ht="15.95" hidden="1" customHeight="1" x14ac:dyDescent="0.25">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row>
    <row r="150" spans="3:43" s="63" customFormat="1" ht="15.95" hidden="1" customHeight="1" x14ac:dyDescent="0.25">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row>
    <row r="151" spans="3:43" s="63" customFormat="1" ht="15.95" hidden="1" customHeight="1" x14ac:dyDescent="0.25">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row>
    <row r="152" spans="3:43" s="63" customFormat="1" ht="15.95" hidden="1" customHeight="1" x14ac:dyDescent="0.25">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row>
    <row r="153" spans="3:43" s="63" customFormat="1" ht="15.95" hidden="1" customHeight="1" x14ac:dyDescent="0.25">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row>
    <row r="154" spans="3:43" s="63" customFormat="1" ht="15.95" hidden="1" customHeight="1" x14ac:dyDescent="0.25">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row>
    <row r="155" spans="3:43" s="63" customFormat="1" ht="15.95" hidden="1" customHeight="1" x14ac:dyDescent="0.2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row>
    <row r="156" spans="3:43" s="63" customFormat="1" ht="15.95" hidden="1" customHeight="1" x14ac:dyDescent="0.25">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row>
    <row r="157" spans="3:43" s="63" customFormat="1" ht="15.95" hidden="1" customHeight="1" x14ac:dyDescent="0.25">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row>
    <row r="158" spans="3:43" s="63" customFormat="1" ht="15.95" hidden="1" customHeight="1" x14ac:dyDescent="0.25">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row>
    <row r="159" spans="3:43" s="63" customFormat="1" ht="15.95" hidden="1" customHeight="1" x14ac:dyDescent="0.25">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row>
    <row r="160" spans="3:43" s="63" customFormat="1" ht="15.95" hidden="1" customHeight="1" x14ac:dyDescent="0.25">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row>
    <row r="161" spans="3:43" s="63" customFormat="1" ht="15.95" hidden="1" customHeight="1" x14ac:dyDescent="0.25">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row>
    <row r="162" spans="3:43" s="63" customFormat="1" ht="15.95" hidden="1" customHeight="1" x14ac:dyDescent="0.25">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row>
    <row r="163" spans="3:43" s="63" customFormat="1" ht="15.95" hidden="1" customHeight="1" x14ac:dyDescent="0.25">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row>
    <row r="164" spans="3:43" s="63" customFormat="1" ht="15.95" hidden="1" customHeight="1" x14ac:dyDescent="0.25">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row>
    <row r="165" spans="3:43" s="63" customFormat="1" ht="15.95" hidden="1" customHeight="1" x14ac:dyDescent="0.2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row>
    <row r="166" spans="3:43" s="63" customFormat="1" ht="15.95" hidden="1" customHeight="1" x14ac:dyDescent="0.25">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row>
    <row r="167" spans="3:43" s="63" customFormat="1" ht="15.95" hidden="1" customHeight="1" x14ac:dyDescent="0.25">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row>
    <row r="168" spans="3:43" s="63" customFormat="1" ht="15.95" hidden="1" customHeight="1" x14ac:dyDescent="0.25">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row>
    <row r="169" spans="3:43" s="63" customFormat="1" ht="15.95" hidden="1" customHeight="1" x14ac:dyDescent="0.25">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row>
    <row r="170" spans="3:43" s="63" customFormat="1" ht="15.95" hidden="1" customHeight="1" x14ac:dyDescent="0.25">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row>
    <row r="171" spans="3:43" s="63" customFormat="1" ht="15.95" hidden="1" customHeight="1" x14ac:dyDescent="0.25"/>
    <row r="172" spans="3:43" s="63" customFormat="1" ht="15.95" hidden="1" customHeight="1" x14ac:dyDescent="0.25"/>
    <row r="173" spans="3:43" s="63" customFormat="1" ht="15.95" hidden="1" customHeight="1" x14ac:dyDescent="0.25"/>
    <row r="174" spans="3:43" s="63" customFormat="1" ht="15.95" hidden="1" customHeight="1" x14ac:dyDescent="0.25"/>
    <row r="175" spans="3:43" s="63" customFormat="1" ht="15.95" hidden="1" customHeight="1" x14ac:dyDescent="0.25"/>
    <row r="176" spans="3:43" s="63" customFormat="1" ht="15.95" hidden="1" customHeight="1" x14ac:dyDescent="0.25"/>
    <row r="177" s="63" customFormat="1" ht="15.95" hidden="1" customHeight="1" x14ac:dyDescent="0.25"/>
    <row r="178" s="63" customFormat="1" ht="15.95" hidden="1" customHeight="1" x14ac:dyDescent="0.25"/>
    <row r="179" s="63" customFormat="1" ht="15.95" hidden="1" customHeight="1" x14ac:dyDescent="0.25"/>
    <row r="180" s="63" customFormat="1" ht="15.95" hidden="1" customHeight="1" x14ac:dyDescent="0.25"/>
    <row r="181" s="63" customFormat="1" ht="15.95" hidden="1" customHeight="1" x14ac:dyDescent="0.25"/>
    <row r="182" s="63" customFormat="1" ht="15.95" hidden="1" customHeight="1" x14ac:dyDescent="0.25"/>
    <row r="183" s="63" customFormat="1" ht="15.95" hidden="1" customHeight="1" x14ac:dyDescent="0.25"/>
    <row r="184" s="63" customFormat="1" ht="15.95" hidden="1" customHeight="1" x14ac:dyDescent="0.25"/>
    <row r="185" s="63" customFormat="1" ht="15.95" hidden="1" customHeight="1" x14ac:dyDescent="0.25"/>
    <row r="186" s="63" customFormat="1" ht="15.95" hidden="1" customHeight="1" x14ac:dyDescent="0.25"/>
    <row r="187" s="63" customFormat="1" ht="15.95" hidden="1" customHeight="1" x14ac:dyDescent="0.25"/>
    <row r="188" s="63" customFormat="1" ht="15.95" hidden="1" customHeight="1" x14ac:dyDescent="0.25"/>
    <row r="189" s="63" customFormat="1" ht="15.95" hidden="1" customHeight="1" x14ac:dyDescent="0.25"/>
    <row r="190" s="63" customFormat="1" ht="15.95" hidden="1" customHeight="1" x14ac:dyDescent="0.25"/>
    <row r="191" s="63" customFormat="1" ht="15.95" hidden="1" customHeight="1" x14ac:dyDescent="0.25"/>
    <row r="192" s="63" customFormat="1" ht="15.95" hidden="1" customHeight="1" x14ac:dyDescent="0.25"/>
    <row r="193" spans="2:44" s="63" customFormat="1" ht="15.95" hidden="1" customHeight="1" x14ac:dyDescent="0.25"/>
    <row r="194" spans="2:44" s="63" customFormat="1" ht="15.95" hidden="1" customHeight="1" x14ac:dyDescent="0.25"/>
    <row r="195" spans="2:44" s="63" customFormat="1" ht="15.95" hidden="1" customHeight="1" x14ac:dyDescent="0.25"/>
    <row r="196" spans="2:44" s="63" customFormat="1" ht="15.95" hidden="1" customHeight="1" x14ac:dyDescent="0.25"/>
    <row r="197" spans="2:44" s="63" customFormat="1" ht="15.95" hidden="1" customHeight="1" x14ac:dyDescent="0.25"/>
    <row r="198" spans="2:44" s="63" customFormat="1" ht="15.95" hidden="1" customHeight="1" x14ac:dyDescent="0.25"/>
    <row r="199" spans="2:44" ht="15.95" hidden="1" customHeight="1" x14ac:dyDescent="0.25"/>
    <row r="200" spans="2:44" ht="15.95" customHeight="1" x14ac:dyDescent="0.25">
      <c r="B200" s="136" t="str">
        <f>FOOT1</f>
        <v>Ameren Missouri BizSavers program</v>
      </c>
      <c r="C200" s="136"/>
      <c r="D200" s="136"/>
      <c r="E200" s="136"/>
      <c r="F200" s="136"/>
      <c r="G200" s="136"/>
      <c r="H200" s="136"/>
      <c r="I200" s="136"/>
      <c r="J200" s="136"/>
      <c r="K200" s="136"/>
      <c r="L200" s="136"/>
      <c r="M200" s="729" t="str">
        <f>FOOTDISCLAIM</f>
        <v/>
      </c>
      <c r="N200" s="729"/>
      <c r="O200" s="729"/>
      <c r="P200" s="729"/>
      <c r="Q200" s="729"/>
      <c r="R200" s="729"/>
      <c r="S200" s="729"/>
      <c r="T200" s="729"/>
      <c r="U200" s="729"/>
      <c r="V200" s="729"/>
      <c r="W200" s="729"/>
      <c r="X200" s="729"/>
      <c r="Y200" s="729"/>
      <c r="Z200" s="729"/>
      <c r="AA200" s="729"/>
      <c r="AB200" s="729"/>
      <c r="AC200" s="729"/>
      <c r="AD200" s="729"/>
      <c r="AE200" s="729"/>
      <c r="AF200" s="729"/>
      <c r="AG200" s="729"/>
      <c r="AH200" s="136"/>
      <c r="AI200" s="136"/>
      <c r="AJ200" s="136"/>
      <c r="AK200" s="136"/>
      <c r="AL200" s="136"/>
      <c r="AM200" s="136"/>
      <c r="AN200" s="136"/>
      <c r="AO200" s="136"/>
      <c r="AP200" s="136"/>
      <c r="AQ200" s="136"/>
      <c r="AR200" s="300"/>
    </row>
    <row r="201" spans="2:44" ht="15.95" customHeight="1" x14ac:dyDescent="0.25">
      <c r="B201" s="136" t="str">
        <f>FOOT2</f>
        <v>Toll-Free 866-941-7299</v>
      </c>
      <c r="C201" s="136"/>
      <c r="D201" s="136"/>
      <c r="E201" s="136"/>
      <c r="F201" s="136"/>
      <c r="G201" s="136"/>
      <c r="H201" s="136"/>
      <c r="I201" s="136"/>
      <c r="J201" s="136"/>
      <c r="K201" s="136"/>
      <c r="L201" s="136"/>
      <c r="M201" s="729"/>
      <c r="N201" s="729"/>
      <c r="O201" s="729"/>
      <c r="P201" s="729"/>
      <c r="Q201" s="729"/>
      <c r="R201" s="729"/>
      <c r="S201" s="729"/>
      <c r="T201" s="729"/>
      <c r="U201" s="729"/>
      <c r="V201" s="729"/>
      <c r="W201" s="729"/>
      <c r="X201" s="729"/>
      <c r="Y201" s="729"/>
      <c r="Z201" s="729"/>
      <c r="AA201" s="729"/>
      <c r="AB201" s="729"/>
      <c r="AC201" s="729"/>
      <c r="AD201" s="729"/>
      <c r="AE201" s="729"/>
      <c r="AF201" s="729"/>
      <c r="AG201" s="729"/>
      <c r="AH201" s="136"/>
      <c r="AI201" s="136"/>
      <c r="AJ201" s="136"/>
      <c r="AK201" s="136"/>
      <c r="AL201" s="136"/>
      <c r="AM201" s="136"/>
      <c r="AN201" s="136"/>
      <c r="AO201" s="136"/>
      <c r="AP201" s="136"/>
      <c r="AQ201" s="136"/>
      <c r="AR201" s="300"/>
    </row>
    <row r="202" spans="2:44" ht="15.95" customHeight="1" x14ac:dyDescent="0.25">
      <c r="B202" s="138" t="str">
        <f>FOOT3</f>
        <v>BizSavers@ameren.com</v>
      </c>
      <c r="C202" s="136"/>
      <c r="D202" s="136"/>
      <c r="E202" s="136"/>
      <c r="F202" s="136"/>
      <c r="G202" s="136"/>
      <c r="H202" s="136"/>
      <c r="I202" s="136"/>
      <c r="J202" s="136"/>
      <c r="K202" s="136"/>
      <c r="L202" s="136"/>
      <c r="M202" s="139"/>
      <c r="N202" s="136"/>
      <c r="O202" s="136"/>
      <c r="P202" s="139"/>
      <c r="Q202" s="139"/>
      <c r="R202" s="139"/>
      <c r="S202" s="139"/>
      <c r="T202" s="139"/>
      <c r="U202" s="139"/>
      <c r="V202" s="139"/>
      <c r="W202" s="140" t="str">
        <f>VERSION</f>
        <v>New Construction v3.8.0</v>
      </c>
      <c r="X202" s="139"/>
      <c r="Y202" s="139"/>
      <c r="Z202" s="139"/>
      <c r="AA202" s="139"/>
      <c r="AB202" s="139"/>
      <c r="AC202" s="139"/>
      <c r="AD202" s="139"/>
      <c r="AE202" s="136"/>
      <c r="AF202" s="136"/>
      <c r="AG202" s="136"/>
      <c r="AH202" s="136"/>
      <c r="AI202" s="136"/>
      <c r="AJ202" s="136"/>
      <c r="AK202" s="136"/>
      <c r="AL202" s="136"/>
      <c r="AM202" s="136"/>
      <c r="AN202" s="136"/>
      <c r="AO202" s="136"/>
      <c r="AP202" s="136"/>
      <c r="AQ202" s="136"/>
      <c r="AR202" s="300" t="str">
        <f>FOOT6</f>
        <v>Product of TRC Companies</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sheetData>
  <sheetProtection algorithmName="SHA-512" hashValue="r5TERmx1SXaT2ixATl5zsttG98E/EuQJ6mhc2Z4U8m9a6ba1iMjn6jYfjkOpl2r51Trc0EGo3TpjHXiDAzCtYw==" saltValue="VUigpbxOV+EGSjRUwVXRcQ==" spinCount="100000" sheet="1" objects="1" scenarios="1" selectLockedCells="1"/>
  <mergeCells count="83">
    <mergeCell ref="AH1:AK1"/>
    <mergeCell ref="AL1:AP1"/>
    <mergeCell ref="AQ1:AR1"/>
    <mergeCell ref="AH2:AK3"/>
    <mergeCell ref="AL2:AP3"/>
    <mergeCell ref="AQ2:AR3"/>
    <mergeCell ref="C88:AQ91"/>
    <mergeCell ref="C97:AQ99"/>
    <mergeCell ref="C103:AQ105"/>
    <mergeCell ref="F108:AN108"/>
    <mergeCell ref="C110:AQ113"/>
    <mergeCell ref="C74:AQ76"/>
    <mergeCell ref="C82:AQ84"/>
    <mergeCell ref="C56:H56"/>
    <mergeCell ref="J56:O56"/>
    <mergeCell ref="Q56:V56"/>
    <mergeCell ref="X56:AC56"/>
    <mergeCell ref="AE56:AJ56"/>
    <mergeCell ref="AL56:AQ56"/>
    <mergeCell ref="C61:H61"/>
    <mergeCell ref="J61:O61"/>
    <mergeCell ref="Q61:V61"/>
    <mergeCell ref="X61:AC61"/>
    <mergeCell ref="AE61:AJ61"/>
    <mergeCell ref="AL61:AQ61"/>
    <mergeCell ref="C62:H62"/>
    <mergeCell ref="J62:O62"/>
    <mergeCell ref="C51:AQ53"/>
    <mergeCell ref="AL62:AQ62"/>
    <mergeCell ref="C68:AQ70"/>
    <mergeCell ref="Q62:V62"/>
    <mergeCell ref="X62:AC62"/>
    <mergeCell ref="AE62:AJ62"/>
    <mergeCell ref="Q58:V58"/>
    <mergeCell ref="Q59:V59"/>
    <mergeCell ref="Q64:V64"/>
    <mergeCell ref="Q65:V65"/>
    <mergeCell ref="AL58:AQ58"/>
    <mergeCell ref="AL59:AQ59"/>
    <mergeCell ref="AL64:AQ64"/>
    <mergeCell ref="AL65:AQ65"/>
    <mergeCell ref="AL17:AQ17"/>
    <mergeCell ref="C20:H20"/>
    <mergeCell ref="J20:O20"/>
    <mergeCell ref="Q20:V20"/>
    <mergeCell ref="X20:AC20"/>
    <mergeCell ref="AE20:AJ20"/>
    <mergeCell ref="AL20:AQ20"/>
    <mergeCell ref="C19:H19"/>
    <mergeCell ref="J19:O19"/>
    <mergeCell ref="C17:H17"/>
    <mergeCell ref="J17:O17"/>
    <mergeCell ref="Q17:V17"/>
    <mergeCell ref="X17:AC17"/>
    <mergeCell ref="AE17:AJ17"/>
    <mergeCell ref="Q19:V19"/>
    <mergeCell ref="X19:AC19"/>
    <mergeCell ref="F10:AN10"/>
    <mergeCell ref="C16:H16"/>
    <mergeCell ref="J16:O16"/>
    <mergeCell ref="Q16:V16"/>
    <mergeCell ref="X16:AC16"/>
    <mergeCell ref="AE16:AJ16"/>
    <mergeCell ref="AL16:AQ16"/>
    <mergeCell ref="F11:AN12"/>
    <mergeCell ref="C13:H13"/>
    <mergeCell ref="C14:H14"/>
    <mergeCell ref="AE19:AJ19"/>
    <mergeCell ref="C23:AQ27"/>
    <mergeCell ref="M200:AG201"/>
    <mergeCell ref="C30:H30"/>
    <mergeCell ref="AL19:AQ19"/>
    <mergeCell ref="AL55:AQ55"/>
    <mergeCell ref="C42:H42"/>
    <mergeCell ref="C55:H55"/>
    <mergeCell ref="J55:O55"/>
    <mergeCell ref="Q55:V55"/>
    <mergeCell ref="X55:AC55"/>
    <mergeCell ref="AE55:AJ55"/>
    <mergeCell ref="J29:AQ31"/>
    <mergeCell ref="F34:AN34"/>
    <mergeCell ref="C37:AQ39"/>
    <mergeCell ref="C45:AQ47"/>
  </mergeCells>
  <conditionalFormatting sqref="AQ2:AR3">
    <cfRule type="cellIs" dxfId="255" priority="3" operator="equal">
      <formula>1</formula>
    </cfRule>
    <cfRule type="cellIs" dxfId="254" priority="4" operator="between">
      <formula>0.51</formula>
      <formula>0.99</formula>
    </cfRule>
    <cfRule type="cellIs" dxfId="253" priority="5" operator="lessThanOrEqual">
      <formula>0.5</formula>
    </cfRule>
  </conditionalFormatting>
  <conditionalFormatting sqref="AH2 AL2">
    <cfRule type="expression" dxfId="252" priority="1">
      <formula>OR(PROJSTATUS=PROJSTATELI,PROJSTATUS=PROJSTATEXP,PROJSTATUS=PROJSTATUNDER)</formula>
    </cfRule>
    <cfRule type="expression" dxfId="251" priority="2">
      <formula>PROJSTATUS=PROJSTATFILLINITIAL</formula>
    </cfRule>
    <cfRule type="expression" dxfId="250" priority="6">
      <formula>PROJSTATUS=PROJSTATPREAPPROVE</formula>
    </cfRule>
    <cfRule type="expression" dxfId="249" priority="7">
      <formula>OR(PROJSTATUS=PROJSTATSSUBMITINITIAL,PROJSTATUS=PROJSTATREVIEW)</formula>
    </cfRule>
  </conditionalFormatting>
  <dataValidations count="4">
    <dataValidation type="list" allowBlank="1" showInputMessage="1" showErrorMessage="1" sqref="C42:H42" xr:uid="{00000000-0002-0000-1300-000000000000}">
      <formula1>"Yes,No"</formula1>
    </dataValidation>
    <dataValidation type="list" allowBlank="1" showInputMessage="1" showErrorMessage="1" sqref="C56:H56 X56:AC56 C62:H62 X62:AC62" xr:uid="{00000000-0002-0000-1300-000001000000}">
      <formula1>NCASHRAETYPE</formula1>
    </dataValidation>
    <dataValidation type="list" allowBlank="1" showInputMessage="1" showErrorMessage="1" sqref="C30:H31" xr:uid="{00000000-0002-0000-1300-000002000000}">
      <formula1>NCBASE</formula1>
    </dataValidation>
    <dataValidation type="date" operator="greaterThan" allowBlank="1" showInputMessage="1" showErrorMessage="1" error="Please enter date in the format MM/DD/YYYY" sqref="J17:O17" xr:uid="{00000000-0002-0000-1300-000003000000}">
      <formula1>42005</formula1>
    </dataValidation>
  </dataValidations>
  <hyperlinks>
    <hyperlink ref="B202" r:id="rId1" display="NIPSCO.Savings@LMCO.com" xr:uid="{00000000-0004-0000-1300-000000000000}"/>
  </hyperlinks>
  <pageMargins left="0.25" right="0.25" top="0.25" bottom="0.25" header="0.25" footer="0.25"/>
  <pageSetup scale="65"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47461" r:id="rId5" name="Check Box 5">
              <controlPr defaultSize="0" autoFill="0" autoLine="0" autoPict="0">
                <anchor moveWithCells="1">
                  <from>
                    <xdr:col>2</xdr:col>
                    <xdr:colOff>0</xdr:colOff>
                    <xdr:row>93</xdr:row>
                    <xdr:rowOff>9525</xdr:rowOff>
                  </from>
                  <to>
                    <xdr:col>5</xdr:col>
                    <xdr:colOff>0</xdr:colOff>
                    <xdr:row>95</xdr:row>
                    <xdr:rowOff>0</xdr:rowOff>
                  </to>
                </anchor>
              </controlPr>
            </control>
          </mc:Choice>
        </mc:AlternateContent>
        <mc:AlternateContent xmlns:mc="http://schemas.openxmlformats.org/markup-compatibility/2006">
          <mc:Choice Requires="x14">
            <control shapeId="147462" r:id="rId6" name="Check Box 6">
              <controlPr defaultSize="0" autoFill="0" autoLine="0" autoPict="0">
                <anchor moveWithCells="1">
                  <from>
                    <xdr:col>34</xdr:col>
                    <xdr:colOff>0</xdr:colOff>
                    <xdr:row>93</xdr:row>
                    <xdr:rowOff>9525</xdr:rowOff>
                  </from>
                  <to>
                    <xdr:col>38</xdr:col>
                    <xdr:colOff>0</xdr:colOff>
                    <xdr:row>95</xdr:row>
                    <xdr:rowOff>0</xdr:rowOff>
                  </to>
                </anchor>
              </controlPr>
            </control>
          </mc:Choice>
        </mc:AlternateContent>
        <mc:AlternateContent xmlns:mc="http://schemas.openxmlformats.org/markup-compatibility/2006">
          <mc:Choice Requires="x14">
            <control shapeId="147463" r:id="rId7" name="Check Box 7">
              <controlPr defaultSize="0" autoFill="0" autoLine="0" autoPict="0">
                <anchor moveWithCells="1">
                  <from>
                    <xdr:col>40</xdr:col>
                    <xdr:colOff>0</xdr:colOff>
                    <xdr:row>93</xdr:row>
                    <xdr:rowOff>9525</xdr:rowOff>
                  </from>
                  <to>
                    <xdr:col>43</xdr:col>
                    <xdr:colOff>0</xdr:colOff>
                    <xdr:row>95</xdr:row>
                    <xdr:rowOff>0</xdr:rowOff>
                  </to>
                </anchor>
              </controlPr>
            </control>
          </mc:Choice>
        </mc:AlternateContent>
        <mc:AlternateContent xmlns:mc="http://schemas.openxmlformats.org/markup-compatibility/2006">
          <mc:Choice Requires="x14">
            <control shapeId="147464" r:id="rId8" name="Check Box 8">
              <controlPr defaultSize="0" autoFill="0" autoLine="0" autoPict="0">
                <anchor moveWithCells="1">
                  <from>
                    <xdr:col>27</xdr:col>
                    <xdr:colOff>0</xdr:colOff>
                    <xdr:row>93</xdr:row>
                    <xdr:rowOff>9525</xdr:rowOff>
                  </from>
                  <to>
                    <xdr:col>31</xdr:col>
                    <xdr:colOff>0</xdr:colOff>
                    <xdr:row>95</xdr:row>
                    <xdr:rowOff>0</xdr:rowOff>
                  </to>
                </anchor>
              </controlPr>
            </control>
          </mc:Choice>
        </mc:AlternateContent>
        <mc:AlternateContent xmlns:mc="http://schemas.openxmlformats.org/markup-compatibility/2006">
          <mc:Choice Requires="x14">
            <control shapeId="147465" r:id="rId9" name="Check Box 9">
              <controlPr defaultSize="0" autoFill="0" autoLine="0" autoPict="0">
                <anchor moveWithCells="1">
                  <from>
                    <xdr:col>20</xdr:col>
                    <xdr:colOff>238125</xdr:colOff>
                    <xdr:row>93</xdr:row>
                    <xdr:rowOff>9525</xdr:rowOff>
                  </from>
                  <to>
                    <xdr:col>24</xdr:col>
                    <xdr:colOff>238125</xdr:colOff>
                    <xdr:row>95</xdr:row>
                    <xdr:rowOff>0</xdr:rowOff>
                  </to>
                </anchor>
              </controlPr>
            </control>
          </mc:Choice>
        </mc:AlternateContent>
        <mc:AlternateContent xmlns:mc="http://schemas.openxmlformats.org/markup-compatibility/2006">
          <mc:Choice Requires="x14">
            <control shapeId="147466" r:id="rId10" name="Check Box 10">
              <controlPr defaultSize="0" autoFill="0" autoLine="0" autoPict="0">
                <anchor moveWithCells="1">
                  <from>
                    <xdr:col>13</xdr:col>
                    <xdr:colOff>257175</xdr:colOff>
                    <xdr:row>93</xdr:row>
                    <xdr:rowOff>9525</xdr:rowOff>
                  </from>
                  <to>
                    <xdr:col>19</xdr:col>
                    <xdr:colOff>238125</xdr:colOff>
                    <xdr:row>95</xdr:row>
                    <xdr:rowOff>0</xdr:rowOff>
                  </to>
                </anchor>
              </controlPr>
            </control>
          </mc:Choice>
        </mc:AlternateContent>
        <mc:AlternateContent xmlns:mc="http://schemas.openxmlformats.org/markup-compatibility/2006">
          <mc:Choice Requires="x14">
            <control shapeId="147467" r:id="rId11" name="Check Box 11">
              <controlPr defaultSize="0" autoFill="0" autoLine="0" autoPict="0">
                <anchor moveWithCells="1">
                  <from>
                    <xdr:col>7</xdr:col>
                    <xdr:colOff>257175</xdr:colOff>
                    <xdr:row>93</xdr:row>
                    <xdr:rowOff>9525</xdr:rowOff>
                  </from>
                  <to>
                    <xdr:col>11</xdr:col>
                    <xdr:colOff>257175</xdr:colOff>
                    <xdr:row>95</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pageSetUpPr fitToPage="1"/>
  </sheetPr>
  <dimension ref="A1:BZ207"/>
  <sheetViews>
    <sheetView showGridLines="0" showRowColHeaders="0" topLeftCell="A13" zoomScale="85" zoomScaleNormal="85" workbookViewId="0">
      <selection activeCell="C43" sqref="C43:AQ50"/>
    </sheetView>
  </sheetViews>
  <sheetFormatPr defaultColWidth="0" defaultRowHeight="15" customHeight="1" zeroHeight="1" x14ac:dyDescent="0.25"/>
  <cols>
    <col min="1" max="44" width="4.7109375" customWidth="1"/>
    <col min="45" max="45" width="4.7109375" style="145" customWidth="1"/>
    <col min="46" max="46" width="4.7109375" style="145" hidden="1" customWidth="1"/>
    <col min="47" max="78" width="9.140625" style="145" hidden="1" customWidth="1"/>
    <col min="79" max="16384" width="9.140625" hidden="1"/>
  </cols>
  <sheetData>
    <row r="1" spans="2:78" ht="15.95" customHeight="1" x14ac:dyDescent="0.3">
      <c r="AH1" s="711" t="s">
        <v>494</v>
      </c>
      <c r="AI1" s="712"/>
      <c r="AJ1" s="712"/>
      <c r="AK1" s="712"/>
      <c r="AL1" s="723" t="s">
        <v>911</v>
      </c>
      <c r="AM1" s="723"/>
      <c r="AN1" s="723"/>
      <c r="AO1" s="723"/>
      <c r="AP1" s="723"/>
      <c r="AQ1" s="717" t="s">
        <v>499</v>
      </c>
      <c r="AR1" s="718"/>
    </row>
    <row r="2" spans="2:78" ht="15.95" customHeight="1" x14ac:dyDescent="0.25">
      <c r="AH2" s="713" t="str">
        <f ca="1">INCENSTATUS</f>
        <v>---</v>
      </c>
      <c r="AI2" s="714"/>
      <c r="AJ2" s="714"/>
      <c r="AK2" s="714"/>
      <c r="AL2" s="724" t="str">
        <f ca="1">PROJSTATUS</f>
        <v>Please Complete Initial Application</v>
      </c>
      <c r="AM2" s="724"/>
      <c r="AN2" s="724"/>
      <c r="AO2" s="724"/>
      <c r="AP2" s="724"/>
      <c r="AQ2" s="719">
        <f ca="1">PROGRESSSTATUS</f>
        <v>0</v>
      </c>
      <c r="AR2" s="720"/>
    </row>
    <row r="3" spans="2:78" ht="15.95" customHeight="1" x14ac:dyDescent="0.25">
      <c r="AH3" s="715"/>
      <c r="AI3" s="716"/>
      <c r="AJ3" s="716"/>
      <c r="AK3" s="716"/>
      <c r="AL3" s="725"/>
      <c r="AM3" s="725"/>
      <c r="AN3" s="725"/>
      <c r="AO3" s="725"/>
      <c r="AP3" s="725"/>
      <c r="AQ3" s="721"/>
      <c r="AR3" s="722"/>
    </row>
    <row r="4" spans="2:78" ht="15.95" customHeight="1" x14ac:dyDescent="0.25"/>
    <row r="5" spans="2:78" ht="15.95" customHeight="1" x14ac:dyDescent="0.25"/>
    <row r="6" spans="2:78" ht="15.95" customHeight="1" x14ac:dyDescent="0.25">
      <c r="AU6" s="145" t="s">
        <v>1372</v>
      </c>
      <c r="AV6" s="145">
        <f>PROJID</f>
        <v>0</v>
      </c>
    </row>
    <row r="7" spans="2:78" ht="15.95" customHeight="1" x14ac:dyDescent="0.25"/>
    <row r="8" spans="2:78" ht="15.95" customHeight="1" x14ac:dyDescent="0.25"/>
    <row r="9" spans="2:78" s="63" customFormat="1" ht="15.95" customHeight="1" x14ac:dyDescent="0.25">
      <c r="B9" s="135"/>
      <c r="C9" s="135"/>
      <c r="D9" s="135"/>
      <c r="E9" s="135"/>
      <c r="F9" s="135"/>
      <c r="G9" s="135"/>
      <c r="H9" s="135"/>
      <c r="I9" s="135"/>
      <c r="J9" s="135"/>
      <c r="K9" s="135"/>
      <c r="L9" s="135"/>
      <c r="M9" s="135"/>
      <c r="N9" s="135"/>
      <c r="O9" s="135"/>
      <c r="P9" s="135"/>
      <c r="Q9" s="135"/>
      <c r="R9" s="971" t="str">
        <f>CONCATENATE(M3S1," ","Summary")</f>
        <v>Whole Building Performance Summary</v>
      </c>
      <c r="S9" s="971"/>
      <c r="T9" s="971"/>
      <c r="U9" s="971"/>
      <c r="V9" s="971"/>
      <c r="W9" s="971"/>
      <c r="X9" s="971"/>
      <c r="Y9" s="971"/>
      <c r="Z9" s="971"/>
      <c r="AA9" s="971"/>
      <c r="AB9" s="971"/>
      <c r="AC9" s="971"/>
      <c r="AD9" s="135"/>
      <c r="AE9" s="135"/>
      <c r="AF9" s="135"/>
      <c r="AG9" s="135"/>
      <c r="AH9" s="135"/>
      <c r="AI9" s="135"/>
      <c r="AJ9" s="135"/>
      <c r="AK9" s="135"/>
      <c r="AL9" s="135"/>
      <c r="AM9" s="135"/>
      <c r="AN9" s="135"/>
      <c r="AO9" s="135"/>
      <c r="AP9" s="135"/>
      <c r="AQ9" s="135"/>
      <c r="AR9" s="13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row>
    <row r="10" spans="2:78" ht="15.95" customHeight="1" x14ac:dyDescent="0.25">
      <c r="B10" s="135"/>
      <c r="C10" s="135"/>
      <c r="D10" s="135"/>
      <c r="E10" s="135"/>
      <c r="F10" s="968"/>
      <c r="G10" s="968"/>
      <c r="H10" s="968"/>
      <c r="I10" s="968"/>
      <c r="J10" s="968"/>
      <c r="K10" s="968"/>
      <c r="L10" s="968"/>
      <c r="M10" s="968"/>
      <c r="N10" s="968"/>
      <c r="O10" s="968"/>
      <c r="P10" s="968"/>
      <c r="Q10" s="135"/>
      <c r="R10" s="971"/>
      <c r="S10" s="971"/>
      <c r="T10" s="971"/>
      <c r="U10" s="971"/>
      <c r="V10" s="971"/>
      <c r="W10" s="971"/>
      <c r="X10" s="971"/>
      <c r="Y10" s="971"/>
      <c r="Z10" s="971"/>
      <c r="AA10" s="971"/>
      <c r="AB10" s="971"/>
      <c r="AC10" s="971"/>
      <c r="AD10" s="135"/>
      <c r="AE10" s="135"/>
      <c r="AF10" s="135"/>
      <c r="AG10" s="135"/>
      <c r="AH10" s="135"/>
      <c r="AI10" s="135"/>
      <c r="AJ10" s="135"/>
      <c r="AK10" s="135"/>
      <c r="AL10" s="135"/>
      <c r="AM10" s="135"/>
      <c r="AN10" s="135"/>
      <c r="AO10" s="135"/>
      <c r="AP10" s="135"/>
      <c r="AQ10" s="135"/>
      <c r="AR10" s="135"/>
    </row>
    <row r="11" spans="2:78" ht="15.95" customHeight="1" x14ac:dyDescent="0.3">
      <c r="B11" s="135"/>
      <c r="C11" s="135"/>
      <c r="D11" s="135"/>
      <c r="E11" s="135"/>
      <c r="F11" s="968"/>
      <c r="G11" s="968"/>
      <c r="H11" s="968"/>
      <c r="I11" s="968"/>
      <c r="J11" s="968"/>
      <c r="K11" s="968"/>
      <c r="L11" s="968"/>
      <c r="M11" s="968"/>
      <c r="N11" s="968"/>
      <c r="O11" s="968"/>
      <c r="P11" s="968"/>
      <c r="Q11" s="135"/>
      <c r="R11" s="974" t="s">
        <v>69</v>
      </c>
      <c r="S11" s="974"/>
      <c r="T11" s="974"/>
      <c r="U11" s="974"/>
      <c r="V11" s="974" t="s">
        <v>70</v>
      </c>
      <c r="W11" s="974"/>
      <c r="X11" s="974"/>
      <c r="Y11" s="974"/>
      <c r="Z11" s="974" t="s">
        <v>71</v>
      </c>
      <c r="AA11" s="974"/>
      <c r="AB11" s="974"/>
      <c r="AC11" s="974"/>
      <c r="AD11" s="135"/>
      <c r="AE11" s="135"/>
      <c r="AF11" s="135"/>
      <c r="AG11" s="135"/>
      <c r="AH11" s="135"/>
      <c r="AI11" s="135"/>
      <c r="AJ11" s="135"/>
      <c r="AK11" s="135"/>
      <c r="AL11" s="135"/>
      <c r="AM11" s="135"/>
      <c r="AN11" s="135"/>
      <c r="AO11" s="135"/>
      <c r="AP11" s="135"/>
      <c r="AQ11" s="135"/>
      <c r="AR11" s="135"/>
    </row>
    <row r="12" spans="2:78" ht="15.95" customHeight="1" x14ac:dyDescent="0.25">
      <c r="B12" s="135"/>
      <c r="D12" s="135"/>
      <c r="E12" s="135"/>
      <c r="F12" s="968"/>
      <c r="G12" s="968"/>
      <c r="H12" s="968"/>
      <c r="I12" s="968"/>
      <c r="J12" s="968"/>
      <c r="K12" s="968"/>
      <c r="L12" s="968"/>
      <c r="M12" s="968"/>
      <c r="N12" s="968"/>
      <c r="O12" s="968"/>
      <c r="P12" s="968"/>
      <c r="Q12" s="135"/>
      <c r="R12" s="972">
        <f>IF(AE63="",0,AE63)</f>
        <v>0</v>
      </c>
      <c r="S12" s="972"/>
      <c r="T12" s="972"/>
      <c r="U12" s="972"/>
      <c r="V12" s="972">
        <f>Q55</f>
        <v>0</v>
      </c>
      <c r="W12" s="972"/>
      <c r="X12" s="972"/>
      <c r="Y12" s="972"/>
      <c r="Z12" s="973">
        <f>IF(Q63="",0,KWHTOTALWBP)</f>
        <v>0</v>
      </c>
      <c r="AA12" s="973"/>
      <c r="AB12" s="973"/>
      <c r="AC12" s="973"/>
      <c r="AD12" s="135"/>
      <c r="AE12" s="135"/>
      <c r="AF12" s="135"/>
      <c r="AG12" s="135"/>
      <c r="AH12" s="135"/>
      <c r="AI12" s="135"/>
      <c r="AJ12" s="135"/>
      <c r="AK12" s="135"/>
      <c r="AL12" s="135"/>
      <c r="AM12" s="135"/>
      <c r="AN12" s="135"/>
      <c r="AO12" s="135"/>
      <c r="AP12" s="135"/>
      <c r="AQ12" s="135"/>
      <c r="AR12" s="135"/>
    </row>
    <row r="13" spans="2:78" s="63" customFormat="1" ht="15.95" customHeight="1" x14ac:dyDescent="0.25">
      <c r="B13" s="135"/>
      <c r="D13" s="135"/>
      <c r="E13" s="135"/>
      <c r="F13" s="188"/>
      <c r="G13" s="188"/>
      <c r="H13" s="188"/>
      <c r="I13" s="188"/>
      <c r="J13" s="188"/>
      <c r="K13" s="188"/>
      <c r="L13" s="188"/>
      <c r="M13" s="188"/>
      <c r="N13" s="188"/>
      <c r="O13" s="188"/>
      <c r="P13" s="188"/>
      <c r="Q13" s="135"/>
      <c r="R13" s="972"/>
      <c r="S13" s="972"/>
      <c r="T13" s="972"/>
      <c r="U13" s="972"/>
      <c r="V13" s="972"/>
      <c r="W13" s="972"/>
      <c r="X13" s="972"/>
      <c r="Y13" s="972"/>
      <c r="Z13" s="973"/>
      <c r="AA13" s="973"/>
      <c r="AB13" s="973"/>
      <c r="AC13" s="973"/>
      <c r="AD13" s="135"/>
      <c r="AE13" s="135"/>
      <c r="AF13" s="135"/>
      <c r="AG13" s="135"/>
      <c r="AH13" s="135"/>
      <c r="AI13" s="135"/>
      <c r="AJ13" s="135"/>
      <c r="AK13" s="135"/>
      <c r="AL13" s="135"/>
      <c r="AM13" s="135"/>
      <c r="AN13" s="135"/>
      <c r="AO13" s="135"/>
      <c r="AP13" s="135"/>
      <c r="AQ13" s="135"/>
      <c r="AR13" s="13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row>
    <row r="14" spans="2:78" ht="15.95" customHeight="1" x14ac:dyDescent="0.25">
      <c r="C14" s="135"/>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135"/>
      <c r="AS14"/>
      <c r="AT14"/>
      <c r="AU14" s="989" t="s">
        <v>141</v>
      </c>
      <c r="AV14" s="989" t="s">
        <v>1873</v>
      </c>
      <c r="AW14" s="989" t="s">
        <v>637</v>
      </c>
      <c r="AX14"/>
      <c r="AY14"/>
      <c r="AZ14"/>
      <c r="BA14"/>
      <c r="BB14"/>
    </row>
    <row r="15" spans="2:78" ht="15.95" customHeight="1" thickBot="1" x14ac:dyDescent="0.3">
      <c r="C15" s="135"/>
      <c r="D15" s="970" t="s">
        <v>1561</v>
      </c>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c r="AL15" s="970"/>
      <c r="AM15" s="970"/>
      <c r="AN15" s="970"/>
      <c r="AO15" s="970"/>
      <c r="AP15" s="970"/>
      <c r="AQ15" s="135"/>
      <c r="AS15"/>
      <c r="AT15"/>
      <c r="AU15" s="990"/>
      <c r="AV15" s="990"/>
      <c r="AW15" s="990"/>
      <c r="AX15"/>
      <c r="AY15"/>
      <c r="AZ15"/>
      <c r="BA15"/>
      <c r="BB15"/>
    </row>
    <row r="16" spans="2:78" ht="15.95" customHeight="1" x14ac:dyDescent="0.25">
      <c r="C16" s="135"/>
      <c r="D16" s="970"/>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c r="AL16" s="970"/>
      <c r="AM16" s="970"/>
      <c r="AN16" s="970"/>
      <c r="AO16" s="970"/>
      <c r="AP16" s="970"/>
      <c r="AQ16" s="135"/>
      <c r="AS16"/>
      <c r="AT16"/>
      <c r="AU16" s="983">
        <v>4110100</v>
      </c>
      <c r="AV16" s="991">
        <v>0</v>
      </c>
      <c r="AW16" s="993"/>
      <c r="AX16"/>
      <c r="AY16"/>
      <c r="AZ16"/>
      <c r="BA16"/>
      <c r="BB16"/>
    </row>
    <row r="17" spans="3:54" ht="15.95" customHeight="1" x14ac:dyDescent="0.25">
      <c r="C17" s="135"/>
      <c r="D17" s="479" t="s">
        <v>1518</v>
      </c>
      <c r="E17" s="480" t="s">
        <v>1562</v>
      </c>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35"/>
      <c r="AS17"/>
      <c r="AT17"/>
      <c r="AU17" s="984"/>
      <c r="AV17" s="992"/>
      <c r="AW17" s="994"/>
      <c r="AX17"/>
      <c r="AY17"/>
      <c r="AZ17"/>
      <c r="BA17"/>
      <c r="BB17"/>
    </row>
    <row r="18" spans="3:54" ht="15.95" customHeight="1" x14ac:dyDescent="0.25">
      <c r="C18" s="135"/>
      <c r="D18" s="479" t="s">
        <v>1518</v>
      </c>
      <c r="E18" s="480" t="s">
        <v>1563</v>
      </c>
      <c r="F18" s="180"/>
      <c r="G18" s="180"/>
      <c r="H18" s="180"/>
      <c r="I18" s="180"/>
      <c r="J18" s="180"/>
      <c r="K18" s="180"/>
      <c r="L18" s="180"/>
      <c r="M18" s="180"/>
      <c r="N18" s="180"/>
      <c r="O18" s="180"/>
      <c r="P18" s="180"/>
      <c r="Q18" s="180"/>
      <c r="R18" s="180"/>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35"/>
      <c r="AS18"/>
      <c r="AT18"/>
      <c r="AU18" s="983">
        <v>4070200</v>
      </c>
      <c r="AV18" s="985" t="str">
        <f>IFERROR(ROUND(Q63*INDEX(ENDUSEALL[Factor],MATCH(AW18,ENDUSEALL[End Use to Coincident Peak Demand Factors],0)),4),"")</f>
        <v/>
      </c>
      <c r="AW18" s="987" t="s">
        <v>589</v>
      </c>
      <c r="AX18"/>
      <c r="AY18"/>
      <c r="AZ18"/>
      <c r="BA18"/>
      <c r="BB18"/>
    </row>
    <row r="19" spans="3:54" ht="15.95" customHeight="1" x14ac:dyDescent="0.25">
      <c r="C19" s="135"/>
      <c r="D19" s="479" t="s">
        <v>1518</v>
      </c>
      <c r="E19" s="480" t="s">
        <v>1564</v>
      </c>
      <c r="F19" s="180"/>
      <c r="G19" s="180"/>
      <c r="H19" s="180"/>
      <c r="I19" s="180"/>
      <c r="J19" s="180"/>
      <c r="K19" s="180"/>
      <c r="L19" s="180"/>
      <c r="M19" s="180"/>
      <c r="N19" s="180"/>
      <c r="O19" s="180"/>
      <c r="P19" s="180"/>
      <c r="Q19" s="180"/>
      <c r="R19" s="180"/>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135"/>
      <c r="AS19"/>
      <c r="AT19"/>
      <c r="AU19" s="984"/>
      <c r="AV19" s="986"/>
      <c r="AW19" s="988"/>
      <c r="AX19"/>
      <c r="AY19"/>
      <c r="AZ19"/>
      <c r="BA19"/>
      <c r="BB19"/>
    </row>
    <row r="20" spans="3:54" ht="15.95" customHeight="1" x14ac:dyDescent="0.25">
      <c r="C20" s="135"/>
      <c r="D20" s="479" t="s">
        <v>1518</v>
      </c>
      <c r="E20" s="480" t="s">
        <v>1565</v>
      </c>
      <c r="F20" s="180"/>
      <c r="G20" s="180"/>
      <c r="H20" s="180"/>
      <c r="I20" s="180"/>
      <c r="J20" s="180"/>
      <c r="K20" s="180"/>
      <c r="L20" s="180"/>
      <c r="M20" s="180"/>
      <c r="N20" s="180"/>
      <c r="O20" s="180"/>
      <c r="P20" s="180"/>
      <c r="Q20" s="180"/>
      <c r="R20" s="180"/>
      <c r="S20" s="180"/>
      <c r="T20" s="180"/>
      <c r="U20" s="180"/>
      <c r="V20" s="180"/>
      <c r="W20" s="180"/>
      <c r="X20" s="180"/>
      <c r="Y20" s="180"/>
      <c r="Z20" s="180"/>
      <c r="AA20" s="180"/>
      <c r="AB20" s="180"/>
      <c r="AC20" s="180"/>
      <c r="AD20" s="180"/>
      <c r="AE20" s="180"/>
      <c r="AF20" s="180"/>
      <c r="AG20" s="180"/>
      <c r="AH20" s="180"/>
      <c r="AI20" s="180"/>
      <c r="AJ20" s="180"/>
      <c r="AK20" s="180"/>
      <c r="AL20" s="180"/>
      <c r="AM20" s="180"/>
      <c r="AN20" s="180"/>
      <c r="AO20" s="180"/>
      <c r="AP20" s="180"/>
      <c r="AQ20" s="135"/>
      <c r="AS20"/>
      <c r="AT20"/>
      <c r="AU20"/>
      <c r="AV20"/>
      <c r="AW20"/>
      <c r="AX20"/>
      <c r="AY20"/>
      <c r="AZ20"/>
      <c r="BA20"/>
      <c r="BB20"/>
    </row>
    <row r="21" spans="3:54" ht="15.95" customHeight="1" x14ac:dyDescent="0.25">
      <c r="C21" s="135"/>
      <c r="D21" s="479" t="s">
        <v>1518</v>
      </c>
      <c r="E21" s="480" t="s">
        <v>1566</v>
      </c>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AD21" s="180"/>
      <c r="AE21" s="180"/>
      <c r="AF21" s="180"/>
      <c r="AG21" s="180"/>
      <c r="AH21" s="180"/>
      <c r="AI21" s="180"/>
      <c r="AJ21" s="180"/>
      <c r="AK21" s="180"/>
      <c r="AL21" s="180"/>
      <c r="AM21" s="180"/>
      <c r="AN21" s="180"/>
      <c r="AO21" s="180"/>
      <c r="AP21" s="180"/>
      <c r="AQ21" s="135"/>
      <c r="AS21"/>
      <c r="AT21"/>
      <c r="AU21"/>
      <c r="AV21"/>
      <c r="AW21"/>
      <c r="AX21"/>
      <c r="AY21"/>
    </row>
    <row r="22" spans="3:54" ht="15.95" customHeight="1" x14ac:dyDescent="0.25">
      <c r="C22" s="135"/>
      <c r="D22" s="479" t="s">
        <v>1518</v>
      </c>
      <c r="E22" s="480" t="s">
        <v>1567</v>
      </c>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0"/>
      <c r="AQ22" s="135"/>
      <c r="AS22"/>
      <c r="AT22"/>
      <c r="AU22"/>
      <c r="AV22"/>
      <c r="AW22"/>
      <c r="AX22"/>
      <c r="AY22"/>
    </row>
    <row r="23" spans="3:54" ht="15.95" customHeight="1" x14ac:dyDescent="0.25">
      <c r="C23" s="135"/>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135"/>
      <c r="AS23"/>
      <c r="AT23"/>
      <c r="AU23"/>
      <c r="AV23"/>
      <c r="AW23"/>
      <c r="AX23"/>
      <c r="AY23"/>
    </row>
    <row r="24" spans="3:54" ht="15.95" customHeight="1" x14ac:dyDescent="0.25">
      <c r="C24" s="135"/>
      <c r="D24" s="180" t="s">
        <v>1568</v>
      </c>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35"/>
      <c r="AS24"/>
      <c r="AT24"/>
      <c r="AU24"/>
      <c r="AV24"/>
      <c r="AW24"/>
      <c r="AX24"/>
      <c r="AY24"/>
    </row>
    <row r="25" spans="3:54" ht="15.95" customHeight="1" x14ac:dyDescent="0.25">
      <c r="C25" s="135"/>
      <c r="D25" s="180"/>
      <c r="E25" s="180"/>
      <c r="F25" s="180"/>
      <c r="G25" s="180"/>
      <c r="H25" s="180"/>
      <c r="I25" s="180"/>
      <c r="J25" s="180"/>
      <c r="K25" s="180"/>
      <c r="L25" s="180"/>
      <c r="M25" s="180"/>
      <c r="N25" s="180"/>
      <c r="O25" s="180"/>
      <c r="P25" s="180"/>
      <c r="Q25" s="180"/>
      <c r="R25" s="180"/>
      <c r="S25" s="180"/>
      <c r="T25" s="180"/>
      <c r="U25" s="180"/>
      <c r="V25" s="180"/>
      <c r="W25" s="180"/>
      <c r="X25" s="180"/>
      <c r="Y25" s="180"/>
      <c r="Z25" s="180"/>
      <c r="AA25" s="180"/>
      <c r="AB25" s="180"/>
      <c r="AC25" s="180"/>
      <c r="AD25" s="180"/>
      <c r="AE25" s="180"/>
      <c r="AF25" s="180"/>
      <c r="AG25" s="180"/>
      <c r="AH25" s="180"/>
      <c r="AI25" s="180"/>
      <c r="AJ25" s="180"/>
      <c r="AK25" s="180"/>
      <c r="AL25" s="180"/>
      <c r="AM25" s="180"/>
      <c r="AN25" s="180"/>
      <c r="AO25" s="180"/>
      <c r="AP25" s="180"/>
      <c r="AQ25" s="135"/>
      <c r="AS25"/>
      <c r="AT25"/>
      <c r="AU25"/>
      <c r="AV25"/>
      <c r="AW25"/>
      <c r="AX25"/>
      <c r="AY25"/>
    </row>
    <row r="26" spans="3:54" ht="15.95" customHeight="1" x14ac:dyDescent="0.25">
      <c r="C26" s="135"/>
      <c r="D26" s="969" t="s">
        <v>1569</v>
      </c>
      <c r="E26" s="969"/>
      <c r="F26" s="969"/>
      <c r="G26" s="969"/>
      <c r="H26" s="969"/>
      <c r="I26" s="969"/>
      <c r="J26" s="969"/>
      <c r="K26" s="969"/>
      <c r="L26" s="969"/>
      <c r="M26" s="969"/>
      <c r="N26" s="969" t="s">
        <v>1570</v>
      </c>
      <c r="O26" s="969"/>
      <c r="P26" s="969"/>
      <c r="Q26" s="969"/>
      <c r="R26" s="969"/>
      <c r="S26" s="969"/>
      <c r="T26" s="969"/>
      <c r="U26" s="969"/>
      <c r="V26" s="969"/>
      <c r="W26" s="969"/>
      <c r="X26" s="969"/>
      <c r="Y26" s="969" t="s">
        <v>1571</v>
      </c>
      <c r="Z26" s="969"/>
      <c r="AA26" s="969"/>
      <c r="AB26" s="969"/>
      <c r="AC26" s="969"/>
      <c r="AD26" s="969"/>
      <c r="AE26" s="969"/>
      <c r="AF26" s="969"/>
      <c r="AG26" s="969"/>
      <c r="AH26" s="969" t="s">
        <v>1572</v>
      </c>
      <c r="AI26" s="969"/>
      <c r="AJ26" s="969"/>
      <c r="AK26" s="969"/>
      <c r="AL26" s="969"/>
      <c r="AM26" s="969"/>
      <c r="AN26" s="969"/>
      <c r="AO26" s="969"/>
      <c r="AP26" s="969"/>
      <c r="AQ26" s="135"/>
      <c r="AS26"/>
      <c r="AT26"/>
      <c r="AU26"/>
      <c r="AV26"/>
      <c r="AW26"/>
      <c r="AX26"/>
      <c r="AY26"/>
    </row>
    <row r="27" spans="3:54" ht="15.95" customHeight="1" x14ac:dyDescent="0.25">
      <c r="C27" s="135"/>
      <c r="D27" s="967" t="s">
        <v>1573</v>
      </c>
      <c r="E27" s="967"/>
      <c r="F27" s="967"/>
      <c r="G27" s="967"/>
      <c r="H27" s="967"/>
      <c r="I27" s="967"/>
      <c r="J27" s="967"/>
      <c r="K27" s="967"/>
      <c r="L27" s="967"/>
      <c r="M27" s="967"/>
      <c r="N27" s="967" t="s">
        <v>1574</v>
      </c>
      <c r="O27" s="967"/>
      <c r="P27" s="967"/>
      <c r="Q27" s="967"/>
      <c r="R27" s="967"/>
      <c r="S27" s="967"/>
      <c r="T27" s="967"/>
      <c r="U27" s="967"/>
      <c r="V27" s="967"/>
      <c r="W27" s="967"/>
      <c r="X27" s="967"/>
      <c r="Y27" s="967" t="s">
        <v>1575</v>
      </c>
      <c r="Z27" s="967"/>
      <c r="AA27" s="967"/>
      <c r="AB27" s="967"/>
      <c r="AC27" s="967"/>
      <c r="AD27" s="967"/>
      <c r="AE27" s="967"/>
      <c r="AF27" s="967"/>
      <c r="AG27" s="967"/>
      <c r="AH27" s="967" t="s">
        <v>1576</v>
      </c>
      <c r="AI27" s="967"/>
      <c r="AJ27" s="967"/>
      <c r="AK27" s="967"/>
      <c r="AL27" s="967"/>
      <c r="AM27" s="967"/>
      <c r="AN27" s="967"/>
      <c r="AO27" s="967"/>
      <c r="AP27" s="967"/>
      <c r="AQ27" s="135"/>
      <c r="AS27"/>
      <c r="AT27"/>
      <c r="AU27"/>
      <c r="AV27"/>
      <c r="AW27"/>
      <c r="AX27"/>
      <c r="AY27"/>
    </row>
    <row r="28" spans="3:54" ht="15.95" customHeight="1" x14ac:dyDescent="0.25">
      <c r="C28" s="135"/>
      <c r="D28" s="967"/>
      <c r="E28" s="967"/>
      <c r="F28" s="967"/>
      <c r="G28" s="967"/>
      <c r="H28" s="967"/>
      <c r="I28" s="967"/>
      <c r="J28" s="967"/>
      <c r="K28" s="967"/>
      <c r="L28" s="967"/>
      <c r="M28" s="967"/>
      <c r="N28" s="967"/>
      <c r="O28" s="967"/>
      <c r="P28" s="967"/>
      <c r="Q28" s="967"/>
      <c r="R28" s="967"/>
      <c r="S28" s="967"/>
      <c r="T28" s="967"/>
      <c r="U28" s="967"/>
      <c r="V28" s="967"/>
      <c r="W28" s="967"/>
      <c r="X28" s="967"/>
      <c r="Y28" s="967"/>
      <c r="Z28" s="967"/>
      <c r="AA28" s="967"/>
      <c r="AB28" s="967"/>
      <c r="AC28" s="967"/>
      <c r="AD28" s="967"/>
      <c r="AE28" s="967"/>
      <c r="AF28" s="967"/>
      <c r="AG28" s="967"/>
      <c r="AH28" s="967"/>
      <c r="AI28" s="967"/>
      <c r="AJ28" s="967"/>
      <c r="AK28" s="967"/>
      <c r="AL28" s="967"/>
      <c r="AM28" s="967"/>
      <c r="AN28" s="967"/>
      <c r="AO28" s="967"/>
      <c r="AP28" s="967"/>
      <c r="AQ28" s="135"/>
      <c r="AS28"/>
      <c r="AT28"/>
      <c r="AU28"/>
      <c r="AV28"/>
      <c r="AW28"/>
      <c r="AX28"/>
      <c r="AY28"/>
    </row>
    <row r="29" spans="3:54" ht="15.95" customHeight="1" x14ac:dyDescent="0.25">
      <c r="C29" s="135"/>
      <c r="D29" s="967" t="s">
        <v>1577</v>
      </c>
      <c r="E29" s="967"/>
      <c r="F29" s="967"/>
      <c r="G29" s="967"/>
      <c r="H29" s="967"/>
      <c r="I29" s="967"/>
      <c r="J29" s="967"/>
      <c r="K29" s="967"/>
      <c r="L29" s="967"/>
      <c r="M29" s="967"/>
      <c r="N29" s="967" t="s">
        <v>1578</v>
      </c>
      <c r="O29" s="967"/>
      <c r="P29" s="967"/>
      <c r="Q29" s="967"/>
      <c r="R29" s="967"/>
      <c r="S29" s="967"/>
      <c r="T29" s="967"/>
      <c r="U29" s="967"/>
      <c r="V29" s="967"/>
      <c r="W29" s="967"/>
      <c r="X29" s="967"/>
      <c r="Y29" s="967" t="s">
        <v>1579</v>
      </c>
      <c r="Z29" s="967"/>
      <c r="AA29" s="967"/>
      <c r="AB29" s="967"/>
      <c r="AC29" s="967"/>
      <c r="AD29" s="967"/>
      <c r="AE29" s="967"/>
      <c r="AF29" s="967"/>
      <c r="AG29" s="967"/>
      <c r="AH29" s="967" t="s">
        <v>1580</v>
      </c>
      <c r="AI29" s="967"/>
      <c r="AJ29" s="967"/>
      <c r="AK29" s="967"/>
      <c r="AL29" s="967"/>
      <c r="AM29" s="967"/>
      <c r="AN29" s="967"/>
      <c r="AO29" s="967"/>
      <c r="AP29" s="967"/>
      <c r="AQ29" s="135"/>
      <c r="AS29"/>
      <c r="AT29"/>
      <c r="AU29"/>
      <c r="AV29"/>
      <c r="AW29"/>
      <c r="AX29"/>
      <c r="AY29"/>
    </row>
    <row r="30" spans="3:54" ht="15.95" customHeight="1" x14ac:dyDescent="0.25">
      <c r="C30" s="135"/>
      <c r="D30" s="967"/>
      <c r="E30" s="967"/>
      <c r="F30" s="967"/>
      <c r="G30" s="967"/>
      <c r="H30" s="967"/>
      <c r="I30" s="967"/>
      <c r="J30" s="967"/>
      <c r="K30" s="967"/>
      <c r="L30" s="967"/>
      <c r="M30" s="967"/>
      <c r="N30" s="967"/>
      <c r="O30" s="967"/>
      <c r="P30" s="967"/>
      <c r="Q30" s="967"/>
      <c r="R30" s="967"/>
      <c r="S30" s="967"/>
      <c r="T30" s="967"/>
      <c r="U30" s="967"/>
      <c r="V30" s="967"/>
      <c r="W30" s="967"/>
      <c r="X30" s="967"/>
      <c r="Y30" s="967"/>
      <c r="Z30" s="967"/>
      <c r="AA30" s="967"/>
      <c r="AB30" s="967"/>
      <c r="AC30" s="967"/>
      <c r="AD30" s="967"/>
      <c r="AE30" s="967"/>
      <c r="AF30" s="967"/>
      <c r="AG30" s="967"/>
      <c r="AH30" s="967"/>
      <c r="AI30" s="967"/>
      <c r="AJ30" s="967"/>
      <c r="AK30" s="967"/>
      <c r="AL30" s="967"/>
      <c r="AM30" s="967"/>
      <c r="AN30" s="967"/>
      <c r="AO30" s="967"/>
      <c r="AP30" s="967"/>
      <c r="AQ30" s="135"/>
      <c r="AS30"/>
      <c r="AT30"/>
      <c r="AU30"/>
      <c r="AV30"/>
      <c r="AW30"/>
      <c r="AX30"/>
      <c r="AY30"/>
    </row>
    <row r="31" spans="3:54" ht="15.95" customHeight="1" x14ac:dyDescent="0.25">
      <c r="C31" s="135"/>
      <c r="D31" s="967" t="s">
        <v>1581</v>
      </c>
      <c r="E31" s="967"/>
      <c r="F31" s="967"/>
      <c r="G31" s="967"/>
      <c r="H31" s="967"/>
      <c r="I31" s="967"/>
      <c r="J31" s="967"/>
      <c r="K31" s="967"/>
      <c r="L31" s="967"/>
      <c r="M31" s="967"/>
      <c r="N31" s="967" t="s">
        <v>1582</v>
      </c>
      <c r="O31" s="967"/>
      <c r="P31" s="967"/>
      <c r="Q31" s="967"/>
      <c r="R31" s="967"/>
      <c r="S31" s="967"/>
      <c r="T31" s="967"/>
      <c r="U31" s="967"/>
      <c r="V31" s="967"/>
      <c r="W31" s="967"/>
      <c r="X31" s="967"/>
      <c r="Y31" s="967" t="s">
        <v>1583</v>
      </c>
      <c r="Z31" s="967"/>
      <c r="AA31" s="967"/>
      <c r="AB31" s="967"/>
      <c r="AC31" s="967"/>
      <c r="AD31" s="967"/>
      <c r="AE31" s="967"/>
      <c r="AF31" s="967"/>
      <c r="AG31" s="967"/>
      <c r="AH31" s="967" t="s">
        <v>1584</v>
      </c>
      <c r="AI31" s="967"/>
      <c r="AJ31" s="967"/>
      <c r="AK31" s="967"/>
      <c r="AL31" s="967"/>
      <c r="AM31" s="967"/>
      <c r="AN31" s="967"/>
      <c r="AO31" s="967"/>
      <c r="AP31" s="967"/>
      <c r="AQ31" s="135"/>
      <c r="AS31"/>
      <c r="AT31"/>
      <c r="AU31"/>
      <c r="AV31"/>
      <c r="AW31"/>
      <c r="AX31"/>
      <c r="AY31"/>
    </row>
    <row r="32" spans="3:54" ht="15.95" customHeight="1" x14ac:dyDescent="0.25">
      <c r="C32" s="135"/>
      <c r="D32" s="967"/>
      <c r="E32" s="967"/>
      <c r="F32" s="967"/>
      <c r="G32" s="967"/>
      <c r="H32" s="967"/>
      <c r="I32" s="967"/>
      <c r="J32" s="967"/>
      <c r="K32" s="967"/>
      <c r="L32" s="967"/>
      <c r="M32" s="967"/>
      <c r="N32" s="967"/>
      <c r="O32" s="967"/>
      <c r="P32" s="967"/>
      <c r="Q32" s="967"/>
      <c r="R32" s="967"/>
      <c r="S32" s="967"/>
      <c r="T32" s="967"/>
      <c r="U32" s="967"/>
      <c r="V32" s="967"/>
      <c r="W32" s="967"/>
      <c r="X32" s="967"/>
      <c r="Y32" s="967"/>
      <c r="Z32" s="967"/>
      <c r="AA32" s="967"/>
      <c r="AB32" s="967"/>
      <c r="AC32" s="967"/>
      <c r="AD32" s="967"/>
      <c r="AE32" s="967"/>
      <c r="AF32" s="967"/>
      <c r="AG32" s="967"/>
      <c r="AH32" s="967"/>
      <c r="AI32" s="967"/>
      <c r="AJ32" s="967"/>
      <c r="AK32" s="967"/>
      <c r="AL32" s="967"/>
      <c r="AM32" s="967"/>
      <c r="AN32" s="967"/>
      <c r="AO32" s="967"/>
      <c r="AP32" s="967"/>
      <c r="AQ32" s="135"/>
      <c r="AS32"/>
      <c r="AT32"/>
      <c r="AU32"/>
      <c r="AV32"/>
      <c r="AW32"/>
      <c r="AX32"/>
      <c r="AY32"/>
    </row>
    <row r="33" spans="3:51" ht="15.95" customHeight="1" x14ac:dyDescent="0.25">
      <c r="C33" s="135"/>
      <c r="D33" s="967" t="s">
        <v>1585</v>
      </c>
      <c r="E33" s="967"/>
      <c r="F33" s="967"/>
      <c r="G33" s="967"/>
      <c r="H33" s="967"/>
      <c r="I33" s="967"/>
      <c r="J33" s="967"/>
      <c r="K33" s="967"/>
      <c r="L33" s="967"/>
      <c r="M33" s="967"/>
      <c r="N33" s="967" t="s">
        <v>1586</v>
      </c>
      <c r="O33" s="967"/>
      <c r="P33" s="967"/>
      <c r="Q33" s="967"/>
      <c r="R33" s="967"/>
      <c r="S33" s="967"/>
      <c r="T33" s="967"/>
      <c r="U33" s="967"/>
      <c r="V33" s="967"/>
      <c r="W33" s="967"/>
      <c r="X33" s="967"/>
      <c r="Y33" s="967" t="s">
        <v>1587</v>
      </c>
      <c r="Z33" s="967"/>
      <c r="AA33" s="967"/>
      <c r="AB33" s="967"/>
      <c r="AC33" s="967"/>
      <c r="AD33" s="967"/>
      <c r="AE33" s="967"/>
      <c r="AF33" s="967"/>
      <c r="AG33" s="967"/>
      <c r="AH33" s="967" t="s">
        <v>1588</v>
      </c>
      <c r="AI33" s="967"/>
      <c r="AJ33" s="967"/>
      <c r="AK33" s="967"/>
      <c r="AL33" s="967"/>
      <c r="AM33" s="967"/>
      <c r="AN33" s="967"/>
      <c r="AO33" s="967"/>
      <c r="AP33" s="967"/>
      <c r="AQ33" s="135"/>
      <c r="AS33"/>
      <c r="AT33"/>
      <c r="AU33"/>
      <c r="AV33"/>
      <c r="AW33"/>
      <c r="AX33"/>
      <c r="AY33"/>
    </row>
    <row r="34" spans="3:51" ht="15.95" customHeight="1" x14ac:dyDescent="0.25">
      <c r="C34" s="135"/>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967"/>
      <c r="AM34" s="967"/>
      <c r="AN34" s="967"/>
      <c r="AO34" s="967"/>
      <c r="AP34" s="967"/>
      <c r="AQ34" s="135"/>
      <c r="AS34"/>
      <c r="AT34"/>
      <c r="AU34"/>
      <c r="AV34"/>
      <c r="AW34"/>
      <c r="AX34"/>
      <c r="AY34"/>
    </row>
    <row r="35" spans="3:51" ht="15.95" customHeight="1" x14ac:dyDescent="0.25">
      <c r="C35" s="135"/>
      <c r="D35" s="967" t="s">
        <v>1589</v>
      </c>
      <c r="E35" s="967"/>
      <c r="F35" s="967"/>
      <c r="G35" s="967"/>
      <c r="H35" s="967"/>
      <c r="I35" s="967"/>
      <c r="J35" s="967"/>
      <c r="K35" s="967"/>
      <c r="L35" s="967"/>
      <c r="M35" s="967"/>
      <c r="N35" s="967" t="s">
        <v>1590</v>
      </c>
      <c r="O35" s="967"/>
      <c r="P35" s="967"/>
      <c r="Q35" s="967"/>
      <c r="R35" s="967"/>
      <c r="S35" s="967"/>
      <c r="T35" s="967"/>
      <c r="U35" s="967"/>
      <c r="V35" s="967"/>
      <c r="W35" s="967"/>
      <c r="X35" s="967"/>
      <c r="Y35" s="967" t="s">
        <v>1591</v>
      </c>
      <c r="Z35" s="967"/>
      <c r="AA35" s="967"/>
      <c r="AB35" s="967"/>
      <c r="AC35" s="967"/>
      <c r="AD35" s="967"/>
      <c r="AE35" s="967"/>
      <c r="AF35" s="967"/>
      <c r="AG35" s="967"/>
      <c r="AH35" s="967" t="s">
        <v>1592</v>
      </c>
      <c r="AI35" s="967"/>
      <c r="AJ35" s="967"/>
      <c r="AK35" s="967"/>
      <c r="AL35" s="967"/>
      <c r="AM35" s="967"/>
      <c r="AN35" s="967"/>
      <c r="AO35" s="967"/>
      <c r="AP35" s="967"/>
      <c r="AQ35" s="135"/>
      <c r="AS35"/>
      <c r="AT35"/>
      <c r="AU35"/>
      <c r="AV35"/>
      <c r="AW35"/>
      <c r="AX35"/>
      <c r="AY35"/>
    </row>
    <row r="36" spans="3:51" ht="15.95" customHeight="1" x14ac:dyDescent="0.25">
      <c r="C36" s="135"/>
      <c r="D36" s="967"/>
      <c r="E36" s="967"/>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c r="AL36" s="967"/>
      <c r="AM36" s="967"/>
      <c r="AN36" s="967"/>
      <c r="AO36" s="967"/>
      <c r="AP36" s="967"/>
      <c r="AQ36" s="135"/>
      <c r="AS36"/>
      <c r="AT36"/>
      <c r="AU36"/>
      <c r="AV36"/>
      <c r="AW36"/>
      <c r="AX36"/>
      <c r="AY36"/>
    </row>
    <row r="37" spans="3:51" ht="15.95" customHeight="1" x14ac:dyDescent="0.25">
      <c r="C37" s="135"/>
      <c r="D37" s="481"/>
      <c r="E37" s="482"/>
      <c r="F37" s="482"/>
      <c r="G37" s="482"/>
      <c r="H37" s="482"/>
      <c r="I37" s="482"/>
      <c r="J37" s="482"/>
      <c r="K37" s="482"/>
      <c r="L37" s="180"/>
      <c r="M37" s="481"/>
      <c r="N37" s="180"/>
      <c r="O37" s="482"/>
      <c r="P37" s="482"/>
      <c r="Q37" s="482"/>
      <c r="R37" s="482"/>
      <c r="S37" s="482"/>
      <c r="T37" s="482"/>
      <c r="U37" s="482"/>
      <c r="V37" s="482"/>
      <c r="W37" s="180"/>
      <c r="X37" s="180"/>
      <c r="Y37" s="482"/>
      <c r="Z37" s="481"/>
      <c r="AA37" s="482"/>
      <c r="AB37" s="482"/>
      <c r="AC37" s="482"/>
      <c r="AD37" s="482"/>
      <c r="AE37" s="180"/>
      <c r="AF37" s="180"/>
      <c r="AG37" s="180"/>
      <c r="AH37" s="180"/>
      <c r="AI37" s="481"/>
      <c r="AJ37" s="180"/>
      <c r="AK37" s="180"/>
      <c r="AL37" s="180"/>
      <c r="AM37" s="180"/>
      <c r="AN37" s="180"/>
      <c r="AO37" s="180"/>
      <c r="AP37" s="180"/>
      <c r="AQ37" s="135"/>
      <c r="AS37"/>
      <c r="AT37"/>
      <c r="AU37"/>
      <c r="AV37"/>
      <c r="AW37"/>
      <c r="AX37"/>
      <c r="AY37"/>
    </row>
    <row r="38" spans="3:51" ht="15.95" customHeight="1" x14ac:dyDescent="0.25">
      <c r="C38" s="135"/>
      <c r="D38" s="975" t="s">
        <v>1593</v>
      </c>
      <c r="E38" s="975"/>
      <c r="F38" s="975"/>
      <c r="G38" s="975"/>
      <c r="H38" s="975"/>
      <c r="I38" s="975"/>
      <c r="J38" s="975"/>
      <c r="K38" s="975"/>
      <c r="L38" s="975"/>
      <c r="M38" s="975"/>
      <c r="N38" s="975"/>
      <c r="O38" s="975"/>
      <c r="P38" s="975"/>
      <c r="Q38" s="975"/>
      <c r="R38" s="975"/>
      <c r="S38" s="975"/>
      <c r="T38" s="975"/>
      <c r="U38" s="975"/>
      <c r="V38" s="975"/>
      <c r="W38" s="975"/>
      <c r="X38" s="975"/>
      <c r="Y38" s="975"/>
      <c r="Z38" s="975"/>
      <c r="AA38" s="975"/>
      <c r="AB38" s="975"/>
      <c r="AC38" s="975"/>
      <c r="AD38" s="975"/>
      <c r="AE38" s="975"/>
      <c r="AF38" s="975"/>
      <c r="AG38" s="975"/>
      <c r="AH38" s="975"/>
      <c r="AI38" s="975"/>
      <c r="AJ38" s="975"/>
      <c r="AK38" s="975"/>
      <c r="AL38" s="975"/>
      <c r="AM38" s="975"/>
      <c r="AN38" s="975"/>
      <c r="AO38" s="975"/>
      <c r="AP38" s="975"/>
      <c r="AQ38" s="135"/>
      <c r="AS38"/>
      <c r="AT38"/>
      <c r="AU38"/>
      <c r="AV38"/>
      <c r="AW38"/>
      <c r="AX38"/>
      <c r="AY38"/>
    </row>
    <row r="39" spans="3:51" ht="15.95" customHeight="1" x14ac:dyDescent="0.25">
      <c r="C39" s="135"/>
      <c r="D39" s="975"/>
      <c r="E39" s="975"/>
      <c r="F39" s="975"/>
      <c r="G39" s="975"/>
      <c r="H39" s="975"/>
      <c r="I39" s="975"/>
      <c r="J39" s="975"/>
      <c r="K39" s="975"/>
      <c r="L39" s="975"/>
      <c r="M39" s="975"/>
      <c r="N39" s="975"/>
      <c r="O39" s="975"/>
      <c r="P39" s="975"/>
      <c r="Q39" s="975"/>
      <c r="R39" s="975"/>
      <c r="S39" s="975"/>
      <c r="T39" s="975"/>
      <c r="U39" s="975"/>
      <c r="V39" s="975"/>
      <c r="W39" s="975"/>
      <c r="X39" s="975"/>
      <c r="Y39" s="975"/>
      <c r="Z39" s="975"/>
      <c r="AA39" s="975"/>
      <c r="AB39" s="975"/>
      <c r="AC39" s="975"/>
      <c r="AD39" s="975"/>
      <c r="AE39" s="975"/>
      <c r="AF39" s="975"/>
      <c r="AG39" s="975"/>
      <c r="AH39" s="975"/>
      <c r="AI39" s="975"/>
      <c r="AJ39" s="975"/>
      <c r="AK39" s="975"/>
      <c r="AL39" s="975"/>
      <c r="AM39" s="975"/>
      <c r="AN39" s="975"/>
      <c r="AO39" s="975"/>
      <c r="AP39" s="975"/>
      <c r="AQ39" s="135"/>
      <c r="AS39"/>
      <c r="AT39"/>
      <c r="AU39"/>
      <c r="AV39"/>
      <c r="AW39"/>
      <c r="AX39"/>
      <c r="AY39"/>
    </row>
    <row r="40" spans="3:51" ht="15.95" customHeight="1" x14ac:dyDescent="0.25">
      <c r="C40" s="135"/>
      <c r="D40" s="135"/>
      <c r="E40" s="135"/>
      <c r="F40" s="135"/>
      <c r="G40" s="135"/>
      <c r="H40" s="135"/>
      <c r="I40" s="135"/>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S40"/>
      <c r="AT40"/>
      <c r="AU40"/>
      <c r="AV40"/>
      <c r="AW40"/>
      <c r="AX40"/>
      <c r="AY40"/>
    </row>
    <row r="41" spans="3:51" ht="15.95" customHeight="1" x14ac:dyDescent="0.25">
      <c r="C41" s="483" t="s">
        <v>1706</v>
      </c>
      <c r="D41" s="135"/>
      <c r="E41" s="135"/>
      <c r="F41" s="135"/>
      <c r="G41" s="135"/>
      <c r="H41" s="135"/>
      <c r="I41" s="135"/>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c r="AS41"/>
      <c r="AT41"/>
      <c r="AU41"/>
      <c r="AV41"/>
      <c r="AW41"/>
      <c r="AX41"/>
      <c r="AY41"/>
    </row>
    <row r="42" spans="3:51" ht="15.95" customHeight="1" thickBot="1" x14ac:dyDescent="0.3">
      <c r="C42" s="135" t="s">
        <v>1707</v>
      </c>
      <c r="D42" s="135"/>
      <c r="E42" s="135"/>
      <c r="F42" s="135"/>
      <c r="G42" s="135"/>
      <c r="H42" s="135"/>
      <c r="I42" s="135"/>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c r="AQ42" s="135"/>
      <c r="AS42"/>
      <c r="AT42"/>
      <c r="AU42"/>
      <c r="AV42"/>
      <c r="AW42"/>
      <c r="AX42"/>
      <c r="AY42"/>
    </row>
    <row r="43" spans="3:51" ht="15.95" customHeight="1" x14ac:dyDescent="0.25">
      <c r="C43" s="913"/>
      <c r="D43" s="856"/>
      <c r="E43" s="856"/>
      <c r="F43" s="856"/>
      <c r="G43" s="856"/>
      <c r="H43" s="856"/>
      <c r="I43" s="856"/>
      <c r="J43" s="856"/>
      <c r="K43" s="856"/>
      <c r="L43" s="856"/>
      <c r="M43" s="856"/>
      <c r="N43" s="856"/>
      <c r="O43" s="856"/>
      <c r="P43" s="856"/>
      <c r="Q43" s="856"/>
      <c r="R43" s="856"/>
      <c r="S43" s="856"/>
      <c r="T43" s="856"/>
      <c r="U43" s="856"/>
      <c r="V43" s="856"/>
      <c r="W43" s="856"/>
      <c r="X43" s="856"/>
      <c r="Y43" s="856"/>
      <c r="Z43" s="856"/>
      <c r="AA43" s="856"/>
      <c r="AB43" s="856"/>
      <c r="AC43" s="856"/>
      <c r="AD43" s="856"/>
      <c r="AE43" s="856"/>
      <c r="AF43" s="856"/>
      <c r="AG43" s="856"/>
      <c r="AH43" s="856"/>
      <c r="AI43" s="856"/>
      <c r="AJ43" s="856"/>
      <c r="AK43" s="856"/>
      <c r="AL43" s="856"/>
      <c r="AM43" s="856"/>
      <c r="AN43" s="856"/>
      <c r="AO43" s="856"/>
      <c r="AP43" s="856"/>
      <c r="AQ43" s="857"/>
      <c r="AS43"/>
      <c r="AT43"/>
      <c r="AU43"/>
      <c r="AV43"/>
      <c r="AW43"/>
      <c r="AX43"/>
      <c r="AY43"/>
    </row>
    <row r="44" spans="3:51" ht="15.95" customHeight="1" x14ac:dyDescent="0.25">
      <c r="C44" s="858"/>
      <c r="D44" s="859"/>
      <c r="E44" s="859"/>
      <c r="F44" s="859"/>
      <c r="G44" s="859"/>
      <c r="H44" s="859"/>
      <c r="I44" s="859"/>
      <c r="J44" s="859"/>
      <c r="K44" s="859"/>
      <c r="L44" s="859"/>
      <c r="M44" s="859"/>
      <c r="N44" s="859"/>
      <c r="O44" s="859"/>
      <c r="P44" s="859"/>
      <c r="Q44" s="859"/>
      <c r="R44" s="859"/>
      <c r="S44" s="859"/>
      <c r="T44" s="859"/>
      <c r="U44" s="859"/>
      <c r="V44" s="859"/>
      <c r="W44" s="859"/>
      <c r="X44" s="859"/>
      <c r="Y44" s="859"/>
      <c r="Z44" s="859"/>
      <c r="AA44" s="859"/>
      <c r="AB44" s="859"/>
      <c r="AC44" s="859"/>
      <c r="AD44" s="859"/>
      <c r="AE44" s="859"/>
      <c r="AF44" s="859"/>
      <c r="AG44" s="859"/>
      <c r="AH44" s="859"/>
      <c r="AI44" s="859"/>
      <c r="AJ44" s="859"/>
      <c r="AK44" s="859"/>
      <c r="AL44" s="859"/>
      <c r="AM44" s="859"/>
      <c r="AN44" s="859"/>
      <c r="AO44" s="859"/>
      <c r="AP44" s="859"/>
      <c r="AQ44" s="860"/>
      <c r="AS44"/>
      <c r="AT44"/>
      <c r="AU44"/>
      <c r="AV44"/>
      <c r="AW44"/>
      <c r="AX44"/>
      <c r="AY44"/>
    </row>
    <row r="45" spans="3:51" ht="15.95" customHeight="1" x14ac:dyDescent="0.25">
      <c r="C45" s="858"/>
      <c r="D45" s="859"/>
      <c r="E45" s="859"/>
      <c r="F45" s="859"/>
      <c r="G45" s="859"/>
      <c r="H45" s="859"/>
      <c r="I45" s="859"/>
      <c r="J45" s="859"/>
      <c r="K45" s="859"/>
      <c r="L45" s="859"/>
      <c r="M45" s="859"/>
      <c r="N45" s="859"/>
      <c r="O45" s="859"/>
      <c r="P45" s="859"/>
      <c r="Q45" s="859"/>
      <c r="R45" s="859"/>
      <c r="S45" s="859"/>
      <c r="T45" s="859"/>
      <c r="U45" s="859"/>
      <c r="V45" s="859"/>
      <c r="W45" s="859"/>
      <c r="X45" s="859"/>
      <c r="Y45" s="859"/>
      <c r="Z45" s="859"/>
      <c r="AA45" s="859"/>
      <c r="AB45" s="859"/>
      <c r="AC45" s="859"/>
      <c r="AD45" s="859"/>
      <c r="AE45" s="859"/>
      <c r="AF45" s="859"/>
      <c r="AG45" s="859"/>
      <c r="AH45" s="859"/>
      <c r="AI45" s="859"/>
      <c r="AJ45" s="859"/>
      <c r="AK45" s="859"/>
      <c r="AL45" s="859"/>
      <c r="AM45" s="859"/>
      <c r="AN45" s="859"/>
      <c r="AO45" s="859"/>
      <c r="AP45" s="859"/>
      <c r="AQ45" s="860"/>
      <c r="AS45"/>
      <c r="AT45"/>
      <c r="AU45"/>
      <c r="AV45"/>
      <c r="AW45"/>
      <c r="AX45"/>
      <c r="AY45"/>
    </row>
    <row r="46" spans="3:51" ht="15.95" customHeight="1" x14ac:dyDescent="0.25">
      <c r="C46" s="858"/>
      <c r="D46" s="859"/>
      <c r="E46" s="859"/>
      <c r="F46" s="859"/>
      <c r="G46" s="859"/>
      <c r="H46" s="859"/>
      <c r="I46" s="859"/>
      <c r="J46" s="859"/>
      <c r="K46" s="859"/>
      <c r="L46" s="859"/>
      <c r="M46" s="859"/>
      <c r="N46" s="859"/>
      <c r="O46" s="859"/>
      <c r="P46" s="859"/>
      <c r="Q46" s="859"/>
      <c r="R46" s="859"/>
      <c r="S46" s="859"/>
      <c r="T46" s="859"/>
      <c r="U46" s="859"/>
      <c r="V46" s="859"/>
      <c r="W46" s="859"/>
      <c r="X46" s="859"/>
      <c r="Y46" s="859"/>
      <c r="Z46" s="859"/>
      <c r="AA46" s="859"/>
      <c r="AB46" s="859"/>
      <c r="AC46" s="859"/>
      <c r="AD46" s="859"/>
      <c r="AE46" s="859"/>
      <c r="AF46" s="859"/>
      <c r="AG46" s="859"/>
      <c r="AH46" s="859"/>
      <c r="AI46" s="859"/>
      <c r="AJ46" s="859"/>
      <c r="AK46" s="859"/>
      <c r="AL46" s="859"/>
      <c r="AM46" s="859"/>
      <c r="AN46" s="859"/>
      <c r="AO46" s="859"/>
      <c r="AP46" s="859"/>
      <c r="AQ46" s="860"/>
      <c r="AS46"/>
      <c r="AT46"/>
      <c r="AU46"/>
      <c r="AV46"/>
      <c r="AW46"/>
      <c r="AX46"/>
      <c r="AY46"/>
    </row>
    <row r="47" spans="3:51" ht="15.95" customHeight="1" x14ac:dyDescent="0.25">
      <c r="C47" s="858"/>
      <c r="D47" s="859"/>
      <c r="E47" s="859"/>
      <c r="F47" s="859"/>
      <c r="G47" s="859"/>
      <c r="H47" s="859"/>
      <c r="I47" s="859"/>
      <c r="J47" s="859"/>
      <c r="K47" s="859"/>
      <c r="L47" s="859"/>
      <c r="M47" s="859"/>
      <c r="N47" s="859"/>
      <c r="O47" s="859"/>
      <c r="P47" s="859"/>
      <c r="Q47" s="859"/>
      <c r="R47" s="859"/>
      <c r="S47" s="859"/>
      <c r="T47" s="859"/>
      <c r="U47" s="859"/>
      <c r="V47" s="859"/>
      <c r="W47" s="859"/>
      <c r="X47" s="859"/>
      <c r="Y47" s="859"/>
      <c r="Z47" s="859"/>
      <c r="AA47" s="859"/>
      <c r="AB47" s="859"/>
      <c r="AC47" s="859"/>
      <c r="AD47" s="859"/>
      <c r="AE47" s="859"/>
      <c r="AF47" s="859"/>
      <c r="AG47" s="859"/>
      <c r="AH47" s="859"/>
      <c r="AI47" s="859"/>
      <c r="AJ47" s="859"/>
      <c r="AK47" s="859"/>
      <c r="AL47" s="859"/>
      <c r="AM47" s="859"/>
      <c r="AN47" s="859"/>
      <c r="AO47" s="859"/>
      <c r="AP47" s="859"/>
      <c r="AQ47" s="860"/>
      <c r="AS47"/>
      <c r="AT47"/>
      <c r="AU47"/>
      <c r="AV47"/>
      <c r="AW47"/>
      <c r="AX47"/>
      <c r="AY47"/>
    </row>
    <row r="48" spans="3:51" ht="15.95" customHeight="1" x14ac:dyDescent="0.25">
      <c r="C48" s="858"/>
      <c r="D48" s="859"/>
      <c r="E48" s="859"/>
      <c r="F48" s="859"/>
      <c r="G48" s="859"/>
      <c r="H48" s="859"/>
      <c r="I48" s="859"/>
      <c r="J48" s="859"/>
      <c r="K48" s="859"/>
      <c r="L48" s="859"/>
      <c r="M48" s="859"/>
      <c r="N48" s="859"/>
      <c r="O48" s="859"/>
      <c r="P48" s="859"/>
      <c r="Q48" s="859"/>
      <c r="R48" s="859"/>
      <c r="S48" s="859"/>
      <c r="T48" s="859"/>
      <c r="U48" s="859"/>
      <c r="V48" s="859"/>
      <c r="W48" s="859"/>
      <c r="X48" s="859"/>
      <c r="Y48" s="859"/>
      <c r="Z48" s="859"/>
      <c r="AA48" s="859"/>
      <c r="AB48" s="859"/>
      <c r="AC48" s="859"/>
      <c r="AD48" s="859"/>
      <c r="AE48" s="859"/>
      <c r="AF48" s="859"/>
      <c r="AG48" s="859"/>
      <c r="AH48" s="859"/>
      <c r="AI48" s="859"/>
      <c r="AJ48" s="859"/>
      <c r="AK48" s="859"/>
      <c r="AL48" s="859"/>
      <c r="AM48" s="859"/>
      <c r="AN48" s="859"/>
      <c r="AO48" s="859"/>
      <c r="AP48" s="859"/>
      <c r="AQ48" s="860"/>
      <c r="AS48"/>
      <c r="AT48"/>
      <c r="AU48"/>
      <c r="AV48"/>
      <c r="AW48"/>
      <c r="AX48"/>
      <c r="AY48"/>
    </row>
    <row r="49" spans="3:51" ht="15.95" customHeight="1" x14ac:dyDescent="0.25">
      <c r="C49" s="858"/>
      <c r="D49" s="859"/>
      <c r="E49" s="859"/>
      <c r="F49" s="859"/>
      <c r="G49" s="859"/>
      <c r="H49" s="859"/>
      <c r="I49" s="859"/>
      <c r="J49" s="859"/>
      <c r="K49" s="859"/>
      <c r="L49" s="859"/>
      <c r="M49" s="859"/>
      <c r="N49" s="859"/>
      <c r="O49" s="859"/>
      <c r="P49" s="859"/>
      <c r="Q49" s="859"/>
      <c r="R49" s="859"/>
      <c r="S49" s="859"/>
      <c r="T49" s="859"/>
      <c r="U49" s="859"/>
      <c r="V49" s="859"/>
      <c r="W49" s="859"/>
      <c r="X49" s="859"/>
      <c r="Y49" s="859"/>
      <c r="Z49" s="859"/>
      <c r="AA49" s="859"/>
      <c r="AB49" s="859"/>
      <c r="AC49" s="859"/>
      <c r="AD49" s="859"/>
      <c r="AE49" s="859"/>
      <c r="AF49" s="859"/>
      <c r="AG49" s="859"/>
      <c r="AH49" s="859"/>
      <c r="AI49" s="859"/>
      <c r="AJ49" s="859"/>
      <c r="AK49" s="859"/>
      <c r="AL49" s="859"/>
      <c r="AM49" s="859"/>
      <c r="AN49" s="859"/>
      <c r="AO49" s="859"/>
      <c r="AP49" s="859"/>
      <c r="AQ49" s="860"/>
      <c r="AS49"/>
      <c r="AT49"/>
      <c r="AU49"/>
      <c r="AV49"/>
      <c r="AW49"/>
      <c r="AX49"/>
      <c r="AY49"/>
    </row>
    <row r="50" spans="3:51" ht="15.95" customHeight="1" thickBot="1" x14ac:dyDescent="0.3">
      <c r="C50" s="861"/>
      <c r="D50" s="862"/>
      <c r="E50" s="862"/>
      <c r="F50" s="862"/>
      <c r="G50" s="862"/>
      <c r="H50" s="862"/>
      <c r="I50" s="862"/>
      <c r="J50" s="862"/>
      <c r="K50" s="862"/>
      <c r="L50" s="862"/>
      <c r="M50" s="862"/>
      <c r="N50" s="862"/>
      <c r="O50" s="862"/>
      <c r="P50" s="862"/>
      <c r="Q50" s="862"/>
      <c r="R50" s="862"/>
      <c r="S50" s="862"/>
      <c r="T50" s="862"/>
      <c r="U50" s="862"/>
      <c r="V50" s="862"/>
      <c r="W50" s="862"/>
      <c r="X50" s="862"/>
      <c r="Y50" s="862"/>
      <c r="Z50" s="862"/>
      <c r="AA50" s="862"/>
      <c r="AB50" s="862"/>
      <c r="AC50" s="862"/>
      <c r="AD50" s="862"/>
      <c r="AE50" s="862"/>
      <c r="AF50" s="862"/>
      <c r="AG50" s="862"/>
      <c r="AH50" s="862"/>
      <c r="AI50" s="862"/>
      <c r="AJ50" s="862"/>
      <c r="AK50" s="862"/>
      <c r="AL50" s="862"/>
      <c r="AM50" s="862"/>
      <c r="AN50" s="862"/>
      <c r="AO50" s="862"/>
      <c r="AP50" s="862"/>
      <c r="AQ50" s="863"/>
      <c r="AS50"/>
      <c r="AT50"/>
      <c r="AU50"/>
      <c r="AV50"/>
      <c r="AW50"/>
      <c r="AX50"/>
      <c r="AY50"/>
    </row>
    <row r="51" spans="3:51" ht="15.95" customHeight="1" x14ac:dyDescent="0.25">
      <c r="C51" s="135"/>
      <c r="D51" s="135"/>
      <c r="E51" s="135"/>
      <c r="F51" s="135"/>
      <c r="G51" s="135"/>
      <c r="H51" s="135"/>
      <c r="I51" s="135"/>
      <c r="J51" s="135"/>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5"/>
      <c r="AN51" s="135"/>
      <c r="AO51" s="135"/>
      <c r="AP51" s="135"/>
      <c r="AQ51" s="135"/>
      <c r="AS51"/>
      <c r="AT51"/>
      <c r="AU51"/>
      <c r="AV51"/>
      <c r="AW51"/>
      <c r="AX51"/>
      <c r="AY51"/>
    </row>
    <row r="52" spans="3:51" ht="15.95" customHeight="1" x14ac:dyDescent="0.25">
      <c r="C52" s="483" t="s">
        <v>1708</v>
      </c>
      <c r="D52" s="135"/>
      <c r="E52" s="135"/>
      <c r="F52" s="135"/>
      <c r="G52" s="135"/>
      <c r="H52" s="135"/>
      <c r="I52" s="135"/>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c r="AO52" s="135"/>
      <c r="AP52" s="135"/>
      <c r="AQ52" s="135"/>
      <c r="AS52"/>
      <c r="AT52"/>
      <c r="AU52"/>
      <c r="AV52"/>
      <c r="AW52"/>
      <c r="AX52"/>
      <c r="AY52"/>
    </row>
    <row r="53" spans="3:51" ht="15.95" customHeight="1" x14ac:dyDescent="0.25">
      <c r="C53" s="135"/>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c r="AO53" s="135"/>
      <c r="AP53" s="135"/>
      <c r="AQ53" s="135"/>
      <c r="AS53"/>
      <c r="AT53"/>
      <c r="AU53"/>
      <c r="AV53"/>
      <c r="AW53"/>
      <c r="AX53"/>
      <c r="AY53"/>
    </row>
    <row r="54" spans="3:51" ht="15.95" customHeight="1" thickBot="1" x14ac:dyDescent="0.3">
      <c r="C54" s="912" t="s">
        <v>1709</v>
      </c>
      <c r="D54" s="912"/>
      <c r="E54" s="912"/>
      <c r="F54" s="912"/>
      <c r="G54" s="912"/>
      <c r="H54" s="912"/>
      <c r="I54" s="135"/>
      <c r="J54" s="912" t="s">
        <v>1710</v>
      </c>
      <c r="K54" s="912"/>
      <c r="L54" s="912"/>
      <c r="M54" s="912"/>
      <c r="N54" s="912"/>
      <c r="O54" s="912"/>
      <c r="P54" s="135"/>
      <c r="Q54" s="914" t="s">
        <v>1711</v>
      </c>
      <c r="R54" s="914"/>
      <c r="S54" s="914"/>
      <c r="T54" s="914"/>
      <c r="U54" s="914"/>
      <c r="V54" s="914"/>
      <c r="W54" s="135"/>
      <c r="X54" s="478" t="s">
        <v>1712</v>
      </c>
      <c r="Y54" s="478"/>
      <c r="Z54" s="478"/>
      <c r="AA54" s="478"/>
      <c r="AB54" s="478"/>
      <c r="AC54" s="478"/>
      <c r="AD54" s="135"/>
      <c r="AE54" s="912" t="s">
        <v>1713</v>
      </c>
      <c r="AF54" s="912"/>
      <c r="AG54" s="912"/>
      <c r="AH54" s="912"/>
      <c r="AI54" s="912"/>
      <c r="AJ54" s="912"/>
      <c r="AK54" s="135"/>
      <c r="AL54" s="912"/>
      <c r="AM54" s="912"/>
      <c r="AN54" s="912"/>
      <c r="AO54" s="912"/>
      <c r="AP54" s="912"/>
      <c r="AQ54" s="912"/>
      <c r="AS54"/>
      <c r="AT54"/>
      <c r="AU54"/>
      <c r="AV54"/>
      <c r="AW54"/>
      <c r="AX54"/>
      <c r="AY54"/>
    </row>
    <row r="55" spans="3:51" ht="15.95" customHeight="1" thickBot="1" x14ac:dyDescent="0.3">
      <c r="C55" s="825"/>
      <c r="D55" s="810"/>
      <c r="E55" s="810"/>
      <c r="F55" s="810"/>
      <c r="G55" s="810"/>
      <c r="H55" s="811"/>
      <c r="I55" s="135"/>
      <c r="J55" s="812"/>
      <c r="K55" s="813"/>
      <c r="L55" s="813"/>
      <c r="M55" s="813"/>
      <c r="N55" s="813"/>
      <c r="O55" s="814"/>
      <c r="P55" s="470"/>
      <c r="Q55" s="964"/>
      <c r="R55" s="965"/>
      <c r="S55" s="965"/>
      <c r="T55" s="965"/>
      <c r="U55" s="965"/>
      <c r="V55" s="966"/>
      <c r="W55" s="135"/>
      <c r="X55" s="825"/>
      <c r="Y55" s="810"/>
      <c r="Z55" s="810"/>
      <c r="AA55" s="810"/>
      <c r="AB55" s="810"/>
      <c r="AC55" s="811"/>
      <c r="AD55" s="135"/>
      <c r="AE55" s="826"/>
      <c r="AF55" s="827"/>
      <c r="AG55" s="827"/>
      <c r="AH55" s="827"/>
      <c r="AI55" s="827"/>
      <c r="AJ55" s="827"/>
      <c r="AK55" s="827"/>
      <c r="AL55" s="827"/>
      <c r="AM55" s="827"/>
      <c r="AN55" s="827"/>
      <c r="AO55" s="827"/>
      <c r="AP55" s="827"/>
      <c r="AQ55" s="828"/>
      <c r="AS55"/>
      <c r="AT55"/>
      <c r="AU55"/>
      <c r="AV55"/>
      <c r="AW55"/>
      <c r="AX55"/>
      <c r="AY55"/>
    </row>
    <row r="56" spans="3:51" ht="15.95" customHeight="1" x14ac:dyDescent="0.25">
      <c r="C56" s="135"/>
      <c r="D56" s="135"/>
      <c r="E56" s="135"/>
      <c r="F56" s="135"/>
      <c r="G56" s="135"/>
      <c r="H56" s="135"/>
      <c r="I56" s="135"/>
      <c r="J56" s="135"/>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c r="AI56" s="135"/>
      <c r="AJ56" s="135"/>
      <c r="AK56" s="135"/>
      <c r="AL56" s="135"/>
      <c r="AM56" s="135"/>
      <c r="AN56" s="135"/>
      <c r="AO56" s="135"/>
      <c r="AP56" s="135"/>
      <c r="AQ56" s="135"/>
      <c r="AS56"/>
      <c r="AT56"/>
      <c r="AU56"/>
      <c r="AV56"/>
      <c r="AW56"/>
      <c r="AX56"/>
      <c r="AY56"/>
    </row>
    <row r="57" spans="3:51" ht="15.95" customHeight="1" thickBot="1" x14ac:dyDescent="0.3">
      <c r="C57" s="912" t="s">
        <v>1882</v>
      </c>
      <c r="D57" s="912"/>
      <c r="E57" s="912"/>
      <c r="F57" s="912"/>
      <c r="G57" s="912"/>
      <c r="H57" s="912"/>
      <c r="I57" s="135"/>
      <c r="J57" s="912" t="s">
        <v>1714</v>
      </c>
      <c r="K57" s="912"/>
      <c r="L57" s="912"/>
      <c r="M57" s="912"/>
      <c r="N57" s="912"/>
      <c r="O57" s="912"/>
      <c r="P57" s="135"/>
      <c r="Q57" s="478" t="s">
        <v>1715</v>
      </c>
      <c r="R57" s="478"/>
      <c r="S57" s="478"/>
      <c r="T57" s="478"/>
      <c r="U57" s="478"/>
      <c r="V57" s="478"/>
      <c r="W57" s="135"/>
      <c r="X57" s="912" t="s">
        <v>1716</v>
      </c>
      <c r="Y57" s="912"/>
      <c r="Z57" s="912"/>
      <c r="AA57" s="912"/>
      <c r="AB57" s="912"/>
      <c r="AC57" s="912"/>
      <c r="AD57" s="135"/>
      <c r="AE57" s="478" t="s">
        <v>1717</v>
      </c>
      <c r="AF57" s="478"/>
      <c r="AG57" s="478"/>
      <c r="AH57" s="478"/>
      <c r="AI57" s="478"/>
      <c r="AJ57" s="478"/>
      <c r="AK57" s="135"/>
      <c r="AL57" s="478" t="s">
        <v>1718</v>
      </c>
      <c r="AM57" s="478"/>
      <c r="AN57" s="478"/>
      <c r="AO57" s="478"/>
      <c r="AP57" s="478"/>
      <c r="AQ57" s="478"/>
      <c r="AS57"/>
      <c r="AT57"/>
      <c r="AU57"/>
      <c r="AV57"/>
      <c r="AW57"/>
      <c r="AX57"/>
      <c r="AY57"/>
    </row>
    <row r="58" spans="3:51" ht="15.95" customHeight="1" thickBot="1" x14ac:dyDescent="0.3">
      <c r="C58" s="852"/>
      <c r="D58" s="853"/>
      <c r="E58" s="853"/>
      <c r="F58" s="853"/>
      <c r="G58" s="853"/>
      <c r="H58" s="854"/>
      <c r="I58" s="135"/>
      <c r="J58" s="852"/>
      <c r="K58" s="853"/>
      <c r="L58" s="853"/>
      <c r="M58" s="853"/>
      <c r="N58" s="853"/>
      <c r="O58" s="854"/>
      <c r="P58" s="470"/>
      <c r="Q58" s="980"/>
      <c r="R58" s="981"/>
      <c r="S58" s="981"/>
      <c r="T58" s="981"/>
      <c r="U58" s="981"/>
      <c r="V58" s="982"/>
      <c r="W58" s="135"/>
      <c r="X58" s="825"/>
      <c r="Y58" s="810"/>
      <c r="Z58" s="810"/>
      <c r="AA58" s="810"/>
      <c r="AB58" s="810"/>
      <c r="AC58" s="811"/>
      <c r="AD58" s="135"/>
      <c r="AE58" s="825"/>
      <c r="AF58" s="810"/>
      <c r="AG58" s="810"/>
      <c r="AH58" s="810"/>
      <c r="AI58" s="810"/>
      <c r="AJ58" s="811"/>
      <c r="AK58" s="135"/>
      <c r="AL58" s="825"/>
      <c r="AM58" s="810"/>
      <c r="AN58" s="810"/>
      <c r="AO58" s="810"/>
      <c r="AP58" s="810"/>
      <c r="AQ58" s="811"/>
      <c r="AS58"/>
      <c r="AT58"/>
      <c r="AU58"/>
      <c r="AV58"/>
      <c r="AW58"/>
      <c r="AX58"/>
      <c r="AY58"/>
    </row>
    <row r="59" spans="3:51" ht="15.95" customHeight="1" x14ac:dyDescent="0.25">
      <c r="C59" s="135"/>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5"/>
      <c r="AO59" s="135"/>
      <c r="AP59" s="135"/>
      <c r="AQ59" s="135"/>
      <c r="AS59"/>
      <c r="AT59"/>
      <c r="AU59"/>
      <c r="AV59"/>
      <c r="AW59"/>
      <c r="AX59"/>
      <c r="AY59"/>
    </row>
    <row r="60" spans="3:51" ht="15.95" customHeight="1" x14ac:dyDescent="0.25">
      <c r="C60" s="483" t="s">
        <v>1719</v>
      </c>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c r="AO60" s="135"/>
      <c r="AP60" s="135"/>
      <c r="AQ60" s="135"/>
      <c r="AS60"/>
      <c r="AT60"/>
      <c r="AU60"/>
      <c r="AV60"/>
      <c r="AW60"/>
      <c r="AX60"/>
      <c r="AY60"/>
    </row>
    <row r="61" spans="3:51" ht="15.95" customHeight="1" x14ac:dyDescent="0.25">
      <c r="C61" s="135"/>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35"/>
      <c r="AJ61" s="135"/>
      <c r="AK61" s="135"/>
      <c r="AL61" s="135"/>
      <c r="AM61" s="135"/>
      <c r="AN61" s="135"/>
      <c r="AO61" s="135"/>
      <c r="AP61" s="135"/>
      <c r="AQ61" s="135"/>
      <c r="AS61"/>
      <c r="AT61"/>
      <c r="AU61"/>
      <c r="AV61"/>
      <c r="AW61"/>
      <c r="AX61"/>
      <c r="AY61"/>
    </row>
    <row r="62" spans="3:51" ht="15.95" customHeight="1" thickBot="1" x14ac:dyDescent="0.3">
      <c r="C62" s="912" t="s">
        <v>1720</v>
      </c>
      <c r="D62" s="912"/>
      <c r="E62" s="912"/>
      <c r="F62" s="912"/>
      <c r="G62" s="912"/>
      <c r="H62" s="912"/>
      <c r="I62" s="135"/>
      <c r="J62" s="912" t="s">
        <v>1721</v>
      </c>
      <c r="K62" s="912"/>
      <c r="L62" s="912"/>
      <c r="M62" s="912"/>
      <c r="N62" s="912"/>
      <c r="O62" s="912"/>
      <c r="P62" s="135"/>
      <c r="Q62" s="912" t="s">
        <v>1722</v>
      </c>
      <c r="R62" s="912"/>
      <c r="S62" s="912"/>
      <c r="T62" s="912"/>
      <c r="U62" s="912"/>
      <c r="V62" s="912"/>
      <c r="W62" s="135"/>
      <c r="X62" s="478" t="s">
        <v>1723</v>
      </c>
      <c r="Y62" s="478"/>
      <c r="Z62" s="478"/>
      <c r="AA62" s="478"/>
      <c r="AB62" s="478"/>
      <c r="AC62" s="478"/>
      <c r="AD62" s="135"/>
      <c r="AE62" s="478" t="s">
        <v>1724</v>
      </c>
      <c r="AF62" s="478"/>
      <c r="AG62" s="478"/>
      <c r="AH62" s="478"/>
      <c r="AI62" s="478"/>
      <c r="AJ62" s="478"/>
      <c r="AK62" s="135"/>
      <c r="AL62" s="135"/>
      <c r="AM62" s="135"/>
      <c r="AN62" s="135"/>
      <c r="AO62" s="135"/>
      <c r="AP62" s="135"/>
      <c r="AQ62" s="135"/>
      <c r="AS62"/>
      <c r="AT62"/>
      <c r="AU62"/>
      <c r="AV62"/>
      <c r="AW62"/>
      <c r="AX62"/>
      <c r="AY62"/>
    </row>
    <row r="63" spans="3:51" ht="15.95" customHeight="1" thickBot="1" x14ac:dyDescent="0.3">
      <c r="C63" s="852"/>
      <c r="D63" s="853"/>
      <c r="E63" s="853"/>
      <c r="F63" s="853"/>
      <c r="G63" s="853"/>
      <c r="H63" s="854"/>
      <c r="I63" s="135"/>
      <c r="J63" s="852"/>
      <c r="K63" s="853"/>
      <c r="L63" s="853"/>
      <c r="M63" s="853"/>
      <c r="N63" s="853"/>
      <c r="O63" s="854"/>
      <c r="P63" s="470"/>
      <c r="Q63" s="938" t="str">
        <f>IF(OR(M03S01F13=0,M03S01F14=0),"",M03S01F13-M03S01F14)</f>
        <v/>
      </c>
      <c r="R63" s="939"/>
      <c r="S63" s="939"/>
      <c r="T63" s="939"/>
      <c r="U63" s="939"/>
      <c r="V63" s="940"/>
      <c r="W63" s="135"/>
      <c r="X63" s="957" t="str">
        <f>IF(OR(M03S01F13=0,M03S01F14=0),"",(M03S01F13-M03S01F14)/M03S01F13)</f>
        <v/>
      </c>
      <c r="Y63" s="958"/>
      <c r="Z63" s="958"/>
      <c r="AA63" s="958"/>
      <c r="AB63" s="958"/>
      <c r="AC63" s="959"/>
      <c r="AD63" s="135"/>
      <c r="AE63" s="960" t="str">
        <f>IF(OR(M03S01F13=0,M03S01F14=0),"",MIN(SUM(V68:AB70),50000))</f>
        <v/>
      </c>
      <c r="AF63" s="961"/>
      <c r="AG63" s="961"/>
      <c r="AH63" s="961"/>
      <c r="AI63" s="961"/>
      <c r="AJ63" s="962"/>
      <c r="AK63" s="135"/>
      <c r="AL63" s="963"/>
      <c r="AM63" s="963"/>
      <c r="AN63" s="963"/>
      <c r="AO63" s="963"/>
      <c r="AP63" s="963"/>
      <c r="AQ63" s="963"/>
      <c r="AS63"/>
      <c r="AT63"/>
      <c r="AU63"/>
      <c r="AV63"/>
      <c r="AW63"/>
      <c r="AX63"/>
      <c r="AY63"/>
    </row>
    <row r="64" spans="3:51" ht="15.95" customHeight="1" x14ac:dyDescent="0.25">
      <c r="C64" s="135"/>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5"/>
      <c r="AI64" s="135"/>
      <c r="AJ64" s="135"/>
      <c r="AK64" s="135"/>
      <c r="AL64" s="135"/>
      <c r="AM64" s="135"/>
      <c r="AN64" s="135"/>
      <c r="AO64" s="135"/>
      <c r="AP64" s="135"/>
      <c r="AQ64" s="135"/>
      <c r="AS64"/>
      <c r="AT64"/>
      <c r="AU64"/>
      <c r="AV64"/>
      <c r="AW64"/>
      <c r="AX64"/>
      <c r="AY64"/>
    </row>
    <row r="65" spans="3:78" ht="15.95" customHeight="1" x14ac:dyDescent="0.25">
      <c r="C65" s="483" t="s">
        <v>1725</v>
      </c>
      <c r="D65" s="135"/>
      <c r="E65" s="484"/>
      <c r="F65" s="135"/>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c r="AL65" s="135"/>
      <c r="AM65" s="135"/>
      <c r="AN65" s="135"/>
      <c r="AO65" s="135"/>
      <c r="AP65" s="135"/>
      <c r="AQ65" s="135"/>
      <c r="AS65"/>
      <c r="AT65"/>
      <c r="AU65"/>
      <c r="AV65"/>
      <c r="AW65"/>
      <c r="AX65"/>
      <c r="AY65"/>
    </row>
    <row r="66" spans="3:78" ht="15.95" customHeight="1" x14ac:dyDescent="0.25">
      <c r="C66" s="135"/>
      <c r="D66" s="135"/>
      <c r="E66" s="484"/>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5"/>
      <c r="AI66" s="135"/>
      <c r="AJ66" s="135"/>
      <c r="AK66" s="135"/>
      <c r="AL66" s="135"/>
      <c r="AM66" s="135"/>
      <c r="AN66" s="135"/>
      <c r="AO66" s="135"/>
      <c r="AP66" s="135"/>
      <c r="AQ66" s="135"/>
      <c r="AS66"/>
      <c r="AT66"/>
      <c r="AU66"/>
      <c r="AV66"/>
      <c r="AW66"/>
      <c r="AX66"/>
      <c r="AY66"/>
    </row>
    <row r="67" spans="3:78" ht="15.95" customHeight="1" x14ac:dyDescent="0.25">
      <c r="C67" s="135"/>
      <c r="D67" s="956" t="s">
        <v>1627</v>
      </c>
      <c r="E67" s="956"/>
      <c r="F67" s="956"/>
      <c r="G67" s="956"/>
      <c r="H67" s="956"/>
      <c r="I67" s="956"/>
      <c r="J67" s="956"/>
      <c r="K67" s="956"/>
      <c r="L67" s="956"/>
      <c r="M67" s="956" t="s">
        <v>1726</v>
      </c>
      <c r="N67" s="956"/>
      <c r="O67" s="956"/>
      <c r="P67" s="956"/>
      <c r="Q67" s="956"/>
      <c r="R67" s="956"/>
      <c r="S67" s="956"/>
      <c r="T67" s="956"/>
      <c r="U67" s="956"/>
      <c r="V67" s="956" t="s">
        <v>1786</v>
      </c>
      <c r="W67" s="956"/>
      <c r="X67" s="956"/>
      <c r="Y67" s="956"/>
      <c r="Z67" s="956"/>
      <c r="AA67" s="956"/>
      <c r="AB67" s="956"/>
      <c r="AC67" s="135"/>
      <c r="AD67" s="135"/>
      <c r="AE67" s="135"/>
      <c r="AF67" s="135"/>
      <c r="AG67" s="135"/>
      <c r="AH67" s="135"/>
      <c r="AI67" s="135"/>
      <c r="AJ67" s="135"/>
      <c r="AK67" s="135"/>
      <c r="AL67" s="135"/>
      <c r="AM67" s="135"/>
      <c r="AN67" s="135"/>
      <c r="AO67" s="135"/>
      <c r="AP67" s="135"/>
      <c r="AQ67" s="135"/>
      <c r="AS67"/>
      <c r="AT67"/>
      <c r="AU67"/>
      <c r="AV67"/>
      <c r="AW67"/>
      <c r="AX67"/>
      <c r="AY67"/>
    </row>
    <row r="68" spans="3:78" ht="15.95" customHeight="1" x14ac:dyDescent="0.25">
      <c r="C68" s="135"/>
      <c r="D68" s="953" t="s">
        <v>1878</v>
      </c>
      <c r="E68" s="953"/>
      <c r="F68" s="953"/>
      <c r="G68" s="953"/>
      <c r="H68" s="953"/>
      <c r="I68" s="953"/>
      <c r="J68" s="953"/>
      <c r="K68" s="953"/>
      <c r="L68" s="953"/>
      <c r="M68" s="954">
        <v>0.02</v>
      </c>
      <c r="N68" s="954"/>
      <c r="O68" s="954"/>
      <c r="P68" s="954"/>
      <c r="Q68" s="954"/>
      <c r="R68" s="954"/>
      <c r="S68" s="954"/>
      <c r="T68" s="954"/>
      <c r="U68" s="954"/>
      <c r="V68" s="955">
        <f>IFERROR(IF(X63&lt;0.1,0,IF(AND(X63&gt;0.1,X63&lt;0.2),(X63)*C63*M68,IF(AND(X63&gt;0.1,X63&gt;=0.2),0.2*C63*M68,0))),0)</f>
        <v>0</v>
      </c>
      <c r="W68" s="955"/>
      <c r="X68" s="955"/>
      <c r="Y68" s="955"/>
      <c r="Z68" s="955"/>
      <c r="AA68" s="955"/>
      <c r="AB68" s="955"/>
      <c r="AC68" s="135"/>
      <c r="AD68" s="135"/>
      <c r="AE68" s="135"/>
      <c r="AF68" s="135"/>
      <c r="AG68" s="135"/>
      <c r="AH68" s="135"/>
      <c r="AI68" s="135"/>
      <c r="AJ68" s="135"/>
      <c r="AK68" s="135"/>
      <c r="AL68" s="135"/>
      <c r="AM68" s="135"/>
      <c r="AN68" s="135"/>
      <c r="AO68" s="135"/>
      <c r="AP68" s="135"/>
      <c r="AQ68" s="135"/>
      <c r="AS68"/>
      <c r="AT68"/>
      <c r="AU68"/>
      <c r="AV68"/>
      <c r="AW68"/>
      <c r="AX68"/>
      <c r="AY68"/>
    </row>
    <row r="69" spans="3:78" ht="15.95" customHeight="1" x14ac:dyDescent="0.25">
      <c r="C69" s="135"/>
      <c r="D69" s="953" t="s">
        <v>1630</v>
      </c>
      <c r="E69" s="953"/>
      <c r="F69" s="953"/>
      <c r="G69" s="953"/>
      <c r="H69" s="953"/>
      <c r="I69" s="953"/>
      <c r="J69" s="953"/>
      <c r="K69" s="953"/>
      <c r="L69" s="953"/>
      <c r="M69" s="954">
        <v>0.03</v>
      </c>
      <c r="N69" s="954"/>
      <c r="O69" s="954"/>
      <c r="P69" s="954"/>
      <c r="Q69" s="954"/>
      <c r="R69" s="954"/>
      <c r="S69" s="954"/>
      <c r="T69" s="954"/>
      <c r="U69" s="954"/>
      <c r="V69" s="955">
        <f>IFERROR(IF(AND(X63&gt;=0.2,X63&lt;0.3),(X63-0.2)*C63*M69,IF(AND(X63&gt;=0.2,X63&gt;=0.3),0.1*C63*M69,0)),0)</f>
        <v>0</v>
      </c>
      <c r="W69" s="955"/>
      <c r="X69" s="955"/>
      <c r="Y69" s="955"/>
      <c r="Z69" s="955"/>
      <c r="AA69" s="955"/>
      <c r="AB69" s="955"/>
      <c r="AC69" s="135"/>
      <c r="AD69" s="135"/>
      <c r="AE69" s="135"/>
      <c r="AF69" s="135"/>
      <c r="AG69" s="135"/>
      <c r="AH69" s="135"/>
      <c r="AI69" s="135"/>
      <c r="AJ69" s="135"/>
      <c r="AK69" s="135"/>
      <c r="AL69" s="135"/>
      <c r="AM69" s="135"/>
      <c r="AN69" s="135"/>
      <c r="AO69" s="135"/>
      <c r="AP69" s="135"/>
      <c r="AQ69" s="135"/>
      <c r="AS69"/>
      <c r="AT69"/>
      <c r="AU69"/>
      <c r="AV69"/>
      <c r="AW69"/>
      <c r="AX69"/>
      <c r="AY69"/>
    </row>
    <row r="70" spans="3:78" ht="15.95" customHeight="1" x14ac:dyDescent="0.25">
      <c r="C70" s="135"/>
      <c r="D70" s="953" t="s">
        <v>1632</v>
      </c>
      <c r="E70" s="953"/>
      <c r="F70" s="953"/>
      <c r="G70" s="953"/>
      <c r="H70" s="953"/>
      <c r="I70" s="953"/>
      <c r="J70" s="953"/>
      <c r="K70" s="953"/>
      <c r="L70" s="953"/>
      <c r="M70" s="954">
        <v>0.04</v>
      </c>
      <c r="N70" s="954"/>
      <c r="O70" s="954"/>
      <c r="P70" s="954"/>
      <c r="Q70" s="954"/>
      <c r="R70" s="954"/>
      <c r="S70" s="954"/>
      <c r="T70" s="954"/>
      <c r="U70" s="954"/>
      <c r="V70" s="955">
        <f>IFERROR(IF(X63&gt;=0.3,(X63-0.3)*C63*M70,0),0)</f>
        <v>0</v>
      </c>
      <c r="W70" s="955"/>
      <c r="X70" s="955"/>
      <c r="Y70" s="955"/>
      <c r="Z70" s="955"/>
      <c r="AA70" s="955"/>
      <c r="AB70" s="955"/>
      <c r="AC70" s="135"/>
      <c r="AD70" s="135"/>
      <c r="AE70" s="135"/>
      <c r="AF70" s="135"/>
      <c r="AG70" s="135"/>
      <c r="AH70" s="135"/>
      <c r="AI70" s="135"/>
      <c r="AJ70" s="135"/>
      <c r="AK70" s="135"/>
      <c r="AL70" s="135"/>
      <c r="AM70" s="135"/>
      <c r="AN70" s="135"/>
      <c r="AO70" s="135"/>
      <c r="AP70" s="135"/>
      <c r="AQ70" s="135"/>
      <c r="AS70"/>
      <c r="AT70"/>
      <c r="AU70"/>
      <c r="AV70"/>
      <c r="AW70"/>
      <c r="AX70"/>
      <c r="AY70"/>
    </row>
    <row r="71" spans="3:78" ht="15.95" customHeight="1" x14ac:dyDescent="0.25">
      <c r="C71" s="135"/>
      <c r="D71" s="135"/>
      <c r="E71" s="135"/>
      <c r="F71" s="135"/>
      <c r="G71" s="135"/>
      <c r="H71" s="135"/>
      <c r="I71" s="135"/>
      <c r="J71" s="135"/>
      <c r="K71" s="135"/>
      <c r="L71" s="135"/>
      <c r="M71" s="135"/>
      <c r="N71" s="135"/>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c r="AO71" s="135"/>
      <c r="AP71" s="135"/>
      <c r="AQ71" s="135"/>
      <c r="AS71"/>
      <c r="AT71"/>
      <c r="AU71"/>
      <c r="AV71"/>
      <c r="AW71"/>
      <c r="AX71"/>
      <c r="AY71"/>
    </row>
    <row r="72" spans="3:78" ht="15.95" customHeight="1" x14ac:dyDescent="0.25">
      <c r="C72" s="63"/>
      <c r="D72" s="483" t="s">
        <v>1727</v>
      </c>
      <c r="E72" s="135"/>
      <c r="F72" s="135"/>
      <c r="G72" s="135"/>
      <c r="H72" s="135"/>
      <c r="I72" s="135"/>
      <c r="J72" s="135"/>
      <c r="K72" s="135"/>
      <c r="L72" s="135"/>
      <c r="M72" s="135"/>
      <c r="N72" s="135"/>
      <c r="O72" s="135"/>
      <c r="P72" s="135"/>
      <c r="Q72" s="135"/>
      <c r="R72" s="135"/>
      <c r="S72" s="135"/>
      <c r="T72" s="135"/>
      <c r="U72" s="135"/>
      <c r="V72" s="135"/>
      <c r="W72" s="135"/>
      <c r="X72" s="135"/>
      <c r="Y72" s="135"/>
      <c r="Z72" s="135"/>
      <c r="AA72" s="135"/>
      <c r="AB72" s="135"/>
      <c r="AC72" s="135"/>
      <c r="AD72" s="135"/>
      <c r="AE72" s="135"/>
      <c r="AF72" s="135"/>
      <c r="AG72" s="135"/>
      <c r="AH72" s="135"/>
      <c r="AI72" s="135"/>
      <c r="AJ72" s="135"/>
      <c r="AK72" s="135"/>
      <c r="AL72" s="135"/>
      <c r="AM72" s="135"/>
      <c r="AN72" s="135"/>
      <c r="AO72" s="135"/>
      <c r="AP72" s="135"/>
      <c r="AQ72" s="135"/>
      <c r="AS72"/>
      <c r="AT72"/>
      <c r="AU72"/>
    </row>
    <row r="73" spans="3:78" ht="15.95" customHeight="1" x14ac:dyDescent="0.25">
      <c r="C73" s="63"/>
      <c r="D73" s="484" t="s">
        <v>1728</v>
      </c>
      <c r="E73" s="135"/>
      <c r="F73" s="135"/>
      <c r="G73" s="135"/>
      <c r="H73" s="135"/>
      <c r="I73" s="135"/>
      <c r="J73" s="135"/>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M73" s="135"/>
      <c r="AN73" s="135"/>
      <c r="AO73" s="135"/>
      <c r="AP73" s="135"/>
      <c r="AQ73" s="135"/>
      <c r="AS73"/>
      <c r="AT73"/>
      <c r="AU73"/>
    </row>
    <row r="74" spans="3:78" ht="15.95" customHeight="1" x14ac:dyDescent="0.25">
      <c r="C74" s="63"/>
      <c r="D74" s="479" t="s">
        <v>1518</v>
      </c>
      <c r="E74" s="484" t="s">
        <v>1729</v>
      </c>
      <c r="F74" s="135"/>
      <c r="G74" s="135"/>
      <c r="H74" s="135"/>
      <c r="I74" s="135"/>
      <c r="J74" s="135"/>
      <c r="K74" s="135"/>
      <c r="L74" s="135"/>
      <c r="M74" s="135"/>
      <c r="N74" s="135"/>
      <c r="O74" s="135"/>
      <c r="P74" s="135"/>
      <c r="Q74" s="135"/>
      <c r="R74" s="135"/>
      <c r="S74" s="135"/>
      <c r="T74" s="135"/>
      <c r="U74" s="135"/>
      <c r="V74" s="135"/>
      <c r="W74" s="135"/>
      <c r="X74" s="135"/>
      <c r="Y74" s="135"/>
      <c r="Z74" s="135"/>
      <c r="AA74" s="135"/>
      <c r="AB74" s="135"/>
      <c r="AC74" s="135"/>
      <c r="AD74" s="135"/>
      <c r="AE74" s="135"/>
      <c r="AF74" s="135"/>
      <c r="AG74" s="135"/>
      <c r="AH74" s="135"/>
      <c r="AI74" s="135"/>
      <c r="AJ74" s="135"/>
      <c r="AK74" s="135"/>
      <c r="AL74" s="135"/>
      <c r="AM74" s="135"/>
      <c r="AN74" s="135"/>
      <c r="AO74" s="135"/>
      <c r="AP74" s="135"/>
      <c r="AQ74" s="135"/>
      <c r="AS74"/>
      <c r="AT74"/>
      <c r="AU74"/>
    </row>
    <row r="75" spans="3:78" ht="15.95" customHeight="1" x14ac:dyDescent="0.25">
      <c r="C75" s="63"/>
      <c r="D75" s="479" t="s">
        <v>1518</v>
      </c>
      <c r="E75" s="484" t="s">
        <v>1730</v>
      </c>
      <c r="F75" s="135"/>
      <c r="G75" s="135"/>
      <c r="H75" s="135"/>
      <c r="I75" s="135"/>
      <c r="J75" s="135"/>
      <c r="K75" s="135"/>
      <c r="L75" s="135"/>
      <c r="M75" s="135"/>
      <c r="N75" s="135"/>
      <c r="O75" s="135"/>
      <c r="P75" s="135"/>
      <c r="Q75" s="135"/>
      <c r="R75" s="135"/>
      <c r="S75" s="135"/>
      <c r="T75" s="135"/>
      <c r="U75" s="135"/>
      <c r="V75" s="135"/>
      <c r="W75" s="135"/>
      <c r="X75" s="135"/>
      <c r="Y75" s="135"/>
      <c r="Z75" s="135"/>
      <c r="AA75" s="135"/>
      <c r="AB75" s="135"/>
      <c r="AC75" s="135"/>
      <c r="AD75" s="135"/>
      <c r="AE75" s="135"/>
      <c r="AF75" s="135"/>
      <c r="AG75" s="135"/>
      <c r="AH75" s="135"/>
      <c r="AI75" s="135"/>
      <c r="AJ75" s="135"/>
      <c r="AK75" s="135"/>
      <c r="AL75" s="135"/>
      <c r="AM75" s="135"/>
      <c r="AN75" s="135"/>
      <c r="AO75" s="135"/>
      <c r="AP75" s="135"/>
      <c r="AQ75" s="135"/>
      <c r="AS75"/>
      <c r="AT75"/>
      <c r="AU75"/>
    </row>
    <row r="76" spans="3:78" ht="15.95" customHeight="1" x14ac:dyDescent="0.25">
      <c r="C76" s="63"/>
      <c r="D76" s="479" t="s">
        <v>1518</v>
      </c>
      <c r="E76" s="484" t="s">
        <v>1731</v>
      </c>
      <c r="F76" s="135"/>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c r="AO76" s="135"/>
      <c r="AP76" s="135"/>
      <c r="AQ76" s="135"/>
      <c r="AS76"/>
      <c r="AT76"/>
      <c r="AU76"/>
    </row>
    <row r="77" spans="3:78" ht="15.95" customHeight="1" x14ac:dyDescent="0.25">
      <c r="C77" s="63"/>
      <c r="D77" s="479" t="s">
        <v>1518</v>
      </c>
      <c r="E77" s="484" t="s">
        <v>1732</v>
      </c>
      <c r="F77" s="135"/>
      <c r="G77" s="135"/>
      <c r="H77" s="135"/>
      <c r="I77" s="135"/>
      <c r="J77" s="135"/>
      <c r="K77" s="135"/>
      <c r="L77" s="135"/>
      <c r="M77" s="135"/>
      <c r="N77" s="135"/>
      <c r="O77" s="135"/>
      <c r="P77" s="135"/>
      <c r="Q77" s="135"/>
      <c r="R77" s="135"/>
      <c r="S77" s="135"/>
      <c r="T77" s="135"/>
      <c r="U77" s="135"/>
      <c r="V77" s="135"/>
      <c r="W77" s="135"/>
      <c r="X77" s="135"/>
      <c r="Y77" s="135"/>
      <c r="Z77" s="135"/>
      <c r="AA77" s="135"/>
      <c r="AB77" s="135"/>
      <c r="AC77" s="135"/>
      <c r="AD77" s="135"/>
      <c r="AE77" s="135"/>
      <c r="AF77" s="135"/>
      <c r="AG77" s="135"/>
      <c r="AH77" s="135"/>
      <c r="AI77" s="135"/>
      <c r="AJ77" s="135"/>
      <c r="AK77" s="135"/>
      <c r="AL77" s="135"/>
      <c r="AM77" s="135"/>
      <c r="AN77" s="135"/>
      <c r="AO77" s="135"/>
      <c r="AP77" s="135"/>
      <c r="AQ77" s="135"/>
      <c r="AS77"/>
      <c r="AT77"/>
      <c r="AU77"/>
    </row>
    <row r="78" spans="3:78" ht="15.95" customHeight="1" x14ac:dyDescent="0.25">
      <c r="C78" s="135"/>
      <c r="D78" s="479" t="s">
        <v>1518</v>
      </c>
      <c r="E78" s="484" t="s">
        <v>1733</v>
      </c>
      <c r="F78" s="485"/>
      <c r="G78" s="135"/>
      <c r="H78" s="135"/>
      <c r="I78" s="135"/>
      <c r="J78" s="135"/>
      <c r="K78" s="135"/>
      <c r="L78" s="485"/>
      <c r="M78" s="135"/>
      <c r="N78" s="135"/>
      <c r="O78" s="135"/>
      <c r="P78" s="135"/>
      <c r="Q78" s="135"/>
      <c r="R78" s="135"/>
      <c r="S78" s="135"/>
      <c r="T78" s="135"/>
      <c r="U78" s="135"/>
      <c r="V78" s="135"/>
      <c r="W78" s="135"/>
      <c r="X78" s="485"/>
      <c r="Y78" s="135"/>
      <c r="Z78" s="135"/>
      <c r="AA78" s="135"/>
      <c r="AB78" s="135"/>
      <c r="AC78" s="135"/>
      <c r="AD78" s="135"/>
      <c r="AE78" s="135"/>
      <c r="AF78" s="135"/>
      <c r="AG78" s="135"/>
      <c r="AH78" s="135"/>
      <c r="AI78" s="135"/>
      <c r="AJ78" s="135"/>
      <c r="AK78" s="135"/>
      <c r="AL78" s="135"/>
      <c r="AM78" s="135"/>
      <c r="AN78" s="135"/>
      <c r="AO78" s="135"/>
      <c r="AP78" s="135"/>
      <c r="AQ78" s="135"/>
      <c r="AS78"/>
      <c r="AT78"/>
      <c r="AU78"/>
    </row>
    <row r="79" spans="3:78" s="63" customFormat="1" ht="15.95" customHeight="1" x14ac:dyDescent="0.25">
      <c r="C79" s="135"/>
      <c r="D79" s="479"/>
      <c r="E79" s="484"/>
      <c r="F79" s="485"/>
      <c r="G79" s="135"/>
      <c r="H79" s="135"/>
      <c r="I79" s="135"/>
      <c r="J79" s="135"/>
      <c r="K79" s="135"/>
      <c r="L79" s="485"/>
      <c r="M79" s="135"/>
      <c r="N79" s="135"/>
      <c r="O79" s="135"/>
      <c r="P79" s="135"/>
      <c r="Q79" s="135"/>
      <c r="R79" s="135"/>
      <c r="S79" s="135"/>
      <c r="T79" s="135"/>
      <c r="U79" s="135"/>
      <c r="V79" s="135"/>
      <c r="W79" s="135"/>
      <c r="X79" s="485"/>
      <c r="Y79" s="135"/>
      <c r="Z79" s="135"/>
      <c r="AA79" s="135"/>
      <c r="AB79" s="135"/>
      <c r="AC79" s="135"/>
      <c r="AD79" s="135"/>
      <c r="AE79" s="135"/>
      <c r="AF79" s="135"/>
      <c r="AG79" s="135"/>
      <c r="AH79" s="135"/>
      <c r="AI79" s="135"/>
      <c r="AJ79" s="135"/>
      <c r="AK79" s="135"/>
      <c r="AL79" s="135"/>
      <c r="AM79" s="135"/>
      <c r="AN79" s="135"/>
      <c r="AO79" s="135"/>
      <c r="AP79" s="135"/>
      <c r="AQ79" s="13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row>
    <row r="80" spans="3:78" s="63" customFormat="1" ht="15.95" hidden="1" customHeight="1" x14ac:dyDescent="0.25">
      <c r="C80" s="135"/>
      <c r="D80" s="479"/>
      <c r="E80" s="484"/>
      <c r="F80" s="485"/>
      <c r="G80" s="135"/>
      <c r="H80" s="135"/>
      <c r="I80" s="135"/>
      <c r="J80" s="135"/>
      <c r="K80" s="135"/>
      <c r="L80" s="485"/>
      <c r="M80" s="135"/>
      <c r="N80" s="135"/>
      <c r="O80" s="135"/>
      <c r="P80" s="135"/>
      <c r="Q80" s="135"/>
      <c r="R80" s="135"/>
      <c r="S80" s="135"/>
      <c r="T80" s="135"/>
      <c r="U80" s="135"/>
      <c r="V80" s="135"/>
      <c r="W80" s="135"/>
      <c r="X80" s="485"/>
      <c r="Y80" s="135"/>
      <c r="Z80" s="135"/>
      <c r="AA80" s="135"/>
      <c r="AB80" s="135"/>
      <c r="AC80" s="135"/>
      <c r="AD80" s="135"/>
      <c r="AE80" s="135"/>
      <c r="AF80" s="135"/>
      <c r="AG80" s="135"/>
      <c r="AH80" s="135"/>
      <c r="AI80" s="135"/>
      <c r="AJ80" s="135"/>
      <c r="AK80" s="135"/>
      <c r="AL80" s="135"/>
      <c r="AM80" s="135"/>
      <c r="AN80" s="135"/>
      <c r="AO80" s="135"/>
      <c r="AP80" s="135"/>
      <c r="AQ80" s="13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row>
    <row r="81" spans="3:78" s="63" customFormat="1" ht="15.95" hidden="1" customHeight="1" x14ac:dyDescent="0.25">
      <c r="C81" s="135"/>
      <c r="D81" s="479"/>
      <c r="E81" s="484"/>
      <c r="F81" s="485"/>
      <c r="G81" s="135"/>
      <c r="H81" s="135"/>
      <c r="I81" s="135"/>
      <c r="J81" s="135"/>
      <c r="K81" s="135"/>
      <c r="L81" s="485"/>
      <c r="M81" s="135"/>
      <c r="N81" s="135"/>
      <c r="O81" s="135"/>
      <c r="P81" s="135"/>
      <c r="Q81" s="135"/>
      <c r="R81" s="135"/>
      <c r="S81" s="135"/>
      <c r="T81" s="135"/>
      <c r="U81" s="135"/>
      <c r="V81" s="135"/>
      <c r="W81" s="135"/>
      <c r="X81" s="485"/>
      <c r="Y81" s="135"/>
      <c r="Z81" s="135"/>
      <c r="AA81" s="135"/>
      <c r="AB81" s="135"/>
      <c r="AC81" s="135"/>
      <c r="AD81" s="135"/>
      <c r="AE81" s="135"/>
      <c r="AF81" s="135"/>
      <c r="AG81" s="135"/>
      <c r="AH81" s="135"/>
      <c r="AI81" s="135"/>
      <c r="AJ81" s="135"/>
      <c r="AK81" s="135"/>
      <c r="AL81" s="135"/>
      <c r="AM81" s="135"/>
      <c r="AN81" s="135"/>
      <c r="AO81" s="135"/>
      <c r="AP81" s="135"/>
      <c r="AQ81" s="13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row>
    <row r="82" spans="3:78" s="63" customFormat="1" ht="15.95" hidden="1" customHeight="1" x14ac:dyDescent="0.25">
      <c r="C82" s="135"/>
      <c r="D82" s="479"/>
      <c r="E82" s="484"/>
      <c r="F82" s="485"/>
      <c r="G82" s="135"/>
      <c r="H82" s="135"/>
      <c r="I82" s="135"/>
      <c r="J82" s="135"/>
      <c r="K82" s="135"/>
      <c r="L82" s="485"/>
      <c r="M82" s="135"/>
      <c r="N82" s="135"/>
      <c r="O82" s="135"/>
      <c r="P82" s="135"/>
      <c r="Q82" s="135"/>
      <c r="R82" s="135"/>
      <c r="S82" s="135"/>
      <c r="T82" s="135"/>
      <c r="U82" s="135"/>
      <c r="V82" s="135"/>
      <c r="W82" s="135"/>
      <c r="X82" s="485"/>
      <c r="Y82" s="135"/>
      <c r="Z82" s="135"/>
      <c r="AA82" s="135"/>
      <c r="AB82" s="135"/>
      <c r="AC82" s="135"/>
      <c r="AD82" s="135"/>
      <c r="AE82" s="135"/>
      <c r="AF82" s="135"/>
      <c r="AG82" s="135"/>
      <c r="AH82" s="135"/>
      <c r="AI82" s="135"/>
      <c r="AJ82" s="135"/>
      <c r="AK82" s="135"/>
      <c r="AL82" s="135"/>
      <c r="AM82" s="135"/>
      <c r="AN82" s="135"/>
      <c r="AO82" s="135"/>
      <c r="AP82" s="135"/>
      <c r="AQ82" s="13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row>
    <row r="83" spans="3:78" ht="15.95" hidden="1" customHeight="1" x14ac:dyDescent="0.25">
      <c r="AS83"/>
      <c r="AT83"/>
      <c r="AU83"/>
    </row>
    <row r="84" spans="3:78" ht="15.95" hidden="1" customHeight="1" x14ac:dyDescent="0.25">
      <c r="AS84"/>
      <c r="AT84"/>
      <c r="AU84"/>
    </row>
    <row r="85" spans="3:78" ht="15.95" hidden="1" customHeight="1" x14ac:dyDescent="0.25">
      <c r="AS85"/>
      <c r="AT85"/>
      <c r="AU85"/>
    </row>
    <row r="86" spans="3:78" ht="15.95" hidden="1" customHeight="1" x14ac:dyDescent="0.25">
      <c r="AS86"/>
      <c r="AT86"/>
      <c r="AU86"/>
    </row>
    <row r="87" spans="3:78" ht="15.95" hidden="1" customHeight="1" x14ac:dyDescent="0.25">
      <c r="AS87"/>
      <c r="AT87"/>
      <c r="AU87"/>
    </row>
    <row r="88" spans="3:78" ht="15.95" hidden="1" customHeight="1" x14ac:dyDescent="0.25">
      <c r="AS88"/>
      <c r="AT88"/>
      <c r="AU88"/>
    </row>
    <row r="89" spans="3:78" ht="15.95" hidden="1" customHeight="1" x14ac:dyDescent="0.25">
      <c r="AS89"/>
      <c r="AT89"/>
      <c r="AU89"/>
    </row>
    <row r="90" spans="3:78" ht="15.95" hidden="1" customHeight="1" x14ac:dyDescent="0.25">
      <c r="AS90"/>
      <c r="AT90"/>
      <c r="AU90"/>
    </row>
    <row r="91" spans="3:78" ht="15.95" hidden="1" customHeight="1" x14ac:dyDescent="0.25">
      <c r="AS91"/>
      <c r="AT91"/>
      <c r="AU91"/>
    </row>
    <row r="92" spans="3:78" ht="15.95" hidden="1" customHeight="1" x14ac:dyDescent="0.25">
      <c r="AS92"/>
      <c r="AT92"/>
      <c r="AU92"/>
    </row>
    <row r="93" spans="3:78" ht="15.95" hidden="1" customHeight="1" x14ac:dyDescent="0.25">
      <c r="AS93"/>
      <c r="AT93"/>
      <c r="AU93"/>
    </row>
    <row r="94" spans="3:78" ht="15.95" hidden="1" customHeight="1" x14ac:dyDescent="0.25">
      <c r="AS94"/>
      <c r="AT94"/>
      <c r="AU94"/>
    </row>
    <row r="95" spans="3:78" ht="15.95" hidden="1" customHeight="1" x14ac:dyDescent="0.25">
      <c r="AS95"/>
      <c r="AT95"/>
      <c r="AU95"/>
    </row>
    <row r="96" spans="3:78" ht="15.95" hidden="1" customHeight="1" x14ac:dyDescent="0.25">
      <c r="AS96"/>
      <c r="AT96"/>
      <c r="AU96"/>
    </row>
    <row r="97" spans="45:47" ht="15.95" hidden="1" customHeight="1" x14ac:dyDescent="0.25">
      <c r="AS97"/>
      <c r="AT97"/>
      <c r="AU97"/>
    </row>
    <row r="98" spans="45:47" ht="15.95" hidden="1" customHeight="1" x14ac:dyDescent="0.25">
      <c r="AS98"/>
      <c r="AT98"/>
      <c r="AU98"/>
    </row>
    <row r="99" spans="45:47" ht="15.95" hidden="1" customHeight="1" x14ac:dyDescent="0.25">
      <c r="AS99"/>
      <c r="AT99"/>
      <c r="AU99"/>
    </row>
    <row r="100" spans="45:47" ht="15.95" hidden="1" customHeight="1" x14ac:dyDescent="0.25">
      <c r="AS100"/>
      <c r="AT100"/>
      <c r="AU100"/>
    </row>
    <row r="101" spans="45:47" ht="15.95" hidden="1" customHeight="1" x14ac:dyDescent="0.25">
      <c r="AS101"/>
      <c r="AT101"/>
      <c r="AU101"/>
    </row>
    <row r="102" spans="45:47" ht="15.95" hidden="1" customHeight="1" x14ac:dyDescent="0.25">
      <c r="AS102"/>
      <c r="AT102"/>
      <c r="AU102"/>
    </row>
    <row r="103" spans="45:47" ht="15.95" hidden="1" customHeight="1" x14ac:dyDescent="0.25">
      <c r="AS103"/>
      <c r="AT103"/>
      <c r="AU103"/>
    </row>
    <row r="104" spans="45:47" ht="15.95" hidden="1" customHeight="1" x14ac:dyDescent="0.25">
      <c r="AS104"/>
      <c r="AT104"/>
      <c r="AU104"/>
    </row>
    <row r="105" spans="45:47" ht="15.95" hidden="1" customHeight="1" x14ac:dyDescent="0.25">
      <c r="AS105"/>
      <c r="AT105"/>
      <c r="AU105"/>
    </row>
    <row r="106" spans="45:47" ht="15.95" hidden="1" customHeight="1" x14ac:dyDescent="0.25">
      <c r="AS106"/>
      <c r="AT106"/>
      <c r="AU106"/>
    </row>
    <row r="107" spans="45:47" ht="15.95" hidden="1" customHeight="1" x14ac:dyDescent="0.25">
      <c r="AS107"/>
      <c r="AT107"/>
      <c r="AU107"/>
    </row>
    <row r="108" spans="45:47" ht="15.95" hidden="1" customHeight="1" x14ac:dyDescent="0.25">
      <c r="AS108"/>
      <c r="AT108"/>
      <c r="AU108"/>
    </row>
    <row r="109" spans="45:47" ht="15.95" hidden="1" customHeight="1" x14ac:dyDescent="0.25">
      <c r="AS109"/>
      <c r="AT109"/>
      <c r="AU109"/>
    </row>
    <row r="110" spans="45:47" ht="15.95" hidden="1" customHeight="1" x14ac:dyDescent="0.25">
      <c r="AS110"/>
      <c r="AT110"/>
      <c r="AU110"/>
    </row>
    <row r="111" spans="45:47" ht="15.95" hidden="1" customHeight="1" x14ac:dyDescent="0.25">
      <c r="AS111"/>
      <c r="AT111"/>
      <c r="AU111"/>
    </row>
    <row r="112" spans="45:47" ht="15.95" hidden="1" customHeight="1" x14ac:dyDescent="0.25">
      <c r="AS112"/>
      <c r="AT112"/>
      <c r="AU112"/>
    </row>
    <row r="113" spans="45:47" ht="15.95" hidden="1" customHeight="1" x14ac:dyDescent="0.25">
      <c r="AS113"/>
      <c r="AT113"/>
      <c r="AU113"/>
    </row>
    <row r="114" spans="45:47" ht="15.95" hidden="1" customHeight="1" x14ac:dyDescent="0.25">
      <c r="AS114"/>
      <c r="AT114"/>
      <c r="AU114"/>
    </row>
    <row r="115" spans="45:47" ht="15.95" hidden="1" customHeight="1" x14ac:dyDescent="0.25">
      <c r="AS115"/>
      <c r="AT115"/>
      <c r="AU115"/>
    </row>
    <row r="116" spans="45:47" ht="15.95" hidden="1" customHeight="1" x14ac:dyDescent="0.25">
      <c r="AS116"/>
      <c r="AT116"/>
      <c r="AU116"/>
    </row>
    <row r="117" spans="45:47" ht="15.95" hidden="1" customHeight="1" x14ac:dyDescent="0.25">
      <c r="AS117"/>
      <c r="AT117"/>
      <c r="AU117"/>
    </row>
    <row r="118" spans="45:47" ht="15.95" hidden="1" customHeight="1" x14ac:dyDescent="0.25">
      <c r="AS118"/>
      <c r="AT118"/>
      <c r="AU118"/>
    </row>
    <row r="119" spans="45:47" ht="15.95" hidden="1" customHeight="1" x14ac:dyDescent="0.25">
      <c r="AS119"/>
      <c r="AT119"/>
      <c r="AU119"/>
    </row>
    <row r="120" spans="45:47" ht="15.95" hidden="1" customHeight="1" x14ac:dyDescent="0.25">
      <c r="AS120"/>
      <c r="AT120"/>
      <c r="AU120"/>
    </row>
    <row r="121" spans="45:47" ht="15.95" hidden="1" customHeight="1" x14ac:dyDescent="0.25">
      <c r="AS121"/>
      <c r="AT121"/>
      <c r="AU121"/>
    </row>
    <row r="122" spans="45:47" ht="15.95" hidden="1" customHeight="1" x14ac:dyDescent="0.25">
      <c r="AS122"/>
      <c r="AT122"/>
      <c r="AU122"/>
    </row>
    <row r="123" spans="45:47" ht="15.95" hidden="1" customHeight="1" x14ac:dyDescent="0.25">
      <c r="AS123"/>
      <c r="AT123"/>
      <c r="AU123"/>
    </row>
    <row r="124" spans="45:47" ht="15.95" hidden="1" customHeight="1" x14ac:dyDescent="0.25">
      <c r="AS124"/>
      <c r="AT124"/>
      <c r="AU124"/>
    </row>
    <row r="125" spans="45:47" ht="15.95" hidden="1" customHeight="1" x14ac:dyDescent="0.25">
      <c r="AS125"/>
      <c r="AT125"/>
      <c r="AU125"/>
    </row>
    <row r="126" spans="45:47" ht="15.95" hidden="1" customHeight="1" x14ac:dyDescent="0.25">
      <c r="AS126"/>
      <c r="AT126"/>
      <c r="AU126"/>
    </row>
    <row r="127" spans="45:47" ht="15.95" hidden="1" customHeight="1" x14ac:dyDescent="0.25">
      <c r="AS127"/>
      <c r="AT127"/>
      <c r="AU127"/>
    </row>
    <row r="128" spans="45:47" ht="15.95" hidden="1" customHeight="1" x14ac:dyDescent="0.25">
      <c r="AS128"/>
      <c r="AT128"/>
      <c r="AU128"/>
    </row>
    <row r="129" spans="45:47" ht="15.95" hidden="1" customHeight="1" x14ac:dyDescent="0.25">
      <c r="AS129"/>
      <c r="AT129"/>
      <c r="AU129"/>
    </row>
    <row r="130" spans="45:47" ht="15.95" hidden="1" customHeight="1" x14ac:dyDescent="0.25">
      <c r="AS130"/>
      <c r="AT130"/>
      <c r="AU130"/>
    </row>
    <row r="131" spans="45:47" ht="15.95" hidden="1" customHeight="1" x14ac:dyDescent="0.25">
      <c r="AS131"/>
      <c r="AT131"/>
      <c r="AU131"/>
    </row>
    <row r="132" spans="45:47" ht="15.95" hidden="1" customHeight="1" x14ac:dyDescent="0.25">
      <c r="AS132"/>
      <c r="AT132"/>
      <c r="AU132"/>
    </row>
    <row r="133" spans="45:47" ht="15.95" hidden="1" customHeight="1" x14ac:dyDescent="0.25">
      <c r="AS133"/>
      <c r="AT133"/>
      <c r="AU133"/>
    </row>
    <row r="134" spans="45:47" ht="15.95" hidden="1" customHeight="1" x14ac:dyDescent="0.25">
      <c r="AS134"/>
      <c r="AT134"/>
      <c r="AU134"/>
    </row>
    <row r="135" spans="45:47" ht="15.95" hidden="1" customHeight="1" x14ac:dyDescent="0.25">
      <c r="AS135"/>
      <c r="AT135"/>
      <c r="AU135"/>
    </row>
    <row r="136" spans="45:47" ht="15.95" hidden="1" customHeight="1" x14ac:dyDescent="0.25">
      <c r="AS136"/>
      <c r="AT136"/>
      <c r="AU136"/>
    </row>
    <row r="137" spans="45:47" ht="15.95" hidden="1" customHeight="1" x14ac:dyDescent="0.25">
      <c r="AS137"/>
      <c r="AT137"/>
      <c r="AU137"/>
    </row>
    <row r="138" spans="45:47" ht="15.95" hidden="1" customHeight="1" x14ac:dyDescent="0.25">
      <c r="AS138"/>
      <c r="AT138"/>
      <c r="AU138"/>
    </row>
    <row r="139" spans="45:47" ht="15.95" hidden="1" customHeight="1" x14ac:dyDescent="0.25">
      <c r="AS139"/>
      <c r="AT139"/>
      <c r="AU139"/>
    </row>
    <row r="140" spans="45:47" ht="15.95" hidden="1" customHeight="1" x14ac:dyDescent="0.25">
      <c r="AS140"/>
      <c r="AT140"/>
      <c r="AU140"/>
    </row>
    <row r="141" spans="45:47" ht="15.95" hidden="1" customHeight="1" x14ac:dyDescent="0.25">
      <c r="AS141"/>
      <c r="AT141"/>
      <c r="AU141"/>
    </row>
    <row r="142" spans="45:47" ht="15.95" hidden="1" customHeight="1" x14ac:dyDescent="0.25">
      <c r="AS142"/>
      <c r="AT142"/>
      <c r="AU142"/>
    </row>
    <row r="143" spans="45:47" ht="15.95" hidden="1" customHeight="1" x14ac:dyDescent="0.25">
      <c r="AS143"/>
      <c r="AT143"/>
      <c r="AU143"/>
    </row>
    <row r="144" spans="45:47" ht="15.95" hidden="1" customHeight="1" x14ac:dyDescent="0.25">
      <c r="AS144"/>
      <c r="AT144"/>
      <c r="AU144"/>
    </row>
    <row r="145" spans="45:47" ht="15.95" hidden="1" customHeight="1" x14ac:dyDescent="0.25">
      <c r="AS145"/>
      <c r="AT145"/>
      <c r="AU145"/>
    </row>
    <row r="146" spans="45:47" ht="15.95" hidden="1" customHeight="1" x14ac:dyDescent="0.25">
      <c r="AS146"/>
      <c r="AT146"/>
      <c r="AU146"/>
    </row>
    <row r="147" spans="45:47" ht="15.95" hidden="1" customHeight="1" x14ac:dyDescent="0.25">
      <c r="AS147"/>
      <c r="AT147"/>
      <c r="AU147"/>
    </row>
    <row r="148" spans="45:47" ht="15.95" hidden="1" customHeight="1" x14ac:dyDescent="0.25">
      <c r="AS148"/>
      <c r="AT148"/>
      <c r="AU148"/>
    </row>
    <row r="149" spans="45:47" ht="15.95" hidden="1" customHeight="1" x14ac:dyDescent="0.25">
      <c r="AS149"/>
      <c r="AT149"/>
      <c r="AU149"/>
    </row>
    <row r="150" spans="45:47" ht="15.95" hidden="1" customHeight="1" x14ac:dyDescent="0.25">
      <c r="AS150"/>
      <c r="AT150"/>
      <c r="AU150"/>
    </row>
    <row r="151" spans="45:47" ht="15.95" hidden="1" customHeight="1" x14ac:dyDescent="0.25">
      <c r="AS151"/>
      <c r="AT151"/>
      <c r="AU151"/>
    </row>
    <row r="152" spans="45:47" ht="15.95" hidden="1" customHeight="1" x14ac:dyDescent="0.25">
      <c r="AS152"/>
      <c r="AT152"/>
      <c r="AU152"/>
    </row>
    <row r="153" spans="45:47" ht="15.95" hidden="1" customHeight="1" x14ac:dyDescent="0.25">
      <c r="AS153"/>
      <c r="AT153"/>
      <c r="AU153"/>
    </row>
    <row r="154" spans="45:47" ht="15.95" hidden="1" customHeight="1" x14ac:dyDescent="0.25">
      <c r="AS154"/>
      <c r="AT154"/>
      <c r="AU154"/>
    </row>
    <row r="155" spans="45:47" ht="15.95" hidden="1" customHeight="1" x14ac:dyDescent="0.25">
      <c r="AS155"/>
      <c r="AT155"/>
      <c r="AU155"/>
    </row>
    <row r="156" spans="45:47" ht="15.95" hidden="1" customHeight="1" x14ac:dyDescent="0.25">
      <c r="AS156"/>
      <c r="AT156"/>
      <c r="AU156"/>
    </row>
    <row r="157" spans="45:47" ht="15.95" hidden="1" customHeight="1" x14ac:dyDescent="0.25">
      <c r="AS157"/>
      <c r="AT157"/>
      <c r="AU157"/>
    </row>
    <row r="158" spans="45:47" ht="15.95" hidden="1" customHeight="1" x14ac:dyDescent="0.25">
      <c r="AS158"/>
      <c r="AT158"/>
      <c r="AU158"/>
    </row>
    <row r="159" spans="45:47" ht="15.95" hidden="1" customHeight="1" x14ac:dyDescent="0.25">
      <c r="AS159"/>
      <c r="AT159"/>
      <c r="AU159"/>
    </row>
    <row r="160" spans="45:47" ht="15.95" hidden="1" customHeight="1" x14ac:dyDescent="0.25">
      <c r="AS160"/>
      <c r="AT160"/>
      <c r="AU160"/>
    </row>
    <row r="161" spans="45:47" ht="15.95" hidden="1" customHeight="1" x14ac:dyDescent="0.25">
      <c r="AS161"/>
      <c r="AT161"/>
      <c r="AU161"/>
    </row>
    <row r="162" spans="45:47" ht="15.95" hidden="1" customHeight="1" x14ac:dyDescent="0.25">
      <c r="AS162"/>
      <c r="AT162"/>
      <c r="AU162"/>
    </row>
    <row r="163" spans="45:47" ht="15.95" hidden="1" customHeight="1" x14ac:dyDescent="0.25">
      <c r="AS163"/>
      <c r="AT163"/>
      <c r="AU163"/>
    </row>
    <row r="164" spans="45:47" ht="15.95" hidden="1" customHeight="1" x14ac:dyDescent="0.25">
      <c r="AS164"/>
      <c r="AT164"/>
      <c r="AU164"/>
    </row>
    <row r="165" spans="45:47" ht="15.95" hidden="1" customHeight="1" x14ac:dyDescent="0.25">
      <c r="AS165"/>
      <c r="AT165"/>
      <c r="AU165"/>
    </row>
    <row r="166" spans="45:47" ht="15.95" hidden="1" customHeight="1" x14ac:dyDescent="0.25">
      <c r="AS166"/>
      <c r="AT166"/>
      <c r="AU166"/>
    </row>
    <row r="167" spans="45:47" ht="15.95" hidden="1" customHeight="1" x14ac:dyDescent="0.25">
      <c r="AS167"/>
      <c r="AT167"/>
      <c r="AU167"/>
    </row>
    <row r="168" spans="45:47" ht="15.95" hidden="1" customHeight="1" x14ac:dyDescent="0.25">
      <c r="AS168"/>
      <c r="AT168"/>
      <c r="AU168"/>
    </row>
    <row r="169" spans="45:47" ht="15.95" hidden="1" customHeight="1" x14ac:dyDescent="0.25">
      <c r="AS169"/>
      <c r="AT169"/>
      <c r="AU169"/>
    </row>
    <row r="170" spans="45:47" ht="15.95" hidden="1" customHeight="1" x14ac:dyDescent="0.25">
      <c r="AS170"/>
      <c r="AT170"/>
      <c r="AU170"/>
    </row>
    <row r="171" spans="45:47" ht="15.95" hidden="1" customHeight="1" x14ac:dyDescent="0.25">
      <c r="AS171"/>
      <c r="AT171"/>
      <c r="AU171"/>
    </row>
    <row r="172" spans="45:47" ht="15.95" hidden="1" customHeight="1" x14ac:dyDescent="0.25">
      <c r="AS172"/>
      <c r="AT172"/>
      <c r="AU172"/>
    </row>
    <row r="173" spans="45:47" ht="15.95" hidden="1" customHeight="1" x14ac:dyDescent="0.25">
      <c r="AS173"/>
      <c r="AT173"/>
      <c r="AU173"/>
    </row>
    <row r="174" spans="45:47" ht="15.95" hidden="1" customHeight="1" x14ac:dyDescent="0.25">
      <c r="AS174"/>
      <c r="AT174"/>
      <c r="AU174"/>
    </row>
    <row r="175" spans="45:47" ht="15.95" hidden="1" customHeight="1" x14ac:dyDescent="0.25">
      <c r="AS175"/>
      <c r="AT175"/>
      <c r="AU175"/>
    </row>
    <row r="176" spans="45:47" ht="15.95" hidden="1" customHeight="1" x14ac:dyDescent="0.25">
      <c r="AS176"/>
      <c r="AT176"/>
      <c r="AU176"/>
    </row>
    <row r="177" spans="45:47" ht="15.95" hidden="1" customHeight="1" x14ac:dyDescent="0.25">
      <c r="AS177"/>
      <c r="AT177"/>
      <c r="AU177"/>
    </row>
    <row r="178" spans="45:47" ht="15.95" hidden="1" customHeight="1" x14ac:dyDescent="0.25">
      <c r="AS178"/>
      <c r="AT178"/>
      <c r="AU178"/>
    </row>
    <row r="179" spans="45:47" ht="15.95" hidden="1" customHeight="1" x14ac:dyDescent="0.25">
      <c r="AS179"/>
      <c r="AT179"/>
      <c r="AU179"/>
    </row>
    <row r="180" spans="45:47" ht="15.95" hidden="1" customHeight="1" x14ac:dyDescent="0.25">
      <c r="AS180"/>
      <c r="AT180"/>
      <c r="AU180"/>
    </row>
    <row r="181" spans="45:47" ht="15.95" hidden="1" customHeight="1" x14ac:dyDescent="0.25">
      <c r="AS181"/>
      <c r="AT181"/>
      <c r="AU181"/>
    </row>
    <row r="182" spans="45:47" ht="15.95" hidden="1" customHeight="1" x14ac:dyDescent="0.25">
      <c r="AS182"/>
      <c r="AT182"/>
      <c r="AU182"/>
    </row>
    <row r="183" spans="45:47" ht="15.95" hidden="1" customHeight="1" x14ac:dyDescent="0.25">
      <c r="AS183"/>
      <c r="AT183"/>
      <c r="AU183"/>
    </row>
    <row r="184" spans="45:47" ht="15.95" hidden="1" customHeight="1" x14ac:dyDescent="0.25">
      <c r="AS184"/>
      <c r="AT184"/>
      <c r="AU184"/>
    </row>
    <row r="185" spans="45:47" ht="15.95" hidden="1" customHeight="1" x14ac:dyDescent="0.25">
      <c r="AS185"/>
      <c r="AT185"/>
      <c r="AU185"/>
    </row>
    <row r="186" spans="45:47" ht="15.95" hidden="1" customHeight="1" x14ac:dyDescent="0.25">
      <c r="AS186"/>
      <c r="AT186"/>
      <c r="AU186"/>
    </row>
    <row r="187" spans="45:47" ht="15.95" hidden="1" customHeight="1" x14ac:dyDescent="0.25">
      <c r="AS187"/>
      <c r="AT187"/>
      <c r="AU187"/>
    </row>
    <row r="188" spans="45:47" ht="15.95" hidden="1" customHeight="1" x14ac:dyDescent="0.25">
      <c r="AS188"/>
      <c r="AT188"/>
      <c r="AU188"/>
    </row>
    <row r="189" spans="45:47" ht="15.95" hidden="1" customHeight="1" x14ac:dyDescent="0.25">
      <c r="AS189"/>
      <c r="AT189"/>
      <c r="AU189"/>
    </row>
    <row r="190" spans="45:47" ht="15.95" hidden="1" customHeight="1" x14ac:dyDescent="0.25">
      <c r="AS190"/>
      <c r="AT190"/>
      <c r="AU190"/>
    </row>
    <row r="191" spans="45:47" ht="15.95" hidden="1" customHeight="1" x14ac:dyDescent="0.25">
      <c r="AS191"/>
      <c r="AT191"/>
      <c r="AU191"/>
    </row>
    <row r="192" spans="45:47" ht="15.95" hidden="1" customHeight="1" x14ac:dyDescent="0.25">
      <c r="AS192"/>
      <c r="AT192"/>
      <c r="AU192"/>
    </row>
    <row r="193" spans="2:48" ht="15.95" hidden="1" customHeight="1" x14ac:dyDescent="0.25">
      <c r="AS193"/>
      <c r="AT193"/>
      <c r="AU193"/>
    </row>
    <row r="194" spans="2:48" ht="15.95" hidden="1" customHeight="1" x14ac:dyDescent="0.25">
      <c r="AS194"/>
      <c r="AT194"/>
      <c r="AU194"/>
    </row>
    <row r="195" spans="2:48" ht="15.95" hidden="1" customHeight="1" x14ac:dyDescent="0.25">
      <c r="AS195"/>
      <c r="AT195"/>
      <c r="AU195"/>
    </row>
    <row r="196" spans="2:48" ht="15.95" hidden="1" customHeight="1" x14ac:dyDescent="0.25">
      <c r="AS196"/>
      <c r="AT196"/>
      <c r="AU196"/>
    </row>
    <row r="197" spans="2:48" ht="15.95" hidden="1" customHeight="1" x14ac:dyDescent="0.25">
      <c r="AS197"/>
      <c r="AT197"/>
      <c r="AU197"/>
    </row>
    <row r="198" spans="2:48" ht="15.95" hidden="1" customHeight="1" x14ac:dyDescent="0.25">
      <c r="AS198"/>
      <c r="AT198"/>
      <c r="AU198"/>
    </row>
    <row r="199" spans="2:48" ht="15.95" hidden="1" customHeight="1" x14ac:dyDescent="0.25">
      <c r="AS199"/>
      <c r="AT199"/>
      <c r="AU199"/>
    </row>
    <row r="200" spans="2:48" ht="15.95" customHeight="1" x14ac:dyDescent="0.25">
      <c r="B200" s="136" t="str">
        <f>FOOT1</f>
        <v>Ameren Missouri BizSavers program</v>
      </c>
      <c r="C200" s="136"/>
      <c r="D200" s="136"/>
      <c r="E200" s="136"/>
      <c r="F200" s="136"/>
      <c r="G200" s="136"/>
      <c r="H200" s="136"/>
      <c r="I200" s="136"/>
      <c r="J200" s="136"/>
      <c r="K200" s="136"/>
      <c r="L200" s="136"/>
      <c r="M200" s="729" t="str">
        <f>FOOTDISCLAIM</f>
        <v/>
      </c>
      <c r="N200" s="729"/>
      <c r="O200" s="729"/>
      <c r="P200" s="729"/>
      <c r="Q200" s="729"/>
      <c r="R200" s="729"/>
      <c r="S200" s="729"/>
      <c r="T200" s="729"/>
      <c r="U200" s="729"/>
      <c r="V200" s="729"/>
      <c r="W200" s="729"/>
      <c r="X200" s="729"/>
      <c r="Y200" s="729"/>
      <c r="Z200" s="729"/>
      <c r="AA200" s="729"/>
      <c r="AB200" s="729"/>
      <c r="AC200" s="729"/>
      <c r="AD200" s="729"/>
      <c r="AE200" s="729"/>
      <c r="AF200" s="729"/>
      <c r="AG200" s="729"/>
      <c r="AH200" s="136"/>
      <c r="AI200" s="136"/>
      <c r="AJ200" s="136"/>
      <c r="AK200" s="136"/>
      <c r="AL200" s="136"/>
      <c r="AM200" s="136"/>
      <c r="AN200" s="136"/>
      <c r="AO200" s="136"/>
      <c r="AP200" s="136"/>
      <c r="AQ200" s="136"/>
      <c r="AR200" s="300" t="str">
        <f>FOOT4</f>
        <v/>
      </c>
      <c r="AU200" s="976"/>
      <c r="AV200" s="978"/>
    </row>
    <row r="201" spans="2:48" ht="15.95" customHeight="1" x14ac:dyDescent="0.25">
      <c r="B201" s="136" t="str">
        <f>FOOT2</f>
        <v>Toll-Free 866-941-7299</v>
      </c>
      <c r="C201" s="136"/>
      <c r="D201" s="136"/>
      <c r="E201" s="136"/>
      <c r="F201" s="136"/>
      <c r="G201" s="136"/>
      <c r="H201" s="136"/>
      <c r="I201" s="136"/>
      <c r="J201" s="136"/>
      <c r="K201" s="136"/>
      <c r="L201" s="136"/>
      <c r="M201" s="729"/>
      <c r="N201" s="729"/>
      <c r="O201" s="729"/>
      <c r="P201" s="729"/>
      <c r="Q201" s="729"/>
      <c r="R201" s="729"/>
      <c r="S201" s="729"/>
      <c r="T201" s="729"/>
      <c r="U201" s="729"/>
      <c r="V201" s="729"/>
      <c r="W201" s="729"/>
      <c r="X201" s="729"/>
      <c r="Y201" s="729"/>
      <c r="Z201" s="729"/>
      <c r="AA201" s="729"/>
      <c r="AB201" s="729"/>
      <c r="AC201" s="729"/>
      <c r="AD201" s="729"/>
      <c r="AE201" s="729"/>
      <c r="AF201" s="729"/>
      <c r="AG201" s="729"/>
      <c r="AH201" s="136"/>
      <c r="AI201" s="136"/>
      <c r="AJ201" s="136"/>
      <c r="AK201" s="136"/>
      <c r="AL201" s="136"/>
      <c r="AM201" s="136"/>
      <c r="AN201" s="136"/>
      <c r="AO201" s="136"/>
      <c r="AP201" s="136"/>
      <c r="AQ201" s="136"/>
      <c r="AR201" s="300" t="str">
        <f>FOOT5</f>
        <v/>
      </c>
      <c r="AU201" s="977"/>
      <c r="AV201" s="979"/>
    </row>
    <row r="202" spans="2:48" ht="15.95" customHeight="1" x14ac:dyDescent="0.25">
      <c r="B202" s="138" t="str">
        <f>FOOT3</f>
        <v>BizSavers@ameren.com</v>
      </c>
      <c r="C202" s="136"/>
      <c r="D202" s="136"/>
      <c r="E202" s="136"/>
      <c r="F202" s="136"/>
      <c r="G202" s="136"/>
      <c r="H202" s="136"/>
      <c r="I202" s="136"/>
      <c r="J202" s="136"/>
      <c r="K202" s="136"/>
      <c r="L202" s="136"/>
      <c r="M202" s="139"/>
      <c r="N202" s="136"/>
      <c r="O202" s="136"/>
      <c r="P202" s="139"/>
      <c r="Q202" s="139"/>
      <c r="R202" s="139"/>
      <c r="S202" s="139"/>
      <c r="T202" s="139"/>
      <c r="U202" s="139"/>
      <c r="V202" s="139"/>
      <c r="W202" s="140" t="str">
        <f>VERSION</f>
        <v>New Construction v3.8.0</v>
      </c>
      <c r="X202" s="139"/>
      <c r="Y202" s="139"/>
      <c r="Z202" s="139"/>
      <c r="AA202" s="139"/>
      <c r="AB202" s="139"/>
      <c r="AC202" s="139"/>
      <c r="AD202" s="139"/>
      <c r="AE202" s="136"/>
      <c r="AF202" s="136"/>
      <c r="AG202" s="136"/>
      <c r="AH202" s="136"/>
      <c r="AI202" s="136"/>
      <c r="AJ202" s="136"/>
      <c r="AK202" s="136"/>
      <c r="AL202" s="136"/>
      <c r="AM202" s="136"/>
      <c r="AN202" s="136"/>
      <c r="AO202" s="136"/>
      <c r="AP202" s="136"/>
      <c r="AQ202" s="136"/>
      <c r="AR202" s="300" t="str">
        <f>FOOT6</f>
        <v>Product of TRC Companies</v>
      </c>
    </row>
    <row r="203" spans="2:48" ht="15" hidden="1" customHeight="1" x14ac:dyDescent="0.25"/>
    <row r="204" spans="2:48" ht="15" hidden="1" customHeight="1" x14ac:dyDescent="0.25"/>
    <row r="205" spans="2:48" ht="15" hidden="1" customHeight="1" x14ac:dyDescent="0.25"/>
    <row r="206" spans="2:48" ht="15" hidden="1" customHeight="1" x14ac:dyDescent="0.25"/>
    <row r="207" spans="2:48" ht="15" hidden="1" customHeight="1" x14ac:dyDescent="0.25"/>
  </sheetData>
  <sheetProtection algorithmName="SHA-512" hashValue="yD4Mm7p+V9qmLvSLT3EUOhY+XvU9iDpFNtWZAkfbYIbpkPmM8BoFk6LuZhUPB6sdT6TXwZ+ErbsD+VRhBIat2A==" saltValue="O8GQ97N60RZ4CJKoKsKp8A==" spinCount="100000" sheet="1" objects="1" scenarios="1" selectLockedCells="1"/>
  <mergeCells count="93">
    <mergeCell ref="AU18:AU19"/>
    <mergeCell ref="AV18:AV19"/>
    <mergeCell ref="AW18:AW19"/>
    <mergeCell ref="AV14:AV15"/>
    <mergeCell ref="AW14:AW15"/>
    <mergeCell ref="AV16:AV17"/>
    <mergeCell ref="AW16:AW17"/>
    <mergeCell ref="AU14:AU15"/>
    <mergeCell ref="AU16:AU17"/>
    <mergeCell ref="N35:X36"/>
    <mergeCell ref="Y35:AG36"/>
    <mergeCell ref="AH35:AP36"/>
    <mergeCell ref="N33:X34"/>
    <mergeCell ref="Y33:AG34"/>
    <mergeCell ref="AH33:AP34"/>
    <mergeCell ref="D38:AP39"/>
    <mergeCell ref="D35:M36"/>
    <mergeCell ref="AU200:AU201"/>
    <mergeCell ref="AV200:AV201"/>
    <mergeCell ref="C57:H57"/>
    <mergeCell ref="J57:O57"/>
    <mergeCell ref="X57:AC57"/>
    <mergeCell ref="C58:H58"/>
    <mergeCell ref="J58:O58"/>
    <mergeCell ref="Q58:V58"/>
    <mergeCell ref="X58:AC58"/>
    <mergeCell ref="AE58:AJ58"/>
    <mergeCell ref="M200:AG201"/>
    <mergeCell ref="AL58:AQ58"/>
    <mergeCell ref="C62:H62"/>
    <mergeCell ref="J62:O62"/>
    <mergeCell ref="Q62:V62"/>
    <mergeCell ref="C63:H63"/>
    <mergeCell ref="AQ1:AR1"/>
    <mergeCell ref="AQ2:AR3"/>
    <mergeCell ref="R9:AC10"/>
    <mergeCell ref="R12:U13"/>
    <mergeCell ref="V12:Y13"/>
    <mergeCell ref="Z12:AC13"/>
    <mergeCell ref="AH1:AK1"/>
    <mergeCell ref="AL1:AP1"/>
    <mergeCell ref="AH2:AK3"/>
    <mergeCell ref="AL2:AP3"/>
    <mergeCell ref="R11:U11"/>
    <mergeCell ref="V11:Y11"/>
    <mergeCell ref="Z11:AC11"/>
    <mergeCell ref="D33:M34"/>
    <mergeCell ref="F10:P12"/>
    <mergeCell ref="D27:M28"/>
    <mergeCell ref="N27:X28"/>
    <mergeCell ref="Y26:AG26"/>
    <mergeCell ref="AH26:AP26"/>
    <mergeCell ref="Y27:AG28"/>
    <mergeCell ref="AH27:AP28"/>
    <mergeCell ref="D26:M26"/>
    <mergeCell ref="N26:X26"/>
    <mergeCell ref="D15:AP16"/>
    <mergeCell ref="D29:M30"/>
    <mergeCell ref="N29:X30"/>
    <mergeCell ref="Y29:AG30"/>
    <mergeCell ref="AH29:AP30"/>
    <mergeCell ref="D31:M32"/>
    <mergeCell ref="N31:X32"/>
    <mergeCell ref="Y31:AG32"/>
    <mergeCell ref="AH31:AP32"/>
    <mergeCell ref="C55:H55"/>
    <mergeCell ref="J55:O55"/>
    <mergeCell ref="Q55:V55"/>
    <mergeCell ref="X55:AC55"/>
    <mergeCell ref="AE55:AQ55"/>
    <mergeCell ref="C43:AQ50"/>
    <mergeCell ref="C54:H54"/>
    <mergeCell ref="J54:O54"/>
    <mergeCell ref="Q54:V54"/>
    <mergeCell ref="AE54:AJ54"/>
    <mergeCell ref="AL54:AQ54"/>
    <mergeCell ref="J63:O63"/>
    <mergeCell ref="Q63:V63"/>
    <mergeCell ref="X63:AC63"/>
    <mergeCell ref="AE63:AJ63"/>
    <mergeCell ref="AL63:AQ63"/>
    <mergeCell ref="D70:L70"/>
    <mergeCell ref="M70:U70"/>
    <mergeCell ref="V70:AB70"/>
    <mergeCell ref="D67:L67"/>
    <mergeCell ref="M67:U67"/>
    <mergeCell ref="V67:AB67"/>
    <mergeCell ref="D68:L68"/>
    <mergeCell ref="M68:U68"/>
    <mergeCell ref="V68:AB68"/>
    <mergeCell ref="D69:L69"/>
    <mergeCell ref="M69:U69"/>
    <mergeCell ref="V69:AB69"/>
  </mergeCells>
  <conditionalFormatting sqref="AQ2:AR3">
    <cfRule type="cellIs" dxfId="248" priority="3" operator="equal">
      <formula>1</formula>
    </cfRule>
    <cfRule type="cellIs" dxfId="247" priority="4" operator="between">
      <formula>0.51</formula>
      <formula>0.99</formula>
    </cfRule>
    <cfRule type="cellIs" dxfId="246" priority="5" operator="lessThanOrEqual">
      <formula>0.5</formula>
    </cfRule>
  </conditionalFormatting>
  <conditionalFormatting sqref="AH2 AL2">
    <cfRule type="expression" dxfId="245" priority="1">
      <formula>OR(PROJSTATUS=PROJSTATELI,PROJSTATUS=PROJSTATEXP,PROJSTATUS=PROJSTATUNDER)</formula>
    </cfRule>
    <cfRule type="expression" dxfId="244" priority="2">
      <formula>PROJSTATUS=PROJSTATFILLINITIAL</formula>
    </cfRule>
    <cfRule type="expression" dxfId="243" priority="6">
      <formula>PROJSTATUS=PROJSTATPREAPPROVE</formula>
    </cfRule>
    <cfRule type="expression" dxfId="242" priority="7">
      <formula>OR(PROJSTATUS=PROJSTATSSUBMITINITIAL,PROJSTATUS=PROJSTATREVIEW)</formula>
    </cfRule>
  </conditionalFormatting>
  <dataValidations xWindow="1326" yWindow="333" count="4">
    <dataValidation type="list" allowBlank="1" showInputMessage="1" showErrorMessage="1" sqref="C55:H55" xr:uid="{00000000-0002-0000-1400-000000000000}">
      <formula1>"DOE 2.2,eQuest,Trane TRACE,EnergyPlus,Visual DOE,Energy Pro,Others"</formula1>
    </dataValidation>
    <dataValidation type="list" allowBlank="1" showInputMessage="1" showErrorMessage="1" sqref="X55:AC55" xr:uid="{00000000-0002-0000-1400-000001000000}">
      <formula1>"Yes,No"</formula1>
    </dataValidation>
    <dataValidation type="list" allowBlank="1" showInputMessage="1" showErrorMessage="1" sqref="AW16:AW19" xr:uid="{00000000-0002-0000-1400-000002000000}">
      <formula1>ENDUSECAT</formula1>
    </dataValidation>
    <dataValidation type="date" allowBlank="1" showInputMessage="1" showErrorMessage="1" error="Please enter date in the format MM/DD/YYYY" sqref="J55:O55" xr:uid="{00000000-0002-0000-1400-000003000000}">
      <formula1>42005</formula1>
      <formula2>43830</formula2>
    </dataValidation>
  </dataValidations>
  <hyperlinks>
    <hyperlink ref="B202" r:id="rId1" display="NIPSCO.Savings@LMCO.com" xr:uid="{00000000-0004-0000-1400-000000000000}"/>
  </hyperlinks>
  <pageMargins left="0.25" right="0.25" top="0.25" bottom="0.25" header="0.25" footer="0.25"/>
  <pageSetup scale="47" fitToHeight="0"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pageSetUpPr fitToPage="1"/>
  </sheetPr>
  <dimension ref="A1:BZ203"/>
  <sheetViews>
    <sheetView showGridLines="0" showRowColHeaders="0" zoomScale="85" zoomScaleNormal="85" workbookViewId="0">
      <selection activeCell="C12" sqref="C12:H12"/>
    </sheetView>
  </sheetViews>
  <sheetFormatPr defaultColWidth="0" defaultRowHeight="0" customHeight="1" zeroHeight="1" x14ac:dyDescent="0.25"/>
  <cols>
    <col min="1" max="44" width="4.7109375" customWidth="1"/>
    <col min="45" max="45" width="4.7109375" style="135" customWidth="1"/>
    <col min="46" max="46" width="4.7109375" style="135" hidden="1" customWidth="1"/>
    <col min="47" max="78" width="9.140625" style="135" hidden="1" customWidth="1"/>
    <col min="79" max="16384" width="9.140625" hidden="1"/>
  </cols>
  <sheetData>
    <row r="1" spans="2:78" ht="15.95" customHeight="1" x14ac:dyDescent="0.3">
      <c r="AH1" s="711" t="s">
        <v>494</v>
      </c>
      <c r="AI1" s="712"/>
      <c r="AJ1" s="712"/>
      <c r="AK1" s="712"/>
      <c r="AL1" s="723" t="s">
        <v>911</v>
      </c>
      <c r="AM1" s="723"/>
      <c r="AN1" s="723"/>
      <c r="AO1" s="723"/>
      <c r="AP1" s="723"/>
      <c r="AQ1" s="717" t="s">
        <v>499</v>
      </c>
      <c r="AR1" s="718"/>
    </row>
    <row r="2" spans="2:78" ht="15.95" customHeight="1" x14ac:dyDescent="0.25">
      <c r="AH2" s="713" t="str">
        <f ca="1">INCENSTATUS</f>
        <v>---</v>
      </c>
      <c r="AI2" s="714"/>
      <c r="AJ2" s="714"/>
      <c r="AK2" s="714"/>
      <c r="AL2" s="724" t="str">
        <f ca="1">PROJSTATUS</f>
        <v>Please Complete Initial Application</v>
      </c>
      <c r="AM2" s="724"/>
      <c r="AN2" s="724"/>
      <c r="AO2" s="724"/>
      <c r="AP2" s="724"/>
      <c r="AQ2" s="719">
        <f ca="1">PROGRESSSTATUS</f>
        <v>0</v>
      </c>
      <c r="AR2" s="720"/>
    </row>
    <row r="3" spans="2:78" ht="15.95" customHeight="1" x14ac:dyDescent="0.25">
      <c r="AH3" s="715"/>
      <c r="AI3" s="716"/>
      <c r="AJ3" s="716"/>
      <c r="AK3" s="716"/>
      <c r="AL3" s="725"/>
      <c r="AM3" s="725"/>
      <c r="AN3" s="725"/>
      <c r="AO3" s="725"/>
      <c r="AP3" s="725"/>
      <c r="AQ3" s="721"/>
      <c r="AR3" s="722"/>
    </row>
    <row r="4" spans="2:78" ht="15.95" customHeight="1" x14ac:dyDescent="0.25"/>
    <row r="5" spans="2:78" ht="15.95" customHeight="1" x14ac:dyDescent="0.25"/>
    <row r="6" spans="2:78" ht="15.95" customHeight="1" x14ac:dyDescent="0.25">
      <c r="AU6" s="145" t="s">
        <v>1372</v>
      </c>
      <c r="AV6" s="145">
        <f>PROJID</f>
        <v>0</v>
      </c>
    </row>
    <row r="7" spans="2:78" ht="15.95" customHeight="1" x14ac:dyDescent="0.25"/>
    <row r="8" spans="2:78" ht="15.95" customHeight="1" x14ac:dyDescent="0.25"/>
    <row r="9" spans="2:78" s="63" customFormat="1" ht="15.95" customHeight="1" x14ac:dyDescent="0.25">
      <c r="B9" s="135"/>
      <c r="C9" s="135"/>
      <c r="D9" s="135"/>
      <c r="E9" s="135"/>
      <c r="F9" s="135"/>
      <c r="G9" s="135"/>
      <c r="H9" s="135"/>
      <c r="I9" s="135"/>
      <c r="J9" s="135"/>
      <c r="K9" s="135"/>
      <c r="L9" s="135"/>
      <c r="M9" s="135"/>
      <c r="N9" s="135"/>
      <c r="O9" s="135"/>
      <c r="P9" s="135"/>
      <c r="Q9" s="135"/>
      <c r="R9" s="971" t="str">
        <f>CONCATENATE(M3S2," ","Summary")</f>
        <v>LPD Interior Lighting Summary</v>
      </c>
      <c r="S9" s="971"/>
      <c r="T9" s="971"/>
      <c r="U9" s="971"/>
      <c r="V9" s="971"/>
      <c r="W9" s="971"/>
      <c r="X9" s="971"/>
      <c r="Y9" s="971"/>
      <c r="Z9" s="971"/>
      <c r="AA9" s="971"/>
      <c r="AB9" s="971"/>
      <c r="AC9" s="971"/>
      <c r="AD9" s="135"/>
      <c r="AE9" s="135"/>
      <c r="AF9" s="135"/>
      <c r="AG9" s="135"/>
      <c r="AH9" s="135"/>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5"/>
      <c r="BG9" s="135"/>
      <c r="BH9" s="135"/>
      <c r="BI9" s="135"/>
      <c r="BJ9" s="135"/>
      <c r="BK9" s="135"/>
      <c r="BL9" s="135"/>
      <c r="BM9" s="135"/>
      <c r="BN9" s="135"/>
      <c r="BO9" s="135"/>
      <c r="BP9" s="135"/>
      <c r="BQ9" s="135"/>
      <c r="BR9" s="135"/>
      <c r="BS9" s="135"/>
      <c r="BT9" s="135"/>
      <c r="BU9" s="135"/>
      <c r="BV9" s="135"/>
      <c r="BW9" s="135"/>
      <c r="BX9" s="135"/>
      <c r="BY9" s="135"/>
      <c r="BZ9" s="135"/>
    </row>
    <row r="10" spans="2:78" ht="15.95" customHeight="1" x14ac:dyDescent="0.25">
      <c r="B10" s="135"/>
      <c r="C10" s="135"/>
      <c r="D10" s="135"/>
      <c r="E10" s="135"/>
      <c r="F10" s="135"/>
      <c r="G10" s="135"/>
      <c r="H10" s="135"/>
      <c r="I10" s="135"/>
      <c r="J10" s="135"/>
      <c r="K10" s="135"/>
      <c r="L10" s="135"/>
      <c r="M10" s="135"/>
      <c r="N10" s="135"/>
      <c r="O10" s="135"/>
      <c r="P10" s="135"/>
      <c r="Q10" s="135"/>
      <c r="R10" s="971"/>
      <c r="S10" s="971"/>
      <c r="T10" s="971"/>
      <c r="U10" s="971"/>
      <c r="V10" s="971"/>
      <c r="W10" s="971"/>
      <c r="X10" s="971"/>
      <c r="Y10" s="971"/>
      <c r="Z10" s="971"/>
      <c r="AA10" s="971"/>
      <c r="AB10" s="971"/>
      <c r="AC10" s="971"/>
      <c r="AD10" s="135"/>
      <c r="AE10" s="135"/>
      <c r="AF10" s="135"/>
      <c r="AG10" s="135"/>
      <c r="AH10" s="135"/>
      <c r="AI10" s="135"/>
      <c r="AJ10" s="135"/>
      <c r="AK10" s="135"/>
      <c r="AL10" s="135"/>
      <c r="AM10" s="135"/>
      <c r="AN10" s="135"/>
      <c r="AO10" s="135"/>
      <c r="AP10" s="135"/>
      <c r="AQ10" s="135"/>
      <c r="AR10" s="135"/>
    </row>
    <row r="11" spans="2:78" ht="15.95" customHeight="1" thickBot="1" x14ac:dyDescent="0.3">
      <c r="B11" s="135"/>
      <c r="C11" s="565" t="s">
        <v>2176</v>
      </c>
      <c r="D11" s="135"/>
      <c r="E11" s="135"/>
      <c r="F11" s="135"/>
      <c r="G11" s="135"/>
      <c r="H11" s="135"/>
      <c r="I11" s="135"/>
      <c r="J11" s="135"/>
      <c r="K11" s="135"/>
      <c r="L11" s="135"/>
      <c r="M11" s="135"/>
      <c r="N11" s="135"/>
      <c r="O11" s="135"/>
      <c r="P11" s="135"/>
      <c r="Q11" s="135"/>
      <c r="R11" s="1007" t="s">
        <v>69</v>
      </c>
      <c r="S11" s="1007"/>
      <c r="T11" s="1007"/>
      <c r="U11" s="1007"/>
      <c r="V11" s="1007" t="s">
        <v>70</v>
      </c>
      <c r="W11" s="1007"/>
      <c r="X11" s="1007"/>
      <c r="Y11" s="1007"/>
      <c r="Z11" s="1007" t="s">
        <v>71</v>
      </c>
      <c r="AA11" s="1007"/>
      <c r="AB11" s="1007"/>
      <c r="AC11" s="1007"/>
      <c r="AD11" s="135"/>
      <c r="AE11" s="135"/>
      <c r="AF11" s="135"/>
      <c r="AG11" s="135"/>
      <c r="AH11" s="135"/>
      <c r="AI11" s="135"/>
      <c r="AJ11" s="135"/>
      <c r="AK11" s="135"/>
      <c r="AL11" s="135"/>
      <c r="AM11" s="135"/>
      <c r="AN11" s="135"/>
      <c r="AO11" s="135"/>
      <c r="AP11" s="135"/>
      <c r="AQ11" s="135"/>
      <c r="AR11" s="135"/>
    </row>
    <row r="12" spans="2:78" ht="15.95" customHeight="1" thickBot="1" x14ac:dyDescent="0.3">
      <c r="B12" s="135"/>
      <c r="C12" s="825" t="str">
        <f>IF(M02S05F15="","",M02S05F15)</f>
        <v/>
      </c>
      <c r="D12" s="810"/>
      <c r="E12" s="810"/>
      <c r="F12" s="810"/>
      <c r="G12" s="810"/>
      <c r="H12" s="811"/>
      <c r="I12" s="135"/>
      <c r="J12" s="135"/>
      <c r="K12" s="135"/>
      <c r="L12" s="135"/>
      <c r="M12" s="135"/>
      <c r="N12" s="135"/>
      <c r="O12" s="135"/>
      <c r="P12" s="135"/>
      <c r="Q12" s="135"/>
      <c r="R12" s="972">
        <f>IFERROR(MIN((R23+AM23+R75+AM75),($C$15+$J$15)*0.5),0)</f>
        <v>0</v>
      </c>
      <c r="S12" s="972"/>
      <c r="T12" s="972"/>
      <c r="U12" s="972"/>
      <c r="V12" s="972">
        <f>C15+J15</f>
        <v>0</v>
      </c>
      <c r="W12" s="972"/>
      <c r="X12" s="972"/>
      <c r="Y12" s="972"/>
      <c r="Z12" s="1008">
        <f>IFERROR(IF(R66&gt;0,MAX(((K20-K23)*D23*R20/1000),0),0)+IF(AM66&gt;0,MAX(((AF20-AF23)*Y23*AM20/1000),0),0)+IF(R118&gt;0,MAX(((K72-K75)*D75*R72/1000),0),0)+IF(AM118&gt;0,MAX(((AF72-AF75)*Y75*AM72/1000),0),0),0)</f>
        <v>0</v>
      </c>
      <c r="AA12" s="1008"/>
      <c r="AB12" s="1008"/>
      <c r="AC12" s="1008"/>
      <c r="AD12" s="135"/>
      <c r="AE12" s="135"/>
      <c r="AF12" s="135"/>
      <c r="AG12" s="135"/>
      <c r="AH12" s="135"/>
      <c r="AI12" s="135"/>
      <c r="AJ12" s="135"/>
      <c r="AK12" s="135"/>
      <c r="AL12" s="135"/>
      <c r="AM12" s="135"/>
      <c r="AN12" s="135"/>
      <c r="AO12" s="135"/>
      <c r="AP12" s="135"/>
      <c r="AQ12" s="135"/>
      <c r="AR12" s="135"/>
    </row>
    <row r="13" spans="2:78" s="63" customFormat="1" ht="15.95" customHeight="1" x14ac:dyDescent="0.25">
      <c r="B13" s="135"/>
      <c r="C13" s="526" t="str">
        <f>IF(M03S02F00&lt;&gt;M02S05F15,"Warning: DTM Baseline does not match selected baseline","")</f>
        <v/>
      </c>
      <c r="D13"/>
      <c r="E13"/>
      <c r="F13"/>
      <c r="G13"/>
      <c r="H13" s="135"/>
      <c r="I13" s="135"/>
      <c r="J13" s="135"/>
      <c r="K13" s="135"/>
      <c r="L13" s="135"/>
      <c r="M13" s="135"/>
      <c r="N13" s="135"/>
      <c r="O13" s="135"/>
      <c r="P13" s="135"/>
      <c r="Q13" s="135"/>
      <c r="R13" s="972"/>
      <c r="S13" s="972"/>
      <c r="T13" s="972"/>
      <c r="U13" s="972"/>
      <c r="V13" s="972"/>
      <c r="W13" s="972"/>
      <c r="X13" s="972"/>
      <c r="Y13" s="972"/>
      <c r="Z13" s="1008"/>
      <c r="AA13" s="1008"/>
      <c r="AB13" s="1008"/>
      <c r="AC13" s="1008"/>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G13" s="135"/>
      <c r="BH13" s="135"/>
      <c r="BI13" s="135"/>
      <c r="BJ13" s="135"/>
      <c r="BK13" s="135"/>
      <c r="BL13" s="135"/>
      <c r="BM13" s="135"/>
      <c r="BN13" s="135"/>
      <c r="BO13" s="135"/>
      <c r="BP13" s="135"/>
      <c r="BQ13" s="135"/>
      <c r="BR13" s="135"/>
      <c r="BS13" s="135"/>
      <c r="BT13" s="135"/>
      <c r="BU13" s="135"/>
      <c r="BV13" s="135"/>
      <c r="BW13" s="135"/>
      <c r="BX13" s="135"/>
      <c r="BY13" s="135"/>
      <c r="BZ13" s="135"/>
    </row>
    <row r="14" spans="2:78" ht="15.95" customHeight="1" thickBot="1" x14ac:dyDescent="0.3">
      <c r="C14" s="135" t="s">
        <v>1788</v>
      </c>
      <c r="D14" s="135"/>
      <c r="E14" s="135"/>
      <c r="F14" s="135"/>
      <c r="G14" s="135"/>
      <c r="H14" s="135"/>
      <c r="I14" s="135"/>
      <c r="J14" s="135" t="s">
        <v>1789</v>
      </c>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S14"/>
      <c r="AT14"/>
      <c r="AU14" s="989" t="s">
        <v>141</v>
      </c>
      <c r="AV14" s="1012" t="s">
        <v>643</v>
      </c>
      <c r="AW14" s="1012" t="s">
        <v>637</v>
      </c>
      <c r="AX14" s="989" t="s">
        <v>1866</v>
      </c>
      <c r="AY14" s="989" t="s">
        <v>1867</v>
      </c>
      <c r="AZ14" s="989" t="s">
        <v>1868</v>
      </c>
      <c r="BA14" s="989" t="s">
        <v>1869</v>
      </c>
      <c r="BB14"/>
      <c r="BC14"/>
      <c r="BD14"/>
      <c r="BE14"/>
      <c r="BF14"/>
    </row>
    <row r="15" spans="2:78" s="63" customFormat="1" ht="15.95" customHeight="1" thickBot="1" x14ac:dyDescent="0.3">
      <c r="C15" s="1009"/>
      <c r="D15" s="1010"/>
      <c r="E15" s="1010"/>
      <c r="F15" s="1010"/>
      <c r="G15" s="1010"/>
      <c r="H15" s="1011"/>
      <c r="I15" s="135"/>
      <c r="J15" s="1009"/>
      <c r="K15" s="1010"/>
      <c r="L15" s="1010"/>
      <c r="M15" s="1010"/>
      <c r="N15" s="1010"/>
      <c r="O15" s="1011"/>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U15" s="990"/>
      <c r="AV15" s="1013"/>
      <c r="AW15" s="1013"/>
      <c r="AX15" s="990"/>
      <c r="AY15" s="990"/>
      <c r="AZ15" s="990"/>
      <c r="BA15" s="990"/>
      <c r="BG15" s="135"/>
      <c r="BH15" s="135"/>
      <c r="BI15" s="135"/>
      <c r="BJ15" s="135"/>
      <c r="BK15" s="135"/>
      <c r="BL15" s="135"/>
      <c r="BM15" s="135"/>
      <c r="BN15" s="135"/>
      <c r="BO15" s="135"/>
      <c r="BP15" s="135"/>
      <c r="BQ15" s="135"/>
      <c r="BR15" s="135"/>
      <c r="BS15" s="135"/>
      <c r="BT15" s="135"/>
      <c r="BU15" s="135"/>
      <c r="BV15" s="135"/>
      <c r="BW15" s="135"/>
      <c r="BX15" s="135"/>
      <c r="BY15" s="135"/>
      <c r="BZ15" s="135"/>
    </row>
    <row r="16" spans="2:78" s="63" customFormat="1" ht="15.95" customHeight="1" x14ac:dyDescent="0.25">
      <c r="C16" s="135"/>
      <c r="D16" s="135"/>
      <c r="E16" s="135"/>
      <c r="F16" s="135"/>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c r="AO16" s="135"/>
      <c r="AP16" s="135"/>
      <c r="AQ16" s="135"/>
      <c r="AU16" s="983">
        <v>4061500</v>
      </c>
      <c r="AV16" s="985">
        <f>IFERROR(ROUND(Z12*INDEX(ENDUSEALL[Factor],MATCH(AW16,ENDUSEALL[End Use to Coincident Peak Demand Factors],0)),4),"")</f>
        <v>0</v>
      </c>
      <c r="AW16" s="987" t="s">
        <v>161</v>
      </c>
      <c r="AX16" s="1014">
        <f>IFERROR(((K20)*D23)+((AF20)*Y23)+((K72)*D75)+((AF72)*Y75),0)</f>
        <v>0</v>
      </c>
      <c r="AY16" s="1014">
        <f>IFERROR(((K23)*D23)+((AF23)*Y23)+((K75)*D75)+((AF75)*Y75),0)</f>
        <v>0</v>
      </c>
      <c r="AZ16" s="1014">
        <f>IFERROR(((K20)*D23*R20/1000)+((AF20)*Y23*AM20/1000)+((K72)*D75*R72/1000)+((AF72)*Y75*AM72/1000),0)</f>
        <v>0</v>
      </c>
      <c r="BA16" s="1014">
        <f>IFERROR(((K23)*D23*R20/1000)+((AF23)*Y23*AM20/1000)+((K75)*D75*R72/1000)+((AF75)*Y75*AM72/1000),0)</f>
        <v>0</v>
      </c>
      <c r="BG16" s="135"/>
      <c r="BH16" s="135"/>
      <c r="BI16" s="135"/>
      <c r="BJ16" s="135"/>
      <c r="BK16" s="135"/>
      <c r="BL16" s="135"/>
      <c r="BM16" s="135"/>
      <c r="BN16" s="135"/>
      <c r="BO16" s="135"/>
      <c r="BP16" s="135"/>
      <c r="BQ16" s="135"/>
      <c r="BR16" s="135"/>
      <c r="BS16" s="135"/>
      <c r="BT16" s="135"/>
      <c r="BU16" s="135"/>
      <c r="BV16" s="135"/>
      <c r="BW16" s="135"/>
      <c r="BX16" s="135"/>
      <c r="BY16" s="135"/>
      <c r="BZ16" s="135"/>
    </row>
    <row r="17" spans="3:58" ht="15.95" customHeight="1" x14ac:dyDescent="0.25">
      <c r="C17" s="483" t="s">
        <v>1684</v>
      </c>
      <c r="D17" s="135"/>
      <c r="E17" s="135"/>
      <c r="F17" s="135"/>
      <c r="G17" s="135"/>
      <c r="H17" s="135"/>
      <c r="I17" s="135"/>
      <c r="J17" s="135"/>
      <c r="K17" s="135"/>
      <c r="L17" s="135"/>
      <c r="M17" s="135"/>
      <c r="N17" s="135"/>
      <c r="O17" s="135"/>
      <c r="P17" s="135"/>
      <c r="Q17" s="135"/>
      <c r="R17" s="135"/>
      <c r="S17" s="135"/>
      <c r="T17" s="135"/>
      <c r="U17" s="135"/>
      <c r="V17" s="135"/>
      <c r="W17" s="135"/>
      <c r="X17" s="483" t="s">
        <v>1687</v>
      </c>
      <c r="Y17" s="135"/>
      <c r="Z17" s="135"/>
      <c r="AA17" s="135"/>
      <c r="AB17" s="135"/>
      <c r="AC17" s="135"/>
      <c r="AD17" s="135"/>
      <c r="AE17" s="135"/>
      <c r="AF17" s="135"/>
      <c r="AG17" s="135"/>
      <c r="AH17" s="135"/>
      <c r="AI17" s="135"/>
      <c r="AJ17" s="135"/>
      <c r="AK17" s="135"/>
      <c r="AL17" s="135"/>
      <c r="AM17" s="135"/>
      <c r="AN17" s="135"/>
      <c r="AO17" s="135"/>
      <c r="AP17" s="135"/>
      <c r="AQ17" s="135"/>
      <c r="AS17"/>
      <c r="AT17"/>
      <c r="AU17" s="984"/>
      <c r="AV17" s="986"/>
      <c r="AW17" s="988"/>
      <c r="AX17" s="1015"/>
      <c r="AY17" s="1015"/>
      <c r="AZ17" s="1015"/>
      <c r="BA17" s="1015"/>
      <c r="BB17"/>
      <c r="BC17"/>
      <c r="BD17"/>
      <c r="BE17"/>
      <c r="BF17"/>
    </row>
    <row r="18" spans="3:58" ht="15.95" customHeight="1" x14ac:dyDescent="0.25">
      <c r="C18" s="486"/>
      <c r="D18" s="487"/>
      <c r="E18" s="487"/>
      <c r="F18" s="487"/>
      <c r="G18" s="487"/>
      <c r="H18" s="487"/>
      <c r="I18" s="487"/>
      <c r="J18" s="487"/>
      <c r="K18" s="487"/>
      <c r="L18" s="487"/>
      <c r="M18" s="487"/>
      <c r="N18" s="487"/>
      <c r="O18" s="487"/>
      <c r="P18" s="487"/>
      <c r="Q18" s="487"/>
      <c r="R18" s="487"/>
      <c r="S18" s="487"/>
      <c r="T18" s="487"/>
      <c r="U18" s="487"/>
      <c r="V18" s="488"/>
      <c r="W18" s="135"/>
      <c r="X18" s="486"/>
      <c r="Y18" s="487"/>
      <c r="Z18" s="487"/>
      <c r="AA18" s="487"/>
      <c r="AB18" s="487"/>
      <c r="AC18" s="487"/>
      <c r="AD18" s="487"/>
      <c r="AE18" s="487"/>
      <c r="AF18" s="487"/>
      <c r="AG18" s="487"/>
      <c r="AH18" s="487"/>
      <c r="AI18" s="487"/>
      <c r="AJ18" s="487"/>
      <c r="AK18" s="487"/>
      <c r="AL18" s="487"/>
      <c r="AM18" s="487"/>
      <c r="AN18" s="487"/>
      <c r="AO18" s="487"/>
      <c r="AP18" s="487"/>
      <c r="AQ18" s="488"/>
      <c r="AS18"/>
      <c r="AT18"/>
      <c r="AU18"/>
      <c r="AV18"/>
      <c r="AW18"/>
      <c r="AX18"/>
      <c r="AY18"/>
      <c r="AZ18"/>
      <c r="BA18"/>
      <c r="BB18"/>
      <c r="BC18"/>
      <c r="BD18"/>
      <c r="BE18"/>
      <c r="BF18"/>
    </row>
    <row r="19" spans="3:58" ht="15.95" customHeight="1" thickBot="1" x14ac:dyDescent="0.3">
      <c r="C19" s="489"/>
      <c r="D19" s="999" t="s">
        <v>1734</v>
      </c>
      <c r="E19" s="999"/>
      <c r="F19" s="999"/>
      <c r="G19" s="999"/>
      <c r="H19" s="999"/>
      <c r="I19" s="999"/>
      <c r="J19" s="490"/>
      <c r="K19" s="1000" t="s">
        <v>1735</v>
      </c>
      <c r="L19" s="1000"/>
      <c r="M19" s="1000"/>
      <c r="N19" s="1000"/>
      <c r="O19" s="1000"/>
      <c r="P19" s="1000"/>
      <c r="Q19" s="490"/>
      <c r="R19" s="999" t="s">
        <v>1863</v>
      </c>
      <c r="S19" s="999"/>
      <c r="T19" s="999"/>
      <c r="U19" s="999"/>
      <c r="V19" s="491"/>
      <c r="W19" s="135"/>
      <c r="X19" s="489"/>
      <c r="Y19" s="999" t="s">
        <v>1734</v>
      </c>
      <c r="Z19" s="999"/>
      <c r="AA19" s="999"/>
      <c r="AB19" s="999"/>
      <c r="AC19" s="999"/>
      <c r="AD19" s="999"/>
      <c r="AE19" s="490"/>
      <c r="AF19" s="1000" t="s">
        <v>1735</v>
      </c>
      <c r="AG19" s="1000"/>
      <c r="AH19" s="1000"/>
      <c r="AI19" s="1000"/>
      <c r="AJ19" s="1000"/>
      <c r="AK19" s="1000"/>
      <c r="AL19" s="490"/>
      <c r="AM19" s="999" t="s">
        <v>1863</v>
      </c>
      <c r="AN19" s="999"/>
      <c r="AO19" s="999"/>
      <c r="AP19" s="999"/>
      <c r="AQ19" s="491"/>
      <c r="AS19"/>
      <c r="AT19"/>
      <c r="AU19"/>
      <c r="AV19"/>
      <c r="AW19"/>
      <c r="AX19"/>
      <c r="AY19"/>
      <c r="AZ19"/>
      <c r="BA19"/>
      <c r="BB19"/>
      <c r="BC19"/>
      <c r="BD19"/>
      <c r="BE19"/>
      <c r="BF19"/>
    </row>
    <row r="20" spans="3:58" ht="15.95" customHeight="1" thickBot="1" x14ac:dyDescent="0.3">
      <c r="C20" s="489"/>
      <c r="D20" s="931" t="str">
        <f>IF(M02S05F18="","",M02S05F18)</f>
        <v/>
      </c>
      <c r="E20" s="932"/>
      <c r="F20" s="932"/>
      <c r="G20" s="932"/>
      <c r="H20" s="932"/>
      <c r="I20" s="933"/>
      <c r="J20" s="490"/>
      <c r="K20" s="935">
        <f>IF(OR(D20="",M03S02F00=""),0,INDEX(NCLPD[#Data],MATCH(D20,NCLPD[Building Area Type],0),MATCH(M03S02F00,NCLPD[#Headers],0)))</f>
        <v>0</v>
      </c>
      <c r="L20" s="936"/>
      <c r="M20" s="936"/>
      <c r="N20" s="936"/>
      <c r="O20" s="936"/>
      <c r="P20" s="937"/>
      <c r="Q20" s="490"/>
      <c r="R20" s="980"/>
      <c r="S20" s="981"/>
      <c r="T20" s="981"/>
      <c r="U20" s="982"/>
      <c r="V20" s="491"/>
      <c r="W20" s="135"/>
      <c r="X20" s="489"/>
      <c r="Y20" s="931" t="str">
        <f>IF(M02S05F21="","",M02S05F21)</f>
        <v/>
      </c>
      <c r="Z20" s="932"/>
      <c r="AA20" s="932"/>
      <c r="AB20" s="932"/>
      <c r="AC20" s="932"/>
      <c r="AD20" s="933"/>
      <c r="AE20" s="490"/>
      <c r="AF20" s="935">
        <f>IF(OR(Y20="",M03S02F00=""),0,INDEX(NCLPD[#Data],MATCH(Y20,NCLPD[Building Area Type],0),MATCH(M03S02F00,NCLPD[#Headers],0)))</f>
        <v>0</v>
      </c>
      <c r="AG20" s="936"/>
      <c r="AH20" s="936"/>
      <c r="AI20" s="936"/>
      <c r="AJ20" s="936"/>
      <c r="AK20" s="937"/>
      <c r="AL20" s="490"/>
      <c r="AM20" s="980"/>
      <c r="AN20" s="981"/>
      <c r="AO20" s="981"/>
      <c r="AP20" s="982"/>
      <c r="AQ20" s="491"/>
      <c r="AS20"/>
      <c r="AT20"/>
      <c r="AU20"/>
      <c r="AV20"/>
      <c r="AW20"/>
      <c r="AX20"/>
      <c r="AY20"/>
      <c r="AZ20"/>
      <c r="BA20"/>
      <c r="BB20"/>
      <c r="BC20"/>
      <c r="BD20"/>
      <c r="BE20"/>
      <c r="BF20"/>
    </row>
    <row r="21" spans="3:58" ht="15.95" customHeight="1" x14ac:dyDescent="0.25">
      <c r="C21" s="489"/>
      <c r="D21" s="490"/>
      <c r="E21" s="490"/>
      <c r="F21" s="490"/>
      <c r="G21" s="490"/>
      <c r="H21" s="490"/>
      <c r="I21" s="490"/>
      <c r="J21" s="490"/>
      <c r="K21" s="490"/>
      <c r="L21" s="490"/>
      <c r="M21" s="490"/>
      <c r="N21" s="490"/>
      <c r="O21" s="490"/>
      <c r="P21" s="490"/>
      <c r="Q21" s="490"/>
      <c r="R21" s="490"/>
      <c r="S21" s="490"/>
      <c r="T21" s="490"/>
      <c r="U21" s="490"/>
      <c r="V21" s="491"/>
      <c r="W21" s="135"/>
      <c r="X21" s="489"/>
      <c r="Y21" s="490"/>
      <c r="Z21" s="490"/>
      <c r="AA21" s="490"/>
      <c r="AB21" s="490"/>
      <c r="AC21" s="490"/>
      <c r="AD21" s="490"/>
      <c r="AE21" s="490"/>
      <c r="AF21" s="490"/>
      <c r="AG21" s="490"/>
      <c r="AH21" s="490"/>
      <c r="AI21" s="490"/>
      <c r="AJ21" s="490"/>
      <c r="AK21" s="490"/>
      <c r="AL21" s="490"/>
      <c r="AM21" s="490"/>
      <c r="AN21" s="490"/>
      <c r="AO21" s="490"/>
      <c r="AP21" s="490"/>
      <c r="AQ21" s="491"/>
      <c r="AS21"/>
      <c r="AT21"/>
      <c r="AU21"/>
      <c r="AV21"/>
      <c r="AW21"/>
      <c r="AX21"/>
      <c r="AY21"/>
      <c r="AZ21"/>
      <c r="BA21"/>
      <c r="BB21"/>
      <c r="BC21"/>
      <c r="BD21"/>
      <c r="BE21"/>
      <c r="BF21"/>
    </row>
    <row r="22" spans="3:58" ht="15.95" customHeight="1" thickBot="1" x14ac:dyDescent="0.3">
      <c r="C22" s="489"/>
      <c r="D22" s="999" t="s">
        <v>1736</v>
      </c>
      <c r="E22" s="999"/>
      <c r="F22" s="999"/>
      <c r="G22" s="999"/>
      <c r="H22" s="999"/>
      <c r="I22" s="999"/>
      <c r="J22" s="490"/>
      <c r="K22" s="1000" t="s">
        <v>1737</v>
      </c>
      <c r="L22" s="1000"/>
      <c r="M22" s="1000"/>
      <c r="N22" s="1000"/>
      <c r="O22" s="1000"/>
      <c r="P22" s="1000"/>
      <c r="Q22" s="490"/>
      <c r="R22" s="999" t="s">
        <v>1786</v>
      </c>
      <c r="S22" s="999"/>
      <c r="T22" s="999"/>
      <c r="U22" s="999"/>
      <c r="V22" s="491"/>
      <c r="W22" s="135"/>
      <c r="X22" s="489"/>
      <c r="Y22" s="999" t="s">
        <v>1736</v>
      </c>
      <c r="Z22" s="999"/>
      <c r="AA22" s="999"/>
      <c r="AB22" s="999"/>
      <c r="AC22" s="999"/>
      <c r="AD22" s="999"/>
      <c r="AE22" s="490"/>
      <c r="AF22" s="1000" t="s">
        <v>1737</v>
      </c>
      <c r="AG22" s="1000"/>
      <c r="AH22" s="1000"/>
      <c r="AI22" s="1000"/>
      <c r="AJ22" s="1000"/>
      <c r="AK22" s="1000"/>
      <c r="AL22" s="490"/>
      <c r="AM22" s="999" t="s">
        <v>1786</v>
      </c>
      <c r="AN22" s="999"/>
      <c r="AO22" s="999"/>
      <c r="AP22" s="999"/>
      <c r="AQ22" s="491"/>
      <c r="AS22"/>
      <c r="AT22"/>
      <c r="AU22"/>
      <c r="AV22"/>
      <c r="AW22"/>
      <c r="AX22"/>
      <c r="AY22"/>
      <c r="AZ22"/>
      <c r="BA22"/>
      <c r="BB22"/>
      <c r="BC22"/>
      <c r="BD22"/>
      <c r="BE22"/>
      <c r="BF22"/>
    </row>
    <row r="23" spans="3:58" ht="15.95" customHeight="1" thickBot="1" x14ac:dyDescent="0.3">
      <c r="C23" s="489"/>
      <c r="D23" s="941">
        <f>IF(M02S05F19="",0,M02S05F19)</f>
        <v>0</v>
      </c>
      <c r="E23" s="942"/>
      <c r="F23" s="942"/>
      <c r="G23" s="942"/>
      <c r="H23" s="942"/>
      <c r="I23" s="943"/>
      <c r="J23" s="490"/>
      <c r="K23" s="935">
        <f>IF(OR(D23=0,R66=0),0,R66/D23)</f>
        <v>0</v>
      </c>
      <c r="L23" s="936"/>
      <c r="M23" s="936"/>
      <c r="N23" s="936"/>
      <c r="O23" s="936"/>
      <c r="P23" s="937"/>
      <c r="Q23" s="490"/>
      <c r="R23" s="960">
        <f>IF(OR(K20="",R66="",D23=0,K23=0),0,IFERROR(IF((K20-K23)/K20&lt;0.1,0,MIN(((D23*K20)-R66)*0.4,($C$15+$J$15)*0.5)),0))</f>
        <v>0</v>
      </c>
      <c r="S23" s="961"/>
      <c r="T23" s="961"/>
      <c r="U23" s="962"/>
      <c r="V23" s="491"/>
      <c r="W23" s="135"/>
      <c r="X23" s="489"/>
      <c r="Y23" s="941">
        <f>IF(M02S05F22="",0,M02S05F22)</f>
        <v>0</v>
      </c>
      <c r="Z23" s="942"/>
      <c r="AA23" s="942"/>
      <c r="AB23" s="942"/>
      <c r="AC23" s="942"/>
      <c r="AD23" s="943"/>
      <c r="AE23" s="490"/>
      <c r="AF23" s="935">
        <f>IF(OR(Y23=0,AM66=0),0,AM66/Y23)</f>
        <v>0</v>
      </c>
      <c r="AG23" s="936"/>
      <c r="AH23" s="936"/>
      <c r="AI23" s="936"/>
      <c r="AJ23" s="936"/>
      <c r="AK23" s="937"/>
      <c r="AL23" s="490"/>
      <c r="AM23" s="960">
        <f>IF(OR(AF20="",AM66="",Y23=0,AF23=0),0,IFERROR(IF((AF20-AF23)/AF20&lt;0.1,0,MIN(((Y23*AF20)-AM66)*0.4,($C$15+$J$15)*0.5)),0))</f>
        <v>0</v>
      </c>
      <c r="AN23" s="961"/>
      <c r="AO23" s="961"/>
      <c r="AP23" s="962"/>
      <c r="AQ23" s="491"/>
      <c r="AS23"/>
      <c r="AT23"/>
      <c r="AU23"/>
      <c r="AV23"/>
      <c r="AW23"/>
      <c r="AX23"/>
      <c r="AY23"/>
      <c r="AZ23"/>
      <c r="BA23"/>
      <c r="BB23"/>
      <c r="BC23"/>
      <c r="BD23"/>
      <c r="BE23"/>
      <c r="BF23"/>
    </row>
    <row r="24" spans="3:58" ht="15.95" customHeight="1" x14ac:dyDescent="0.25">
      <c r="C24" s="489"/>
      <c r="D24" s="490"/>
      <c r="E24" s="490"/>
      <c r="F24" s="490"/>
      <c r="G24" s="490"/>
      <c r="H24" s="490"/>
      <c r="I24" s="490"/>
      <c r="J24" s="490"/>
      <c r="K24" s="490"/>
      <c r="L24" s="490"/>
      <c r="M24" s="490"/>
      <c r="N24" s="490"/>
      <c r="O24" s="490"/>
      <c r="P24" s="490"/>
      <c r="Q24" s="490"/>
      <c r="R24" s="490"/>
      <c r="S24" s="490"/>
      <c r="T24" s="490"/>
      <c r="U24" s="490"/>
      <c r="V24" s="491"/>
      <c r="W24" s="135"/>
      <c r="X24" s="489"/>
      <c r="Y24" s="490"/>
      <c r="Z24" s="490"/>
      <c r="AA24" s="490"/>
      <c r="AB24" s="490"/>
      <c r="AC24" s="490"/>
      <c r="AD24" s="490"/>
      <c r="AE24" s="490"/>
      <c r="AF24" s="490"/>
      <c r="AG24" s="490"/>
      <c r="AH24" s="490"/>
      <c r="AI24" s="490"/>
      <c r="AJ24" s="490"/>
      <c r="AK24" s="490"/>
      <c r="AL24" s="490"/>
      <c r="AM24" s="490"/>
      <c r="AN24" s="490"/>
      <c r="AO24" s="490"/>
      <c r="AP24" s="490"/>
      <c r="AQ24" s="491"/>
      <c r="AS24"/>
      <c r="AT24"/>
      <c r="AU24"/>
      <c r="AV24"/>
      <c r="AW24"/>
      <c r="AX24"/>
      <c r="AY24"/>
      <c r="AZ24"/>
      <c r="BA24"/>
      <c r="BB24"/>
      <c r="BC24"/>
      <c r="BD24"/>
      <c r="BE24"/>
      <c r="BF24"/>
    </row>
    <row r="25" spans="3:58" ht="15.95" customHeight="1" x14ac:dyDescent="0.25">
      <c r="C25" s="492"/>
      <c r="D25" s="1001" t="s">
        <v>1738</v>
      </c>
      <c r="E25" s="1001"/>
      <c r="F25" s="1001"/>
      <c r="G25" s="1001"/>
      <c r="H25" s="1001"/>
      <c r="I25" s="1001"/>
      <c r="J25" s="1001"/>
      <c r="K25" s="1001"/>
      <c r="L25" s="1001"/>
      <c r="M25" s="998" t="s">
        <v>1739</v>
      </c>
      <c r="N25" s="998"/>
      <c r="O25" s="998" t="s">
        <v>1740</v>
      </c>
      <c r="P25" s="998"/>
      <c r="Q25" s="998"/>
      <c r="R25" s="998" t="s">
        <v>1741</v>
      </c>
      <c r="S25" s="998"/>
      <c r="T25" s="998"/>
      <c r="U25" s="998"/>
      <c r="V25" s="491"/>
      <c r="W25" s="135"/>
      <c r="X25" s="489"/>
      <c r="Y25" s="1001" t="s">
        <v>1738</v>
      </c>
      <c r="Z25" s="1001"/>
      <c r="AA25" s="1001"/>
      <c r="AB25" s="1001"/>
      <c r="AC25" s="1001"/>
      <c r="AD25" s="1001"/>
      <c r="AE25" s="1001"/>
      <c r="AF25" s="1001"/>
      <c r="AG25" s="1001"/>
      <c r="AH25" s="998" t="s">
        <v>1739</v>
      </c>
      <c r="AI25" s="998"/>
      <c r="AJ25" s="998" t="s">
        <v>1740</v>
      </c>
      <c r="AK25" s="998"/>
      <c r="AL25" s="998"/>
      <c r="AM25" s="998" t="s">
        <v>1741</v>
      </c>
      <c r="AN25" s="998"/>
      <c r="AO25" s="998"/>
      <c r="AP25" s="998"/>
      <c r="AQ25" s="491"/>
      <c r="AS25"/>
      <c r="AT25"/>
      <c r="AU25"/>
      <c r="AV25"/>
      <c r="AW25"/>
      <c r="AX25"/>
      <c r="AY25"/>
      <c r="AZ25"/>
      <c r="BA25"/>
      <c r="BB25"/>
      <c r="BC25"/>
      <c r="BD25"/>
      <c r="BE25"/>
      <c r="BF25"/>
    </row>
    <row r="26" spans="3:58" ht="15.95" customHeight="1" x14ac:dyDescent="0.25">
      <c r="C26" s="493">
        <v>1</v>
      </c>
      <c r="D26" s="1002"/>
      <c r="E26" s="996"/>
      <c r="F26" s="996"/>
      <c r="G26" s="996"/>
      <c r="H26" s="996"/>
      <c r="I26" s="996"/>
      <c r="J26" s="996"/>
      <c r="K26" s="996"/>
      <c r="L26" s="996"/>
      <c r="M26" s="997"/>
      <c r="N26" s="997"/>
      <c r="O26" s="997"/>
      <c r="P26" s="997"/>
      <c r="Q26" s="997"/>
      <c r="R26" s="995">
        <f>M26*O26</f>
        <v>0</v>
      </c>
      <c r="S26" s="995"/>
      <c r="T26" s="995"/>
      <c r="U26" s="995"/>
      <c r="V26" s="491"/>
      <c r="W26" s="135"/>
      <c r="X26" s="493">
        <v>1</v>
      </c>
      <c r="Y26" s="996"/>
      <c r="Z26" s="996"/>
      <c r="AA26" s="996"/>
      <c r="AB26" s="996"/>
      <c r="AC26" s="996"/>
      <c r="AD26" s="996"/>
      <c r="AE26" s="996"/>
      <c r="AF26" s="996"/>
      <c r="AG26" s="996"/>
      <c r="AH26" s="997"/>
      <c r="AI26" s="997"/>
      <c r="AJ26" s="997"/>
      <c r="AK26" s="997"/>
      <c r="AL26" s="997"/>
      <c r="AM26" s="995">
        <f>AH26*AJ26</f>
        <v>0</v>
      </c>
      <c r="AN26" s="995"/>
      <c r="AO26" s="995"/>
      <c r="AP26" s="995"/>
      <c r="AQ26" s="491"/>
      <c r="AS26"/>
      <c r="AT26"/>
      <c r="AU26"/>
      <c r="AV26"/>
      <c r="AW26"/>
      <c r="AX26"/>
      <c r="AY26"/>
      <c r="AZ26"/>
      <c r="BA26"/>
      <c r="BB26"/>
      <c r="BC26"/>
      <c r="BD26"/>
      <c r="BE26"/>
      <c r="BF26"/>
    </row>
    <row r="27" spans="3:58" ht="15.95" customHeight="1" x14ac:dyDescent="0.25">
      <c r="C27" s="493">
        <v>2</v>
      </c>
      <c r="D27" s="996"/>
      <c r="E27" s="996"/>
      <c r="F27" s="996"/>
      <c r="G27" s="996"/>
      <c r="H27" s="996"/>
      <c r="I27" s="996"/>
      <c r="J27" s="996"/>
      <c r="K27" s="996"/>
      <c r="L27" s="996"/>
      <c r="M27" s="997"/>
      <c r="N27" s="997"/>
      <c r="O27" s="997"/>
      <c r="P27" s="997"/>
      <c r="Q27" s="997"/>
      <c r="R27" s="995">
        <f t="shared" ref="R27:R65" si="0">M27*O27</f>
        <v>0</v>
      </c>
      <c r="S27" s="995"/>
      <c r="T27" s="995"/>
      <c r="U27" s="995"/>
      <c r="V27" s="491"/>
      <c r="W27" s="135"/>
      <c r="X27" s="493">
        <v>2</v>
      </c>
      <c r="Y27" s="996"/>
      <c r="Z27" s="996"/>
      <c r="AA27" s="996"/>
      <c r="AB27" s="996"/>
      <c r="AC27" s="996"/>
      <c r="AD27" s="996"/>
      <c r="AE27" s="996"/>
      <c r="AF27" s="996"/>
      <c r="AG27" s="996"/>
      <c r="AH27" s="997"/>
      <c r="AI27" s="997"/>
      <c r="AJ27" s="997"/>
      <c r="AK27" s="997"/>
      <c r="AL27" s="997"/>
      <c r="AM27" s="995">
        <f t="shared" ref="AM27:AM65" si="1">AH27*AJ27</f>
        <v>0</v>
      </c>
      <c r="AN27" s="995"/>
      <c r="AO27" s="995"/>
      <c r="AP27" s="995"/>
      <c r="AQ27" s="491"/>
      <c r="AS27"/>
      <c r="AT27"/>
      <c r="AU27"/>
      <c r="AV27"/>
      <c r="AW27"/>
      <c r="AX27"/>
      <c r="AY27"/>
      <c r="AZ27"/>
      <c r="BA27"/>
      <c r="BB27"/>
      <c r="BC27"/>
      <c r="BD27"/>
      <c r="BE27"/>
      <c r="BF27"/>
    </row>
    <row r="28" spans="3:58" ht="15.95" customHeight="1" x14ac:dyDescent="0.25">
      <c r="C28" s="493">
        <v>3</v>
      </c>
      <c r="D28" s="996"/>
      <c r="E28" s="996"/>
      <c r="F28" s="996"/>
      <c r="G28" s="996"/>
      <c r="H28" s="996"/>
      <c r="I28" s="996"/>
      <c r="J28" s="996"/>
      <c r="K28" s="996"/>
      <c r="L28" s="996"/>
      <c r="M28" s="997"/>
      <c r="N28" s="997"/>
      <c r="O28" s="997"/>
      <c r="P28" s="997"/>
      <c r="Q28" s="997"/>
      <c r="R28" s="995">
        <f t="shared" si="0"/>
        <v>0</v>
      </c>
      <c r="S28" s="995"/>
      <c r="T28" s="995"/>
      <c r="U28" s="995"/>
      <c r="V28" s="491"/>
      <c r="W28" s="135"/>
      <c r="X28" s="493">
        <v>3</v>
      </c>
      <c r="Y28" s="996"/>
      <c r="Z28" s="996"/>
      <c r="AA28" s="996"/>
      <c r="AB28" s="996"/>
      <c r="AC28" s="996"/>
      <c r="AD28" s="996"/>
      <c r="AE28" s="996"/>
      <c r="AF28" s="996"/>
      <c r="AG28" s="996"/>
      <c r="AH28" s="997"/>
      <c r="AI28" s="997"/>
      <c r="AJ28" s="997"/>
      <c r="AK28" s="997"/>
      <c r="AL28" s="997"/>
      <c r="AM28" s="995">
        <f t="shared" si="1"/>
        <v>0</v>
      </c>
      <c r="AN28" s="995"/>
      <c r="AO28" s="995"/>
      <c r="AP28" s="995"/>
      <c r="AQ28" s="491"/>
      <c r="AS28"/>
      <c r="AT28"/>
      <c r="AU28"/>
      <c r="AV28"/>
      <c r="AW28"/>
      <c r="AX28"/>
      <c r="AY28"/>
      <c r="AZ28"/>
      <c r="BA28"/>
      <c r="BB28"/>
      <c r="BC28"/>
      <c r="BD28"/>
      <c r="BE28"/>
      <c r="BF28"/>
    </row>
    <row r="29" spans="3:58" ht="15.95" customHeight="1" x14ac:dyDescent="0.25">
      <c r="C29" s="493">
        <v>4</v>
      </c>
      <c r="D29" s="996"/>
      <c r="E29" s="996"/>
      <c r="F29" s="996"/>
      <c r="G29" s="996"/>
      <c r="H29" s="996"/>
      <c r="I29" s="996"/>
      <c r="J29" s="996"/>
      <c r="K29" s="996"/>
      <c r="L29" s="996"/>
      <c r="M29" s="997"/>
      <c r="N29" s="997"/>
      <c r="O29" s="997"/>
      <c r="P29" s="997"/>
      <c r="Q29" s="997"/>
      <c r="R29" s="995">
        <f t="shared" si="0"/>
        <v>0</v>
      </c>
      <c r="S29" s="995"/>
      <c r="T29" s="995"/>
      <c r="U29" s="995"/>
      <c r="V29" s="491"/>
      <c r="W29" s="135"/>
      <c r="X29" s="493">
        <v>4</v>
      </c>
      <c r="Y29" s="996"/>
      <c r="Z29" s="996"/>
      <c r="AA29" s="996"/>
      <c r="AB29" s="996"/>
      <c r="AC29" s="996"/>
      <c r="AD29" s="996"/>
      <c r="AE29" s="996"/>
      <c r="AF29" s="996"/>
      <c r="AG29" s="996"/>
      <c r="AH29" s="997"/>
      <c r="AI29" s="997"/>
      <c r="AJ29" s="997"/>
      <c r="AK29" s="997"/>
      <c r="AL29" s="997"/>
      <c r="AM29" s="995">
        <f t="shared" si="1"/>
        <v>0</v>
      </c>
      <c r="AN29" s="995"/>
      <c r="AO29" s="995"/>
      <c r="AP29" s="995"/>
      <c r="AQ29" s="491"/>
      <c r="AS29"/>
      <c r="AT29"/>
      <c r="AU29"/>
      <c r="AV29"/>
      <c r="AW29"/>
      <c r="AX29"/>
      <c r="AY29"/>
      <c r="AZ29"/>
      <c r="BA29"/>
      <c r="BB29"/>
      <c r="BC29"/>
      <c r="BD29"/>
      <c r="BE29"/>
      <c r="BF29"/>
    </row>
    <row r="30" spans="3:58" ht="15.95" customHeight="1" x14ac:dyDescent="0.25">
      <c r="C30" s="493">
        <v>5</v>
      </c>
      <c r="D30" s="996"/>
      <c r="E30" s="996"/>
      <c r="F30" s="996"/>
      <c r="G30" s="996"/>
      <c r="H30" s="996"/>
      <c r="I30" s="996"/>
      <c r="J30" s="996"/>
      <c r="K30" s="996"/>
      <c r="L30" s="996"/>
      <c r="M30" s="997"/>
      <c r="N30" s="997"/>
      <c r="O30" s="997"/>
      <c r="P30" s="997"/>
      <c r="Q30" s="997"/>
      <c r="R30" s="995">
        <f t="shared" si="0"/>
        <v>0</v>
      </c>
      <c r="S30" s="995"/>
      <c r="T30" s="995"/>
      <c r="U30" s="995"/>
      <c r="V30" s="491"/>
      <c r="W30" s="135"/>
      <c r="X30" s="493">
        <v>5</v>
      </c>
      <c r="Y30" s="996"/>
      <c r="Z30" s="996"/>
      <c r="AA30" s="996"/>
      <c r="AB30" s="996"/>
      <c r="AC30" s="996"/>
      <c r="AD30" s="996"/>
      <c r="AE30" s="996"/>
      <c r="AF30" s="996"/>
      <c r="AG30" s="996"/>
      <c r="AH30" s="997"/>
      <c r="AI30" s="997"/>
      <c r="AJ30" s="997"/>
      <c r="AK30" s="997"/>
      <c r="AL30" s="997"/>
      <c r="AM30" s="995">
        <f t="shared" si="1"/>
        <v>0</v>
      </c>
      <c r="AN30" s="995"/>
      <c r="AO30" s="995"/>
      <c r="AP30" s="995"/>
      <c r="AQ30" s="491"/>
      <c r="AS30"/>
      <c r="AT30"/>
      <c r="AU30"/>
      <c r="AV30"/>
      <c r="AW30"/>
      <c r="AX30"/>
      <c r="AY30"/>
      <c r="AZ30"/>
      <c r="BA30"/>
      <c r="BB30"/>
      <c r="BC30"/>
      <c r="BD30"/>
      <c r="BE30"/>
      <c r="BF30"/>
    </row>
    <row r="31" spans="3:58" ht="15.95" customHeight="1" x14ac:dyDescent="0.25">
      <c r="C31" s="493">
        <v>6</v>
      </c>
      <c r="D31" s="996"/>
      <c r="E31" s="996"/>
      <c r="F31" s="996"/>
      <c r="G31" s="996"/>
      <c r="H31" s="996"/>
      <c r="I31" s="996"/>
      <c r="J31" s="996"/>
      <c r="K31" s="996"/>
      <c r="L31" s="996"/>
      <c r="M31" s="997"/>
      <c r="N31" s="997"/>
      <c r="O31" s="997"/>
      <c r="P31" s="997"/>
      <c r="Q31" s="997"/>
      <c r="R31" s="995">
        <f t="shared" si="0"/>
        <v>0</v>
      </c>
      <c r="S31" s="995"/>
      <c r="T31" s="995"/>
      <c r="U31" s="995"/>
      <c r="V31" s="491"/>
      <c r="W31" s="135"/>
      <c r="X31" s="493">
        <v>6</v>
      </c>
      <c r="Y31" s="996"/>
      <c r="Z31" s="996"/>
      <c r="AA31" s="996"/>
      <c r="AB31" s="996"/>
      <c r="AC31" s="996"/>
      <c r="AD31" s="996"/>
      <c r="AE31" s="996"/>
      <c r="AF31" s="996"/>
      <c r="AG31" s="996"/>
      <c r="AH31" s="997"/>
      <c r="AI31" s="997"/>
      <c r="AJ31" s="997"/>
      <c r="AK31" s="997"/>
      <c r="AL31" s="997"/>
      <c r="AM31" s="995">
        <f t="shared" si="1"/>
        <v>0</v>
      </c>
      <c r="AN31" s="995"/>
      <c r="AO31" s="995"/>
      <c r="AP31" s="995"/>
      <c r="AQ31" s="491"/>
      <c r="AS31"/>
      <c r="AT31"/>
      <c r="AU31"/>
      <c r="AV31"/>
      <c r="AW31"/>
      <c r="AX31"/>
      <c r="AY31"/>
      <c r="AZ31"/>
      <c r="BA31"/>
      <c r="BB31"/>
      <c r="BC31"/>
      <c r="BD31"/>
      <c r="BE31"/>
      <c r="BF31"/>
    </row>
    <row r="32" spans="3:58" ht="15.95" customHeight="1" x14ac:dyDescent="0.25">
      <c r="C32" s="493">
        <v>7</v>
      </c>
      <c r="D32" s="996"/>
      <c r="E32" s="996"/>
      <c r="F32" s="996"/>
      <c r="G32" s="996"/>
      <c r="H32" s="996"/>
      <c r="I32" s="996"/>
      <c r="J32" s="996"/>
      <c r="K32" s="996"/>
      <c r="L32" s="996"/>
      <c r="M32" s="997"/>
      <c r="N32" s="997"/>
      <c r="O32" s="997"/>
      <c r="P32" s="997"/>
      <c r="Q32" s="997"/>
      <c r="R32" s="995">
        <f t="shared" si="0"/>
        <v>0</v>
      </c>
      <c r="S32" s="995"/>
      <c r="T32" s="995"/>
      <c r="U32" s="995"/>
      <c r="V32" s="491"/>
      <c r="W32" s="135"/>
      <c r="X32" s="493">
        <v>7</v>
      </c>
      <c r="Y32" s="996"/>
      <c r="Z32" s="996"/>
      <c r="AA32" s="996"/>
      <c r="AB32" s="996"/>
      <c r="AC32" s="996"/>
      <c r="AD32" s="996"/>
      <c r="AE32" s="996"/>
      <c r="AF32" s="996"/>
      <c r="AG32" s="996"/>
      <c r="AH32" s="997"/>
      <c r="AI32" s="997"/>
      <c r="AJ32" s="997"/>
      <c r="AK32" s="997"/>
      <c r="AL32" s="997"/>
      <c r="AM32" s="995">
        <f t="shared" si="1"/>
        <v>0</v>
      </c>
      <c r="AN32" s="995"/>
      <c r="AO32" s="995"/>
      <c r="AP32" s="995"/>
      <c r="AQ32" s="491"/>
      <c r="AS32"/>
      <c r="AT32"/>
      <c r="AU32"/>
      <c r="AV32"/>
      <c r="AW32"/>
      <c r="AX32"/>
      <c r="AY32"/>
      <c r="AZ32"/>
      <c r="BA32"/>
      <c r="BB32"/>
      <c r="BC32"/>
      <c r="BD32"/>
      <c r="BE32"/>
      <c r="BF32"/>
    </row>
    <row r="33" spans="3:58" ht="15.95" customHeight="1" x14ac:dyDescent="0.25">
      <c r="C33" s="493">
        <v>8</v>
      </c>
      <c r="D33" s="996"/>
      <c r="E33" s="996"/>
      <c r="F33" s="996"/>
      <c r="G33" s="996"/>
      <c r="H33" s="996"/>
      <c r="I33" s="996"/>
      <c r="J33" s="996"/>
      <c r="K33" s="996"/>
      <c r="L33" s="996"/>
      <c r="M33" s="997"/>
      <c r="N33" s="997"/>
      <c r="O33" s="997"/>
      <c r="P33" s="997"/>
      <c r="Q33" s="997"/>
      <c r="R33" s="995">
        <f t="shared" si="0"/>
        <v>0</v>
      </c>
      <c r="S33" s="995"/>
      <c r="T33" s="995"/>
      <c r="U33" s="995"/>
      <c r="V33" s="491"/>
      <c r="W33" s="135"/>
      <c r="X33" s="493">
        <v>8</v>
      </c>
      <c r="Y33" s="996"/>
      <c r="Z33" s="996"/>
      <c r="AA33" s="996"/>
      <c r="AB33" s="996"/>
      <c r="AC33" s="996"/>
      <c r="AD33" s="996"/>
      <c r="AE33" s="996"/>
      <c r="AF33" s="996"/>
      <c r="AG33" s="996"/>
      <c r="AH33" s="997"/>
      <c r="AI33" s="997"/>
      <c r="AJ33" s="997"/>
      <c r="AK33" s="997"/>
      <c r="AL33" s="997"/>
      <c r="AM33" s="995">
        <f t="shared" si="1"/>
        <v>0</v>
      </c>
      <c r="AN33" s="995"/>
      <c r="AO33" s="995"/>
      <c r="AP33" s="995"/>
      <c r="AQ33" s="491"/>
      <c r="AS33"/>
      <c r="AT33"/>
      <c r="AU33"/>
      <c r="AV33"/>
      <c r="AW33"/>
      <c r="AX33"/>
      <c r="AY33"/>
      <c r="AZ33"/>
      <c r="BA33"/>
      <c r="BB33"/>
      <c r="BC33"/>
      <c r="BD33"/>
      <c r="BE33"/>
      <c r="BF33"/>
    </row>
    <row r="34" spans="3:58" ht="15.95" customHeight="1" x14ac:dyDescent="0.25">
      <c r="C34" s="493">
        <v>9</v>
      </c>
      <c r="D34" s="996"/>
      <c r="E34" s="996"/>
      <c r="F34" s="996"/>
      <c r="G34" s="996"/>
      <c r="H34" s="996"/>
      <c r="I34" s="996"/>
      <c r="J34" s="996"/>
      <c r="K34" s="996"/>
      <c r="L34" s="996"/>
      <c r="M34" s="997"/>
      <c r="N34" s="997"/>
      <c r="O34" s="997"/>
      <c r="P34" s="997"/>
      <c r="Q34" s="997"/>
      <c r="R34" s="995">
        <f t="shared" si="0"/>
        <v>0</v>
      </c>
      <c r="S34" s="995"/>
      <c r="T34" s="995"/>
      <c r="U34" s="995"/>
      <c r="V34" s="491"/>
      <c r="W34" s="135"/>
      <c r="X34" s="493">
        <v>9</v>
      </c>
      <c r="Y34" s="996"/>
      <c r="Z34" s="996"/>
      <c r="AA34" s="996"/>
      <c r="AB34" s="996"/>
      <c r="AC34" s="996"/>
      <c r="AD34" s="996"/>
      <c r="AE34" s="996"/>
      <c r="AF34" s="996"/>
      <c r="AG34" s="996"/>
      <c r="AH34" s="997"/>
      <c r="AI34" s="997"/>
      <c r="AJ34" s="997"/>
      <c r="AK34" s="997"/>
      <c r="AL34" s="997"/>
      <c r="AM34" s="995">
        <f t="shared" si="1"/>
        <v>0</v>
      </c>
      <c r="AN34" s="995"/>
      <c r="AO34" s="995"/>
      <c r="AP34" s="995"/>
      <c r="AQ34" s="491"/>
      <c r="AS34"/>
      <c r="AT34"/>
      <c r="AU34"/>
      <c r="AV34"/>
      <c r="AW34"/>
      <c r="AX34"/>
      <c r="AY34"/>
      <c r="AZ34"/>
      <c r="BA34"/>
      <c r="BB34"/>
      <c r="BC34"/>
      <c r="BD34"/>
      <c r="BE34"/>
      <c r="BF34"/>
    </row>
    <row r="35" spans="3:58" ht="15.95" customHeight="1" x14ac:dyDescent="0.25">
      <c r="C35" s="493">
        <v>10</v>
      </c>
      <c r="D35" s="996"/>
      <c r="E35" s="996"/>
      <c r="F35" s="996"/>
      <c r="G35" s="996"/>
      <c r="H35" s="996"/>
      <c r="I35" s="996"/>
      <c r="J35" s="996"/>
      <c r="K35" s="996"/>
      <c r="L35" s="996"/>
      <c r="M35" s="997"/>
      <c r="N35" s="997"/>
      <c r="O35" s="997"/>
      <c r="P35" s="997"/>
      <c r="Q35" s="997"/>
      <c r="R35" s="995">
        <f t="shared" si="0"/>
        <v>0</v>
      </c>
      <c r="S35" s="995"/>
      <c r="T35" s="995"/>
      <c r="U35" s="995"/>
      <c r="V35" s="491"/>
      <c r="W35" s="135"/>
      <c r="X35" s="493">
        <v>10</v>
      </c>
      <c r="Y35" s="996"/>
      <c r="Z35" s="996"/>
      <c r="AA35" s="996"/>
      <c r="AB35" s="996"/>
      <c r="AC35" s="996"/>
      <c r="AD35" s="996"/>
      <c r="AE35" s="996"/>
      <c r="AF35" s="996"/>
      <c r="AG35" s="996"/>
      <c r="AH35" s="997"/>
      <c r="AI35" s="997"/>
      <c r="AJ35" s="997"/>
      <c r="AK35" s="997"/>
      <c r="AL35" s="997"/>
      <c r="AM35" s="995">
        <f t="shared" si="1"/>
        <v>0</v>
      </c>
      <c r="AN35" s="995"/>
      <c r="AO35" s="995"/>
      <c r="AP35" s="995"/>
      <c r="AQ35" s="491"/>
      <c r="AS35"/>
      <c r="AT35"/>
      <c r="AU35"/>
      <c r="AV35"/>
      <c r="AW35"/>
      <c r="AX35"/>
      <c r="AY35"/>
      <c r="AZ35"/>
      <c r="BA35"/>
      <c r="BB35"/>
      <c r="BC35"/>
      <c r="BD35"/>
      <c r="BE35"/>
      <c r="BF35"/>
    </row>
    <row r="36" spans="3:58" ht="15.95" customHeight="1" x14ac:dyDescent="0.25">
      <c r="C36" s="493">
        <v>11</v>
      </c>
      <c r="D36" s="996"/>
      <c r="E36" s="996"/>
      <c r="F36" s="996"/>
      <c r="G36" s="996"/>
      <c r="H36" s="996"/>
      <c r="I36" s="996"/>
      <c r="J36" s="996"/>
      <c r="K36" s="996"/>
      <c r="L36" s="996"/>
      <c r="M36" s="997"/>
      <c r="N36" s="997"/>
      <c r="O36" s="997"/>
      <c r="P36" s="997"/>
      <c r="Q36" s="997"/>
      <c r="R36" s="995">
        <f t="shared" si="0"/>
        <v>0</v>
      </c>
      <c r="S36" s="995"/>
      <c r="T36" s="995"/>
      <c r="U36" s="995"/>
      <c r="V36" s="491"/>
      <c r="W36" s="135"/>
      <c r="X36" s="493">
        <v>11</v>
      </c>
      <c r="Y36" s="996"/>
      <c r="Z36" s="996"/>
      <c r="AA36" s="996"/>
      <c r="AB36" s="996"/>
      <c r="AC36" s="996"/>
      <c r="AD36" s="996"/>
      <c r="AE36" s="996"/>
      <c r="AF36" s="996"/>
      <c r="AG36" s="996"/>
      <c r="AH36" s="997"/>
      <c r="AI36" s="997"/>
      <c r="AJ36" s="997"/>
      <c r="AK36" s="997"/>
      <c r="AL36" s="997"/>
      <c r="AM36" s="995">
        <f t="shared" si="1"/>
        <v>0</v>
      </c>
      <c r="AN36" s="995"/>
      <c r="AO36" s="995"/>
      <c r="AP36" s="995"/>
      <c r="AQ36" s="491"/>
      <c r="AS36"/>
      <c r="AT36"/>
      <c r="AU36"/>
      <c r="AV36"/>
      <c r="AW36"/>
      <c r="AX36"/>
      <c r="AY36"/>
      <c r="AZ36"/>
      <c r="BA36"/>
      <c r="BB36"/>
      <c r="BC36"/>
      <c r="BD36"/>
      <c r="BE36"/>
      <c r="BF36"/>
    </row>
    <row r="37" spans="3:58" ht="15.95" customHeight="1" x14ac:dyDescent="0.25">
      <c r="C37" s="493">
        <v>12</v>
      </c>
      <c r="D37" s="996"/>
      <c r="E37" s="996"/>
      <c r="F37" s="996"/>
      <c r="G37" s="996"/>
      <c r="H37" s="996"/>
      <c r="I37" s="996"/>
      <c r="J37" s="996"/>
      <c r="K37" s="996"/>
      <c r="L37" s="996"/>
      <c r="M37" s="997"/>
      <c r="N37" s="997"/>
      <c r="O37" s="997"/>
      <c r="P37" s="997"/>
      <c r="Q37" s="997"/>
      <c r="R37" s="995">
        <f t="shared" si="0"/>
        <v>0</v>
      </c>
      <c r="S37" s="995"/>
      <c r="T37" s="995"/>
      <c r="U37" s="995"/>
      <c r="V37" s="491"/>
      <c r="W37" s="135"/>
      <c r="X37" s="493">
        <v>12</v>
      </c>
      <c r="Y37" s="996"/>
      <c r="Z37" s="996"/>
      <c r="AA37" s="996"/>
      <c r="AB37" s="996"/>
      <c r="AC37" s="996"/>
      <c r="AD37" s="996"/>
      <c r="AE37" s="996"/>
      <c r="AF37" s="996"/>
      <c r="AG37" s="996"/>
      <c r="AH37" s="997"/>
      <c r="AI37" s="997"/>
      <c r="AJ37" s="997"/>
      <c r="AK37" s="997"/>
      <c r="AL37" s="997"/>
      <c r="AM37" s="995">
        <f t="shared" si="1"/>
        <v>0</v>
      </c>
      <c r="AN37" s="995"/>
      <c r="AO37" s="995"/>
      <c r="AP37" s="995"/>
      <c r="AQ37" s="491"/>
      <c r="AS37"/>
      <c r="AT37"/>
      <c r="AU37"/>
      <c r="AV37"/>
      <c r="AW37"/>
      <c r="AX37"/>
      <c r="AY37"/>
      <c r="AZ37"/>
      <c r="BA37"/>
      <c r="BB37"/>
      <c r="BC37"/>
      <c r="BD37"/>
      <c r="BE37"/>
      <c r="BF37"/>
    </row>
    <row r="38" spans="3:58" ht="15.95" customHeight="1" x14ac:dyDescent="0.25">
      <c r="C38" s="493">
        <v>13</v>
      </c>
      <c r="D38" s="996"/>
      <c r="E38" s="996"/>
      <c r="F38" s="996"/>
      <c r="G38" s="996"/>
      <c r="H38" s="996"/>
      <c r="I38" s="996"/>
      <c r="J38" s="996"/>
      <c r="K38" s="996"/>
      <c r="L38" s="996"/>
      <c r="M38" s="997"/>
      <c r="N38" s="997"/>
      <c r="O38" s="997"/>
      <c r="P38" s="997"/>
      <c r="Q38" s="997"/>
      <c r="R38" s="995">
        <f t="shared" si="0"/>
        <v>0</v>
      </c>
      <c r="S38" s="995"/>
      <c r="T38" s="995"/>
      <c r="U38" s="995"/>
      <c r="V38" s="491"/>
      <c r="W38" s="135"/>
      <c r="X38" s="493">
        <v>13</v>
      </c>
      <c r="Y38" s="996"/>
      <c r="Z38" s="996"/>
      <c r="AA38" s="996"/>
      <c r="AB38" s="996"/>
      <c r="AC38" s="996"/>
      <c r="AD38" s="996"/>
      <c r="AE38" s="996"/>
      <c r="AF38" s="996"/>
      <c r="AG38" s="996"/>
      <c r="AH38" s="997"/>
      <c r="AI38" s="997"/>
      <c r="AJ38" s="997"/>
      <c r="AK38" s="997"/>
      <c r="AL38" s="997"/>
      <c r="AM38" s="995">
        <f t="shared" si="1"/>
        <v>0</v>
      </c>
      <c r="AN38" s="995"/>
      <c r="AO38" s="995"/>
      <c r="AP38" s="995"/>
      <c r="AQ38" s="491"/>
      <c r="AS38"/>
      <c r="AT38"/>
      <c r="AU38"/>
      <c r="AV38"/>
      <c r="AW38"/>
      <c r="AX38"/>
      <c r="AY38"/>
      <c r="AZ38"/>
      <c r="BA38"/>
      <c r="BB38"/>
      <c r="BC38"/>
      <c r="BD38"/>
      <c r="BE38"/>
      <c r="BF38"/>
    </row>
    <row r="39" spans="3:58" ht="15.95" customHeight="1" x14ac:dyDescent="0.25">
      <c r="C39" s="493">
        <v>14</v>
      </c>
      <c r="D39" s="996"/>
      <c r="E39" s="996"/>
      <c r="F39" s="996"/>
      <c r="G39" s="996"/>
      <c r="H39" s="996"/>
      <c r="I39" s="996"/>
      <c r="J39" s="996"/>
      <c r="K39" s="996"/>
      <c r="L39" s="996"/>
      <c r="M39" s="997"/>
      <c r="N39" s="997"/>
      <c r="O39" s="997"/>
      <c r="P39" s="997"/>
      <c r="Q39" s="997"/>
      <c r="R39" s="995">
        <f t="shared" si="0"/>
        <v>0</v>
      </c>
      <c r="S39" s="995"/>
      <c r="T39" s="995"/>
      <c r="U39" s="995"/>
      <c r="V39" s="491"/>
      <c r="W39" s="135"/>
      <c r="X39" s="493">
        <v>14</v>
      </c>
      <c r="Y39" s="996"/>
      <c r="Z39" s="996"/>
      <c r="AA39" s="996"/>
      <c r="AB39" s="996"/>
      <c r="AC39" s="996"/>
      <c r="AD39" s="996"/>
      <c r="AE39" s="996"/>
      <c r="AF39" s="996"/>
      <c r="AG39" s="996"/>
      <c r="AH39" s="997"/>
      <c r="AI39" s="997"/>
      <c r="AJ39" s="997"/>
      <c r="AK39" s="997"/>
      <c r="AL39" s="997"/>
      <c r="AM39" s="995">
        <f t="shared" si="1"/>
        <v>0</v>
      </c>
      <c r="AN39" s="995"/>
      <c r="AO39" s="995"/>
      <c r="AP39" s="995"/>
      <c r="AQ39" s="491"/>
      <c r="AS39"/>
      <c r="AT39"/>
      <c r="AU39"/>
      <c r="AV39"/>
      <c r="AW39"/>
      <c r="AX39"/>
      <c r="AY39"/>
      <c r="AZ39"/>
      <c r="BA39"/>
      <c r="BB39"/>
      <c r="BC39"/>
      <c r="BD39"/>
      <c r="BE39"/>
      <c r="BF39"/>
    </row>
    <row r="40" spans="3:58" ht="15.95" customHeight="1" x14ac:dyDescent="0.25">
      <c r="C40" s="493">
        <v>15</v>
      </c>
      <c r="D40" s="996"/>
      <c r="E40" s="996"/>
      <c r="F40" s="996"/>
      <c r="G40" s="996"/>
      <c r="H40" s="996"/>
      <c r="I40" s="996"/>
      <c r="J40" s="996"/>
      <c r="K40" s="996"/>
      <c r="L40" s="996"/>
      <c r="M40" s="997"/>
      <c r="N40" s="997"/>
      <c r="O40" s="997"/>
      <c r="P40" s="997"/>
      <c r="Q40" s="997"/>
      <c r="R40" s="995">
        <f t="shared" si="0"/>
        <v>0</v>
      </c>
      <c r="S40" s="995"/>
      <c r="T40" s="995"/>
      <c r="U40" s="995"/>
      <c r="V40" s="491"/>
      <c r="W40" s="135"/>
      <c r="X40" s="493">
        <v>15</v>
      </c>
      <c r="Y40" s="996"/>
      <c r="Z40" s="996"/>
      <c r="AA40" s="996"/>
      <c r="AB40" s="996"/>
      <c r="AC40" s="996"/>
      <c r="AD40" s="996"/>
      <c r="AE40" s="996"/>
      <c r="AF40" s="996"/>
      <c r="AG40" s="996"/>
      <c r="AH40" s="997"/>
      <c r="AI40" s="997"/>
      <c r="AJ40" s="997"/>
      <c r="AK40" s="997"/>
      <c r="AL40" s="997"/>
      <c r="AM40" s="995">
        <f t="shared" si="1"/>
        <v>0</v>
      </c>
      <c r="AN40" s="995"/>
      <c r="AO40" s="995"/>
      <c r="AP40" s="995"/>
      <c r="AQ40" s="491"/>
      <c r="AS40"/>
      <c r="AT40"/>
      <c r="AU40"/>
      <c r="AV40"/>
      <c r="AW40"/>
      <c r="AX40"/>
      <c r="AY40"/>
      <c r="AZ40"/>
      <c r="BA40"/>
      <c r="BB40"/>
      <c r="BC40"/>
      <c r="BD40"/>
      <c r="BE40"/>
      <c r="BF40"/>
    </row>
    <row r="41" spans="3:58" ht="15.95" customHeight="1" x14ac:dyDescent="0.25">
      <c r="C41" s="493">
        <v>16</v>
      </c>
      <c r="D41" s="996"/>
      <c r="E41" s="996"/>
      <c r="F41" s="996"/>
      <c r="G41" s="996"/>
      <c r="H41" s="996"/>
      <c r="I41" s="996"/>
      <c r="J41" s="996"/>
      <c r="K41" s="996"/>
      <c r="L41" s="996"/>
      <c r="M41" s="997"/>
      <c r="N41" s="997"/>
      <c r="O41" s="997"/>
      <c r="P41" s="997"/>
      <c r="Q41" s="997"/>
      <c r="R41" s="995">
        <f t="shared" si="0"/>
        <v>0</v>
      </c>
      <c r="S41" s="995"/>
      <c r="T41" s="995"/>
      <c r="U41" s="995"/>
      <c r="V41" s="491"/>
      <c r="W41" s="135"/>
      <c r="X41" s="493">
        <v>16</v>
      </c>
      <c r="Y41" s="996"/>
      <c r="Z41" s="996"/>
      <c r="AA41" s="996"/>
      <c r="AB41" s="996"/>
      <c r="AC41" s="996"/>
      <c r="AD41" s="996"/>
      <c r="AE41" s="996"/>
      <c r="AF41" s="996"/>
      <c r="AG41" s="996"/>
      <c r="AH41" s="997"/>
      <c r="AI41" s="997"/>
      <c r="AJ41" s="997"/>
      <c r="AK41" s="997"/>
      <c r="AL41" s="997"/>
      <c r="AM41" s="995">
        <f t="shared" si="1"/>
        <v>0</v>
      </c>
      <c r="AN41" s="995"/>
      <c r="AO41" s="995"/>
      <c r="AP41" s="995"/>
      <c r="AQ41" s="491"/>
      <c r="AS41"/>
      <c r="AT41"/>
      <c r="AU41"/>
      <c r="AV41"/>
      <c r="AW41"/>
      <c r="AX41"/>
      <c r="AY41"/>
      <c r="AZ41"/>
      <c r="BA41"/>
      <c r="BB41"/>
      <c r="BC41"/>
      <c r="BD41"/>
      <c r="BE41"/>
      <c r="BF41"/>
    </row>
    <row r="42" spans="3:58" ht="15.95" customHeight="1" x14ac:dyDescent="0.25">
      <c r="C42" s="493">
        <v>17</v>
      </c>
      <c r="D42" s="996"/>
      <c r="E42" s="996"/>
      <c r="F42" s="996"/>
      <c r="G42" s="996"/>
      <c r="H42" s="996"/>
      <c r="I42" s="996"/>
      <c r="J42" s="996"/>
      <c r="K42" s="996"/>
      <c r="L42" s="996"/>
      <c r="M42" s="997"/>
      <c r="N42" s="997"/>
      <c r="O42" s="997"/>
      <c r="P42" s="997"/>
      <c r="Q42" s="997"/>
      <c r="R42" s="995">
        <f t="shared" si="0"/>
        <v>0</v>
      </c>
      <c r="S42" s="995"/>
      <c r="T42" s="995"/>
      <c r="U42" s="995"/>
      <c r="V42" s="491"/>
      <c r="W42" s="135"/>
      <c r="X42" s="493">
        <v>17</v>
      </c>
      <c r="Y42" s="996"/>
      <c r="Z42" s="996"/>
      <c r="AA42" s="996"/>
      <c r="AB42" s="996"/>
      <c r="AC42" s="996"/>
      <c r="AD42" s="996"/>
      <c r="AE42" s="996"/>
      <c r="AF42" s="996"/>
      <c r="AG42" s="996"/>
      <c r="AH42" s="997"/>
      <c r="AI42" s="997"/>
      <c r="AJ42" s="997"/>
      <c r="AK42" s="997"/>
      <c r="AL42" s="997"/>
      <c r="AM42" s="995">
        <f t="shared" si="1"/>
        <v>0</v>
      </c>
      <c r="AN42" s="995"/>
      <c r="AO42" s="995"/>
      <c r="AP42" s="995"/>
      <c r="AQ42" s="491"/>
      <c r="AS42"/>
      <c r="AT42"/>
      <c r="AU42"/>
      <c r="AV42"/>
      <c r="AW42"/>
      <c r="AX42"/>
      <c r="AY42"/>
      <c r="AZ42"/>
      <c r="BA42"/>
      <c r="BB42"/>
      <c r="BC42"/>
      <c r="BD42"/>
      <c r="BE42"/>
      <c r="BF42"/>
    </row>
    <row r="43" spans="3:58" ht="15.95" customHeight="1" x14ac:dyDescent="0.25">
      <c r="C43" s="493">
        <v>18</v>
      </c>
      <c r="D43" s="996"/>
      <c r="E43" s="996"/>
      <c r="F43" s="996"/>
      <c r="G43" s="996"/>
      <c r="H43" s="996"/>
      <c r="I43" s="996"/>
      <c r="J43" s="996"/>
      <c r="K43" s="996"/>
      <c r="L43" s="996"/>
      <c r="M43" s="997"/>
      <c r="N43" s="997"/>
      <c r="O43" s="997"/>
      <c r="P43" s="997"/>
      <c r="Q43" s="997"/>
      <c r="R43" s="995">
        <f t="shared" si="0"/>
        <v>0</v>
      </c>
      <c r="S43" s="995"/>
      <c r="T43" s="995"/>
      <c r="U43" s="995"/>
      <c r="V43" s="491"/>
      <c r="W43" s="135"/>
      <c r="X43" s="493">
        <v>18</v>
      </c>
      <c r="Y43" s="996"/>
      <c r="Z43" s="996"/>
      <c r="AA43" s="996"/>
      <c r="AB43" s="996"/>
      <c r="AC43" s="996"/>
      <c r="AD43" s="996"/>
      <c r="AE43" s="996"/>
      <c r="AF43" s="996"/>
      <c r="AG43" s="996"/>
      <c r="AH43" s="997"/>
      <c r="AI43" s="997"/>
      <c r="AJ43" s="997"/>
      <c r="AK43" s="997"/>
      <c r="AL43" s="997"/>
      <c r="AM43" s="995">
        <f t="shared" si="1"/>
        <v>0</v>
      </c>
      <c r="AN43" s="995"/>
      <c r="AO43" s="995"/>
      <c r="AP43" s="995"/>
      <c r="AQ43" s="491"/>
      <c r="AS43"/>
      <c r="AT43"/>
      <c r="AU43"/>
      <c r="AV43"/>
      <c r="AW43"/>
      <c r="AX43"/>
      <c r="AY43"/>
      <c r="AZ43"/>
      <c r="BA43"/>
      <c r="BB43"/>
      <c r="BC43"/>
      <c r="BD43"/>
      <c r="BE43"/>
      <c r="BF43"/>
    </row>
    <row r="44" spans="3:58" ht="15.95" customHeight="1" x14ac:dyDescent="0.25">
      <c r="C44" s="493">
        <v>19</v>
      </c>
      <c r="D44" s="996"/>
      <c r="E44" s="996"/>
      <c r="F44" s="996"/>
      <c r="G44" s="996"/>
      <c r="H44" s="996"/>
      <c r="I44" s="996"/>
      <c r="J44" s="996"/>
      <c r="K44" s="996"/>
      <c r="L44" s="996"/>
      <c r="M44" s="997"/>
      <c r="N44" s="997"/>
      <c r="O44" s="997"/>
      <c r="P44" s="997"/>
      <c r="Q44" s="997"/>
      <c r="R44" s="995">
        <f t="shared" si="0"/>
        <v>0</v>
      </c>
      <c r="S44" s="995"/>
      <c r="T44" s="995"/>
      <c r="U44" s="995"/>
      <c r="V44" s="491"/>
      <c r="W44" s="135"/>
      <c r="X44" s="493">
        <v>19</v>
      </c>
      <c r="Y44" s="996"/>
      <c r="Z44" s="996"/>
      <c r="AA44" s="996"/>
      <c r="AB44" s="996"/>
      <c r="AC44" s="996"/>
      <c r="AD44" s="996"/>
      <c r="AE44" s="996"/>
      <c r="AF44" s="996"/>
      <c r="AG44" s="996"/>
      <c r="AH44" s="997"/>
      <c r="AI44" s="997"/>
      <c r="AJ44" s="997"/>
      <c r="AK44" s="997"/>
      <c r="AL44" s="997"/>
      <c r="AM44" s="995">
        <f t="shared" si="1"/>
        <v>0</v>
      </c>
      <c r="AN44" s="995"/>
      <c r="AO44" s="995"/>
      <c r="AP44" s="995"/>
      <c r="AQ44" s="491"/>
      <c r="AS44"/>
      <c r="AT44"/>
      <c r="AU44"/>
      <c r="AV44"/>
      <c r="AW44"/>
      <c r="AX44"/>
      <c r="AY44"/>
      <c r="AZ44"/>
      <c r="BA44"/>
      <c r="BB44"/>
      <c r="BC44"/>
      <c r="BD44"/>
      <c r="BE44"/>
      <c r="BF44"/>
    </row>
    <row r="45" spans="3:58" ht="15.95" customHeight="1" x14ac:dyDescent="0.25">
      <c r="C45" s="493">
        <v>20</v>
      </c>
      <c r="D45" s="996"/>
      <c r="E45" s="996"/>
      <c r="F45" s="996"/>
      <c r="G45" s="996"/>
      <c r="H45" s="996"/>
      <c r="I45" s="996"/>
      <c r="J45" s="996"/>
      <c r="K45" s="996"/>
      <c r="L45" s="996"/>
      <c r="M45" s="997"/>
      <c r="N45" s="997"/>
      <c r="O45" s="997"/>
      <c r="P45" s="997"/>
      <c r="Q45" s="997"/>
      <c r="R45" s="995">
        <f t="shared" si="0"/>
        <v>0</v>
      </c>
      <c r="S45" s="995"/>
      <c r="T45" s="995"/>
      <c r="U45" s="995"/>
      <c r="V45" s="491"/>
      <c r="W45" s="135"/>
      <c r="X45" s="493">
        <v>20</v>
      </c>
      <c r="Y45" s="996"/>
      <c r="Z45" s="996"/>
      <c r="AA45" s="996"/>
      <c r="AB45" s="996"/>
      <c r="AC45" s="996"/>
      <c r="AD45" s="996"/>
      <c r="AE45" s="996"/>
      <c r="AF45" s="996"/>
      <c r="AG45" s="996"/>
      <c r="AH45" s="997"/>
      <c r="AI45" s="997"/>
      <c r="AJ45" s="997"/>
      <c r="AK45" s="997"/>
      <c r="AL45" s="997"/>
      <c r="AM45" s="995">
        <f t="shared" si="1"/>
        <v>0</v>
      </c>
      <c r="AN45" s="995"/>
      <c r="AO45" s="995"/>
      <c r="AP45" s="995"/>
      <c r="AQ45" s="491"/>
      <c r="AS45"/>
      <c r="AT45"/>
      <c r="AU45"/>
      <c r="AV45"/>
      <c r="AW45"/>
      <c r="AX45"/>
      <c r="AY45"/>
      <c r="AZ45"/>
      <c r="BA45"/>
      <c r="BB45"/>
      <c r="BC45"/>
      <c r="BD45"/>
      <c r="BE45"/>
      <c r="BF45"/>
    </row>
    <row r="46" spans="3:58" ht="15.95" customHeight="1" x14ac:dyDescent="0.25">
      <c r="C46" s="493">
        <v>21</v>
      </c>
      <c r="D46" s="996"/>
      <c r="E46" s="996"/>
      <c r="F46" s="996"/>
      <c r="G46" s="996"/>
      <c r="H46" s="996"/>
      <c r="I46" s="996"/>
      <c r="J46" s="996"/>
      <c r="K46" s="996"/>
      <c r="L46" s="996"/>
      <c r="M46" s="997"/>
      <c r="N46" s="997"/>
      <c r="O46" s="997"/>
      <c r="P46" s="997"/>
      <c r="Q46" s="997"/>
      <c r="R46" s="995">
        <f t="shared" si="0"/>
        <v>0</v>
      </c>
      <c r="S46" s="995"/>
      <c r="T46" s="995"/>
      <c r="U46" s="995"/>
      <c r="V46" s="491"/>
      <c r="W46" s="135"/>
      <c r="X46" s="493">
        <v>21</v>
      </c>
      <c r="Y46" s="996"/>
      <c r="Z46" s="996"/>
      <c r="AA46" s="996"/>
      <c r="AB46" s="996"/>
      <c r="AC46" s="996"/>
      <c r="AD46" s="996"/>
      <c r="AE46" s="996"/>
      <c r="AF46" s="996"/>
      <c r="AG46" s="996"/>
      <c r="AH46" s="997"/>
      <c r="AI46" s="997"/>
      <c r="AJ46" s="997"/>
      <c r="AK46" s="997"/>
      <c r="AL46" s="997"/>
      <c r="AM46" s="995">
        <f t="shared" si="1"/>
        <v>0</v>
      </c>
      <c r="AN46" s="995"/>
      <c r="AO46" s="995"/>
      <c r="AP46" s="995"/>
      <c r="AQ46" s="491"/>
      <c r="AS46"/>
      <c r="AT46"/>
      <c r="AU46"/>
      <c r="AV46"/>
      <c r="AW46"/>
      <c r="AX46"/>
      <c r="AY46"/>
      <c r="AZ46"/>
      <c r="BA46"/>
      <c r="BB46"/>
      <c r="BC46"/>
      <c r="BD46"/>
      <c r="BE46"/>
      <c r="BF46"/>
    </row>
    <row r="47" spans="3:58" ht="15.95" customHeight="1" x14ac:dyDescent="0.25">
      <c r="C47" s="493">
        <v>22</v>
      </c>
      <c r="D47" s="996"/>
      <c r="E47" s="996"/>
      <c r="F47" s="996"/>
      <c r="G47" s="996"/>
      <c r="H47" s="996"/>
      <c r="I47" s="996"/>
      <c r="J47" s="996"/>
      <c r="K47" s="996"/>
      <c r="L47" s="996"/>
      <c r="M47" s="997"/>
      <c r="N47" s="997"/>
      <c r="O47" s="997"/>
      <c r="P47" s="997"/>
      <c r="Q47" s="997"/>
      <c r="R47" s="995">
        <f t="shared" si="0"/>
        <v>0</v>
      </c>
      <c r="S47" s="995"/>
      <c r="T47" s="995"/>
      <c r="U47" s="995"/>
      <c r="V47" s="491"/>
      <c r="W47" s="135"/>
      <c r="X47" s="493">
        <v>22</v>
      </c>
      <c r="Y47" s="996"/>
      <c r="Z47" s="996"/>
      <c r="AA47" s="996"/>
      <c r="AB47" s="996"/>
      <c r="AC47" s="996"/>
      <c r="AD47" s="996"/>
      <c r="AE47" s="996"/>
      <c r="AF47" s="996"/>
      <c r="AG47" s="996"/>
      <c r="AH47" s="997"/>
      <c r="AI47" s="997"/>
      <c r="AJ47" s="997"/>
      <c r="AK47" s="997"/>
      <c r="AL47" s="997"/>
      <c r="AM47" s="995">
        <f t="shared" si="1"/>
        <v>0</v>
      </c>
      <c r="AN47" s="995"/>
      <c r="AO47" s="995"/>
      <c r="AP47" s="995"/>
      <c r="AQ47" s="491"/>
      <c r="AS47"/>
      <c r="AT47"/>
      <c r="AU47"/>
      <c r="AV47"/>
      <c r="AW47"/>
      <c r="AX47"/>
      <c r="AY47"/>
      <c r="AZ47"/>
      <c r="BA47"/>
      <c r="BB47"/>
      <c r="BC47"/>
      <c r="BD47"/>
      <c r="BE47"/>
      <c r="BF47"/>
    </row>
    <row r="48" spans="3:58" ht="15.95" customHeight="1" x14ac:dyDescent="0.25">
      <c r="C48" s="493">
        <v>23</v>
      </c>
      <c r="D48" s="996"/>
      <c r="E48" s="996"/>
      <c r="F48" s="996"/>
      <c r="G48" s="996"/>
      <c r="H48" s="996"/>
      <c r="I48" s="996"/>
      <c r="J48" s="996"/>
      <c r="K48" s="996"/>
      <c r="L48" s="996"/>
      <c r="M48" s="997"/>
      <c r="N48" s="997"/>
      <c r="O48" s="997"/>
      <c r="P48" s="997"/>
      <c r="Q48" s="997"/>
      <c r="R48" s="995">
        <f t="shared" si="0"/>
        <v>0</v>
      </c>
      <c r="S48" s="995"/>
      <c r="T48" s="995"/>
      <c r="U48" s="995"/>
      <c r="V48" s="491"/>
      <c r="W48" s="135"/>
      <c r="X48" s="493">
        <v>23</v>
      </c>
      <c r="Y48" s="996"/>
      <c r="Z48" s="996"/>
      <c r="AA48" s="996"/>
      <c r="AB48" s="996"/>
      <c r="AC48" s="996"/>
      <c r="AD48" s="996"/>
      <c r="AE48" s="996"/>
      <c r="AF48" s="996"/>
      <c r="AG48" s="996"/>
      <c r="AH48" s="997"/>
      <c r="AI48" s="997"/>
      <c r="AJ48" s="997"/>
      <c r="AK48" s="997"/>
      <c r="AL48" s="997"/>
      <c r="AM48" s="995">
        <f t="shared" si="1"/>
        <v>0</v>
      </c>
      <c r="AN48" s="995"/>
      <c r="AO48" s="995"/>
      <c r="AP48" s="995"/>
      <c r="AQ48" s="491"/>
      <c r="AS48"/>
      <c r="AT48"/>
      <c r="AU48"/>
      <c r="AV48"/>
      <c r="AW48"/>
      <c r="AX48"/>
      <c r="AY48"/>
      <c r="AZ48"/>
      <c r="BA48"/>
      <c r="BB48"/>
      <c r="BC48"/>
      <c r="BD48"/>
      <c r="BE48"/>
      <c r="BF48"/>
    </row>
    <row r="49" spans="3:58" ht="15.95" customHeight="1" x14ac:dyDescent="0.25">
      <c r="C49" s="493">
        <v>24</v>
      </c>
      <c r="D49" s="996"/>
      <c r="E49" s="996"/>
      <c r="F49" s="996"/>
      <c r="G49" s="996"/>
      <c r="H49" s="996"/>
      <c r="I49" s="996"/>
      <c r="J49" s="996"/>
      <c r="K49" s="996"/>
      <c r="L49" s="996"/>
      <c r="M49" s="997"/>
      <c r="N49" s="997"/>
      <c r="O49" s="997"/>
      <c r="P49" s="997"/>
      <c r="Q49" s="997"/>
      <c r="R49" s="995">
        <f t="shared" si="0"/>
        <v>0</v>
      </c>
      <c r="S49" s="995"/>
      <c r="T49" s="995"/>
      <c r="U49" s="995"/>
      <c r="V49" s="491"/>
      <c r="W49" s="135"/>
      <c r="X49" s="493">
        <v>24</v>
      </c>
      <c r="Y49" s="996"/>
      <c r="Z49" s="996"/>
      <c r="AA49" s="996"/>
      <c r="AB49" s="996"/>
      <c r="AC49" s="996"/>
      <c r="AD49" s="996"/>
      <c r="AE49" s="996"/>
      <c r="AF49" s="996"/>
      <c r="AG49" s="996"/>
      <c r="AH49" s="997"/>
      <c r="AI49" s="997"/>
      <c r="AJ49" s="997"/>
      <c r="AK49" s="997"/>
      <c r="AL49" s="997"/>
      <c r="AM49" s="995">
        <f t="shared" si="1"/>
        <v>0</v>
      </c>
      <c r="AN49" s="995"/>
      <c r="AO49" s="995"/>
      <c r="AP49" s="995"/>
      <c r="AQ49" s="491"/>
      <c r="AS49"/>
      <c r="AT49"/>
      <c r="AU49"/>
      <c r="AV49"/>
      <c r="AW49"/>
      <c r="AX49"/>
      <c r="AY49"/>
      <c r="AZ49"/>
      <c r="BA49"/>
      <c r="BB49"/>
      <c r="BC49"/>
      <c r="BD49"/>
      <c r="BE49"/>
      <c r="BF49"/>
    </row>
    <row r="50" spans="3:58" ht="15.95" customHeight="1" x14ac:dyDescent="0.25">
      <c r="C50" s="493">
        <v>25</v>
      </c>
      <c r="D50" s="996"/>
      <c r="E50" s="996"/>
      <c r="F50" s="996"/>
      <c r="G50" s="996"/>
      <c r="H50" s="996"/>
      <c r="I50" s="996"/>
      <c r="J50" s="996"/>
      <c r="K50" s="996"/>
      <c r="L50" s="996"/>
      <c r="M50" s="997"/>
      <c r="N50" s="997"/>
      <c r="O50" s="997"/>
      <c r="P50" s="997"/>
      <c r="Q50" s="997"/>
      <c r="R50" s="995">
        <f t="shared" si="0"/>
        <v>0</v>
      </c>
      <c r="S50" s="995"/>
      <c r="T50" s="995"/>
      <c r="U50" s="995"/>
      <c r="V50" s="491"/>
      <c r="W50" s="135"/>
      <c r="X50" s="493">
        <v>25</v>
      </c>
      <c r="Y50" s="996"/>
      <c r="Z50" s="996"/>
      <c r="AA50" s="996"/>
      <c r="AB50" s="996"/>
      <c r="AC50" s="996"/>
      <c r="AD50" s="996"/>
      <c r="AE50" s="996"/>
      <c r="AF50" s="996"/>
      <c r="AG50" s="996"/>
      <c r="AH50" s="997"/>
      <c r="AI50" s="997"/>
      <c r="AJ50" s="997"/>
      <c r="AK50" s="997"/>
      <c r="AL50" s="997"/>
      <c r="AM50" s="995">
        <f t="shared" si="1"/>
        <v>0</v>
      </c>
      <c r="AN50" s="995"/>
      <c r="AO50" s="995"/>
      <c r="AP50" s="995"/>
      <c r="AQ50" s="491"/>
      <c r="AS50"/>
      <c r="AT50"/>
      <c r="AU50"/>
      <c r="AV50"/>
      <c r="AW50"/>
      <c r="AX50"/>
      <c r="AY50"/>
      <c r="AZ50"/>
      <c r="BA50"/>
      <c r="BB50"/>
      <c r="BC50"/>
      <c r="BD50"/>
      <c r="BE50"/>
      <c r="BF50"/>
    </row>
    <row r="51" spans="3:58" ht="15.95" customHeight="1" x14ac:dyDescent="0.25">
      <c r="C51" s="493">
        <v>26</v>
      </c>
      <c r="D51" s="996"/>
      <c r="E51" s="996"/>
      <c r="F51" s="996"/>
      <c r="G51" s="996"/>
      <c r="H51" s="996"/>
      <c r="I51" s="996"/>
      <c r="J51" s="996"/>
      <c r="K51" s="996"/>
      <c r="L51" s="996"/>
      <c r="M51" s="997"/>
      <c r="N51" s="997"/>
      <c r="O51" s="997"/>
      <c r="P51" s="997"/>
      <c r="Q51" s="997"/>
      <c r="R51" s="995">
        <f t="shared" si="0"/>
        <v>0</v>
      </c>
      <c r="S51" s="995"/>
      <c r="T51" s="995"/>
      <c r="U51" s="995"/>
      <c r="V51" s="491"/>
      <c r="W51" s="135"/>
      <c r="X51" s="493">
        <v>26</v>
      </c>
      <c r="Y51" s="996"/>
      <c r="Z51" s="996"/>
      <c r="AA51" s="996"/>
      <c r="AB51" s="996"/>
      <c r="AC51" s="996"/>
      <c r="AD51" s="996"/>
      <c r="AE51" s="996"/>
      <c r="AF51" s="996"/>
      <c r="AG51" s="996"/>
      <c r="AH51" s="997"/>
      <c r="AI51" s="997"/>
      <c r="AJ51" s="997"/>
      <c r="AK51" s="997"/>
      <c r="AL51" s="997"/>
      <c r="AM51" s="995">
        <f t="shared" si="1"/>
        <v>0</v>
      </c>
      <c r="AN51" s="995"/>
      <c r="AO51" s="995"/>
      <c r="AP51" s="995"/>
      <c r="AQ51" s="491"/>
      <c r="AS51"/>
      <c r="AT51"/>
      <c r="AU51"/>
      <c r="AV51"/>
      <c r="AW51"/>
      <c r="AX51"/>
      <c r="AY51"/>
      <c r="AZ51"/>
      <c r="BA51"/>
      <c r="BB51"/>
      <c r="BC51"/>
      <c r="BD51"/>
      <c r="BE51"/>
      <c r="BF51"/>
    </row>
    <row r="52" spans="3:58" ht="15.95" customHeight="1" x14ac:dyDescent="0.25">
      <c r="C52" s="493">
        <v>27</v>
      </c>
      <c r="D52" s="996"/>
      <c r="E52" s="996"/>
      <c r="F52" s="996"/>
      <c r="G52" s="996"/>
      <c r="H52" s="996"/>
      <c r="I52" s="996"/>
      <c r="J52" s="996"/>
      <c r="K52" s="996"/>
      <c r="L52" s="996"/>
      <c r="M52" s="997"/>
      <c r="N52" s="997"/>
      <c r="O52" s="997"/>
      <c r="P52" s="997"/>
      <c r="Q52" s="997"/>
      <c r="R52" s="995">
        <f t="shared" si="0"/>
        <v>0</v>
      </c>
      <c r="S52" s="995"/>
      <c r="T52" s="995"/>
      <c r="U52" s="995"/>
      <c r="V52" s="491"/>
      <c r="W52" s="135"/>
      <c r="X52" s="493">
        <v>27</v>
      </c>
      <c r="Y52" s="996"/>
      <c r="Z52" s="996"/>
      <c r="AA52" s="996"/>
      <c r="AB52" s="996"/>
      <c r="AC52" s="996"/>
      <c r="AD52" s="996"/>
      <c r="AE52" s="996"/>
      <c r="AF52" s="996"/>
      <c r="AG52" s="996"/>
      <c r="AH52" s="997"/>
      <c r="AI52" s="997"/>
      <c r="AJ52" s="997"/>
      <c r="AK52" s="997"/>
      <c r="AL52" s="997"/>
      <c r="AM52" s="995">
        <f t="shared" si="1"/>
        <v>0</v>
      </c>
      <c r="AN52" s="995"/>
      <c r="AO52" s="995"/>
      <c r="AP52" s="995"/>
      <c r="AQ52" s="491"/>
      <c r="AS52"/>
      <c r="AT52"/>
      <c r="AU52"/>
      <c r="AV52"/>
      <c r="AW52"/>
      <c r="AX52"/>
      <c r="AY52"/>
      <c r="AZ52"/>
      <c r="BA52"/>
      <c r="BB52"/>
      <c r="BC52"/>
      <c r="BD52"/>
      <c r="BE52"/>
      <c r="BF52"/>
    </row>
    <row r="53" spans="3:58" ht="15.95" customHeight="1" x14ac:dyDescent="0.25">
      <c r="C53" s="493">
        <v>28</v>
      </c>
      <c r="D53" s="996"/>
      <c r="E53" s="996"/>
      <c r="F53" s="996"/>
      <c r="G53" s="996"/>
      <c r="H53" s="996"/>
      <c r="I53" s="996"/>
      <c r="J53" s="996"/>
      <c r="K53" s="996"/>
      <c r="L53" s="996"/>
      <c r="M53" s="997"/>
      <c r="N53" s="997"/>
      <c r="O53" s="997"/>
      <c r="P53" s="997"/>
      <c r="Q53" s="997"/>
      <c r="R53" s="995">
        <f t="shared" si="0"/>
        <v>0</v>
      </c>
      <c r="S53" s="995"/>
      <c r="T53" s="995"/>
      <c r="U53" s="995"/>
      <c r="V53" s="491"/>
      <c r="W53" s="135"/>
      <c r="X53" s="493">
        <v>28</v>
      </c>
      <c r="Y53" s="996"/>
      <c r="Z53" s="996"/>
      <c r="AA53" s="996"/>
      <c r="AB53" s="996"/>
      <c r="AC53" s="996"/>
      <c r="AD53" s="996"/>
      <c r="AE53" s="996"/>
      <c r="AF53" s="996"/>
      <c r="AG53" s="996"/>
      <c r="AH53" s="997"/>
      <c r="AI53" s="997"/>
      <c r="AJ53" s="997"/>
      <c r="AK53" s="997"/>
      <c r="AL53" s="997"/>
      <c r="AM53" s="995">
        <f t="shared" si="1"/>
        <v>0</v>
      </c>
      <c r="AN53" s="995"/>
      <c r="AO53" s="995"/>
      <c r="AP53" s="995"/>
      <c r="AQ53" s="491"/>
      <c r="AS53"/>
      <c r="AT53"/>
      <c r="AU53"/>
      <c r="AV53"/>
      <c r="AW53"/>
      <c r="AX53"/>
      <c r="AY53"/>
      <c r="AZ53"/>
      <c r="BA53"/>
      <c r="BB53"/>
      <c r="BC53"/>
      <c r="BD53"/>
      <c r="BE53"/>
      <c r="BF53"/>
    </row>
    <row r="54" spans="3:58" ht="15.95" customHeight="1" x14ac:dyDescent="0.25">
      <c r="C54" s="493">
        <v>29</v>
      </c>
      <c r="D54" s="996"/>
      <c r="E54" s="996"/>
      <c r="F54" s="996"/>
      <c r="G54" s="996"/>
      <c r="H54" s="996"/>
      <c r="I54" s="996"/>
      <c r="J54" s="996"/>
      <c r="K54" s="996"/>
      <c r="L54" s="996"/>
      <c r="M54" s="997"/>
      <c r="N54" s="997"/>
      <c r="O54" s="997"/>
      <c r="P54" s="997"/>
      <c r="Q54" s="997"/>
      <c r="R54" s="995">
        <f t="shared" si="0"/>
        <v>0</v>
      </c>
      <c r="S54" s="995"/>
      <c r="T54" s="995"/>
      <c r="U54" s="995"/>
      <c r="V54" s="491"/>
      <c r="W54" s="135"/>
      <c r="X54" s="493">
        <v>29</v>
      </c>
      <c r="Y54" s="996"/>
      <c r="Z54" s="996"/>
      <c r="AA54" s="996"/>
      <c r="AB54" s="996"/>
      <c r="AC54" s="996"/>
      <c r="AD54" s="996"/>
      <c r="AE54" s="996"/>
      <c r="AF54" s="996"/>
      <c r="AG54" s="996"/>
      <c r="AH54" s="997"/>
      <c r="AI54" s="997"/>
      <c r="AJ54" s="997"/>
      <c r="AK54" s="997"/>
      <c r="AL54" s="997"/>
      <c r="AM54" s="995">
        <f t="shared" si="1"/>
        <v>0</v>
      </c>
      <c r="AN54" s="995"/>
      <c r="AO54" s="995"/>
      <c r="AP54" s="995"/>
      <c r="AQ54" s="491"/>
      <c r="AS54"/>
      <c r="AT54"/>
      <c r="AU54"/>
      <c r="AV54"/>
      <c r="AW54"/>
      <c r="AX54"/>
      <c r="AY54"/>
      <c r="AZ54"/>
      <c r="BA54"/>
      <c r="BB54"/>
      <c r="BC54"/>
      <c r="BD54"/>
      <c r="BE54"/>
      <c r="BF54"/>
    </row>
    <row r="55" spans="3:58" ht="15.95" customHeight="1" x14ac:dyDescent="0.25">
      <c r="C55" s="493">
        <v>30</v>
      </c>
      <c r="D55" s="996"/>
      <c r="E55" s="996"/>
      <c r="F55" s="996"/>
      <c r="G55" s="996"/>
      <c r="H55" s="996"/>
      <c r="I55" s="996"/>
      <c r="J55" s="996"/>
      <c r="K55" s="996"/>
      <c r="L55" s="996"/>
      <c r="M55" s="997"/>
      <c r="N55" s="997"/>
      <c r="O55" s="997"/>
      <c r="P55" s="997"/>
      <c r="Q55" s="997"/>
      <c r="R55" s="995">
        <f t="shared" si="0"/>
        <v>0</v>
      </c>
      <c r="S55" s="995"/>
      <c r="T55" s="995"/>
      <c r="U55" s="995"/>
      <c r="V55" s="491"/>
      <c r="W55" s="135"/>
      <c r="X55" s="493">
        <v>30</v>
      </c>
      <c r="Y55" s="996"/>
      <c r="Z55" s="996"/>
      <c r="AA55" s="996"/>
      <c r="AB55" s="996"/>
      <c r="AC55" s="996"/>
      <c r="AD55" s="996"/>
      <c r="AE55" s="996"/>
      <c r="AF55" s="996"/>
      <c r="AG55" s="996"/>
      <c r="AH55" s="997"/>
      <c r="AI55" s="997"/>
      <c r="AJ55" s="997"/>
      <c r="AK55" s="997"/>
      <c r="AL55" s="997"/>
      <c r="AM55" s="995">
        <f t="shared" si="1"/>
        <v>0</v>
      </c>
      <c r="AN55" s="995"/>
      <c r="AO55" s="995"/>
      <c r="AP55" s="995"/>
      <c r="AQ55" s="491"/>
      <c r="AS55"/>
      <c r="AT55"/>
      <c r="AU55"/>
      <c r="AV55"/>
      <c r="AW55"/>
      <c r="AX55"/>
      <c r="AY55"/>
      <c r="AZ55"/>
      <c r="BA55"/>
      <c r="BB55"/>
      <c r="BC55"/>
      <c r="BD55"/>
      <c r="BE55"/>
      <c r="BF55"/>
    </row>
    <row r="56" spans="3:58" ht="15.95" customHeight="1" x14ac:dyDescent="0.25">
      <c r="C56" s="493">
        <v>31</v>
      </c>
      <c r="D56" s="996"/>
      <c r="E56" s="996"/>
      <c r="F56" s="996"/>
      <c r="G56" s="996"/>
      <c r="H56" s="996"/>
      <c r="I56" s="996"/>
      <c r="J56" s="996"/>
      <c r="K56" s="996"/>
      <c r="L56" s="996"/>
      <c r="M56" s="997"/>
      <c r="N56" s="997"/>
      <c r="O56" s="997"/>
      <c r="P56" s="997"/>
      <c r="Q56" s="997"/>
      <c r="R56" s="995">
        <f t="shared" si="0"/>
        <v>0</v>
      </c>
      <c r="S56" s="995"/>
      <c r="T56" s="995"/>
      <c r="U56" s="995"/>
      <c r="V56" s="491"/>
      <c r="W56" s="135"/>
      <c r="X56" s="493">
        <v>31</v>
      </c>
      <c r="Y56" s="996"/>
      <c r="Z56" s="996"/>
      <c r="AA56" s="996"/>
      <c r="AB56" s="996"/>
      <c r="AC56" s="996"/>
      <c r="AD56" s="996"/>
      <c r="AE56" s="996"/>
      <c r="AF56" s="996"/>
      <c r="AG56" s="996"/>
      <c r="AH56" s="997"/>
      <c r="AI56" s="997"/>
      <c r="AJ56" s="997"/>
      <c r="AK56" s="997"/>
      <c r="AL56" s="997"/>
      <c r="AM56" s="995">
        <f t="shared" si="1"/>
        <v>0</v>
      </c>
      <c r="AN56" s="995"/>
      <c r="AO56" s="995"/>
      <c r="AP56" s="995"/>
      <c r="AQ56" s="491"/>
      <c r="AS56"/>
      <c r="AT56"/>
      <c r="AU56"/>
      <c r="AV56"/>
      <c r="AW56"/>
      <c r="AX56"/>
      <c r="AY56"/>
      <c r="AZ56"/>
      <c r="BA56"/>
      <c r="BB56"/>
      <c r="BC56"/>
      <c r="BD56"/>
      <c r="BE56"/>
      <c r="BF56"/>
    </row>
    <row r="57" spans="3:58" ht="15.95" customHeight="1" x14ac:dyDescent="0.25">
      <c r="C57" s="493">
        <v>32</v>
      </c>
      <c r="D57" s="996"/>
      <c r="E57" s="996"/>
      <c r="F57" s="996"/>
      <c r="G57" s="996"/>
      <c r="H57" s="996"/>
      <c r="I57" s="996"/>
      <c r="J57" s="996"/>
      <c r="K57" s="996"/>
      <c r="L57" s="996"/>
      <c r="M57" s="997"/>
      <c r="N57" s="997"/>
      <c r="O57" s="997"/>
      <c r="P57" s="997"/>
      <c r="Q57" s="997"/>
      <c r="R57" s="995">
        <f t="shared" si="0"/>
        <v>0</v>
      </c>
      <c r="S57" s="995"/>
      <c r="T57" s="995"/>
      <c r="U57" s="995"/>
      <c r="V57" s="491"/>
      <c r="W57" s="135"/>
      <c r="X57" s="493">
        <v>32</v>
      </c>
      <c r="Y57" s="996"/>
      <c r="Z57" s="996"/>
      <c r="AA57" s="996"/>
      <c r="AB57" s="996"/>
      <c r="AC57" s="996"/>
      <c r="AD57" s="996"/>
      <c r="AE57" s="996"/>
      <c r="AF57" s="996"/>
      <c r="AG57" s="996"/>
      <c r="AH57" s="997"/>
      <c r="AI57" s="997"/>
      <c r="AJ57" s="997"/>
      <c r="AK57" s="997"/>
      <c r="AL57" s="997"/>
      <c r="AM57" s="995">
        <f t="shared" si="1"/>
        <v>0</v>
      </c>
      <c r="AN57" s="995"/>
      <c r="AO57" s="995"/>
      <c r="AP57" s="995"/>
      <c r="AQ57" s="491"/>
      <c r="AS57"/>
      <c r="AT57"/>
      <c r="AU57"/>
      <c r="AV57"/>
      <c r="AW57"/>
      <c r="AX57"/>
      <c r="AY57"/>
      <c r="AZ57"/>
      <c r="BA57"/>
      <c r="BB57"/>
      <c r="BC57"/>
      <c r="BD57"/>
      <c r="BE57"/>
      <c r="BF57"/>
    </row>
    <row r="58" spans="3:58" ht="15.95" customHeight="1" x14ac:dyDescent="0.25">
      <c r="C58" s="493">
        <v>33</v>
      </c>
      <c r="D58" s="996"/>
      <c r="E58" s="996"/>
      <c r="F58" s="996"/>
      <c r="G58" s="996"/>
      <c r="H58" s="996"/>
      <c r="I58" s="996"/>
      <c r="J58" s="996"/>
      <c r="K58" s="996"/>
      <c r="L58" s="996"/>
      <c r="M58" s="997"/>
      <c r="N58" s="997"/>
      <c r="O58" s="997"/>
      <c r="P58" s="997"/>
      <c r="Q58" s="997"/>
      <c r="R58" s="995">
        <f t="shared" si="0"/>
        <v>0</v>
      </c>
      <c r="S58" s="995"/>
      <c r="T58" s="995"/>
      <c r="U58" s="995"/>
      <c r="V58" s="491"/>
      <c r="W58" s="63"/>
      <c r="X58" s="493">
        <v>33</v>
      </c>
      <c r="Y58" s="996"/>
      <c r="Z58" s="996"/>
      <c r="AA58" s="996"/>
      <c r="AB58" s="996"/>
      <c r="AC58" s="996"/>
      <c r="AD58" s="996"/>
      <c r="AE58" s="996"/>
      <c r="AF58" s="996"/>
      <c r="AG58" s="996"/>
      <c r="AH58" s="997"/>
      <c r="AI58" s="997"/>
      <c r="AJ58" s="997"/>
      <c r="AK58" s="997"/>
      <c r="AL58" s="997"/>
      <c r="AM58" s="995">
        <f t="shared" si="1"/>
        <v>0</v>
      </c>
      <c r="AN58" s="995"/>
      <c r="AO58" s="995"/>
      <c r="AP58" s="995"/>
      <c r="AQ58" s="491"/>
      <c r="AS58"/>
      <c r="AT58"/>
      <c r="AU58"/>
      <c r="AV58"/>
      <c r="AW58"/>
      <c r="AX58"/>
      <c r="AY58"/>
      <c r="AZ58"/>
      <c r="BA58"/>
      <c r="BB58"/>
      <c r="BC58"/>
      <c r="BD58"/>
      <c r="BE58"/>
      <c r="BF58"/>
    </row>
    <row r="59" spans="3:58" ht="15.95" customHeight="1" x14ac:dyDescent="0.25">
      <c r="C59" s="493">
        <v>34</v>
      </c>
      <c r="D59" s="996"/>
      <c r="E59" s="996"/>
      <c r="F59" s="996"/>
      <c r="G59" s="996"/>
      <c r="H59" s="996"/>
      <c r="I59" s="996"/>
      <c r="J59" s="996"/>
      <c r="K59" s="996"/>
      <c r="L59" s="996"/>
      <c r="M59" s="997"/>
      <c r="N59" s="997"/>
      <c r="O59" s="997"/>
      <c r="P59" s="997"/>
      <c r="Q59" s="997"/>
      <c r="R59" s="995">
        <f t="shared" si="0"/>
        <v>0</v>
      </c>
      <c r="S59" s="995"/>
      <c r="T59" s="995"/>
      <c r="U59" s="995"/>
      <c r="V59" s="491"/>
      <c r="W59" s="63"/>
      <c r="X59" s="493">
        <v>34</v>
      </c>
      <c r="Y59" s="996"/>
      <c r="Z59" s="996"/>
      <c r="AA59" s="996"/>
      <c r="AB59" s="996"/>
      <c r="AC59" s="996"/>
      <c r="AD59" s="996"/>
      <c r="AE59" s="996"/>
      <c r="AF59" s="996"/>
      <c r="AG59" s="996"/>
      <c r="AH59" s="997"/>
      <c r="AI59" s="997"/>
      <c r="AJ59" s="997"/>
      <c r="AK59" s="997"/>
      <c r="AL59" s="997"/>
      <c r="AM59" s="995">
        <f t="shared" si="1"/>
        <v>0</v>
      </c>
      <c r="AN59" s="995"/>
      <c r="AO59" s="995"/>
      <c r="AP59" s="995"/>
      <c r="AQ59" s="491"/>
      <c r="AS59"/>
      <c r="AT59"/>
      <c r="AU59"/>
      <c r="AV59"/>
      <c r="AW59"/>
      <c r="AX59"/>
      <c r="AY59"/>
      <c r="AZ59"/>
      <c r="BA59"/>
      <c r="BB59"/>
      <c r="BC59"/>
      <c r="BD59"/>
      <c r="BE59"/>
      <c r="BF59"/>
    </row>
    <row r="60" spans="3:58" ht="15.95" customHeight="1" x14ac:dyDescent="0.25">
      <c r="C60" s="493">
        <v>35</v>
      </c>
      <c r="D60" s="996"/>
      <c r="E60" s="996"/>
      <c r="F60" s="996"/>
      <c r="G60" s="996"/>
      <c r="H60" s="996"/>
      <c r="I60" s="996"/>
      <c r="J60" s="996"/>
      <c r="K60" s="996"/>
      <c r="L60" s="996"/>
      <c r="M60" s="997"/>
      <c r="N60" s="997"/>
      <c r="O60" s="997"/>
      <c r="P60" s="997"/>
      <c r="Q60" s="997"/>
      <c r="R60" s="995">
        <f t="shared" si="0"/>
        <v>0</v>
      </c>
      <c r="S60" s="995"/>
      <c r="T60" s="995"/>
      <c r="U60" s="995"/>
      <c r="V60" s="491"/>
      <c r="W60" s="63"/>
      <c r="X60" s="493">
        <v>35</v>
      </c>
      <c r="Y60" s="996"/>
      <c r="Z60" s="996"/>
      <c r="AA60" s="996"/>
      <c r="AB60" s="996"/>
      <c r="AC60" s="996"/>
      <c r="AD60" s="996"/>
      <c r="AE60" s="996"/>
      <c r="AF60" s="996"/>
      <c r="AG60" s="996"/>
      <c r="AH60" s="997"/>
      <c r="AI60" s="997"/>
      <c r="AJ60" s="997"/>
      <c r="AK60" s="997"/>
      <c r="AL60" s="997"/>
      <c r="AM60" s="995">
        <f t="shared" si="1"/>
        <v>0</v>
      </c>
      <c r="AN60" s="995"/>
      <c r="AO60" s="995"/>
      <c r="AP60" s="995"/>
      <c r="AQ60" s="491"/>
      <c r="AS60"/>
      <c r="AT60"/>
      <c r="AU60"/>
      <c r="AV60"/>
      <c r="AW60"/>
      <c r="AX60"/>
      <c r="AY60"/>
      <c r="AZ60"/>
      <c r="BA60"/>
      <c r="BB60"/>
      <c r="BC60"/>
      <c r="BD60"/>
      <c r="BE60"/>
      <c r="BF60"/>
    </row>
    <row r="61" spans="3:58" ht="15.95" customHeight="1" x14ac:dyDescent="0.25">
      <c r="C61" s="493">
        <v>36</v>
      </c>
      <c r="D61" s="996"/>
      <c r="E61" s="996"/>
      <c r="F61" s="996"/>
      <c r="G61" s="996"/>
      <c r="H61" s="996"/>
      <c r="I61" s="996"/>
      <c r="J61" s="996"/>
      <c r="K61" s="996"/>
      <c r="L61" s="996"/>
      <c r="M61" s="997"/>
      <c r="N61" s="997"/>
      <c r="O61" s="997"/>
      <c r="P61" s="997"/>
      <c r="Q61" s="997"/>
      <c r="R61" s="995">
        <f t="shared" si="0"/>
        <v>0</v>
      </c>
      <c r="S61" s="995"/>
      <c r="T61" s="995"/>
      <c r="U61" s="995"/>
      <c r="V61" s="491"/>
      <c r="W61" s="63"/>
      <c r="X61" s="493">
        <v>36</v>
      </c>
      <c r="Y61" s="996"/>
      <c r="Z61" s="996"/>
      <c r="AA61" s="996"/>
      <c r="AB61" s="996"/>
      <c r="AC61" s="996"/>
      <c r="AD61" s="996"/>
      <c r="AE61" s="996"/>
      <c r="AF61" s="996"/>
      <c r="AG61" s="996"/>
      <c r="AH61" s="997"/>
      <c r="AI61" s="997"/>
      <c r="AJ61" s="997"/>
      <c r="AK61" s="997"/>
      <c r="AL61" s="997"/>
      <c r="AM61" s="995">
        <f t="shared" si="1"/>
        <v>0</v>
      </c>
      <c r="AN61" s="995"/>
      <c r="AO61" s="995"/>
      <c r="AP61" s="995"/>
      <c r="AQ61" s="491"/>
      <c r="AS61"/>
      <c r="AT61"/>
      <c r="AU61"/>
      <c r="AV61"/>
      <c r="AW61"/>
      <c r="AX61"/>
      <c r="AY61"/>
      <c r="AZ61"/>
      <c r="BA61"/>
      <c r="BB61"/>
      <c r="BC61"/>
      <c r="BD61"/>
      <c r="BE61"/>
      <c r="BF61"/>
    </row>
    <row r="62" spans="3:58" ht="15.95" customHeight="1" x14ac:dyDescent="0.25">
      <c r="C62" s="493">
        <v>37</v>
      </c>
      <c r="D62" s="996"/>
      <c r="E62" s="996"/>
      <c r="F62" s="996"/>
      <c r="G62" s="996"/>
      <c r="H62" s="996"/>
      <c r="I62" s="996"/>
      <c r="J62" s="996"/>
      <c r="K62" s="996"/>
      <c r="L62" s="996"/>
      <c r="M62" s="997"/>
      <c r="N62" s="997"/>
      <c r="O62" s="997"/>
      <c r="P62" s="997"/>
      <c r="Q62" s="997"/>
      <c r="R62" s="995">
        <f t="shared" si="0"/>
        <v>0</v>
      </c>
      <c r="S62" s="995"/>
      <c r="T62" s="995"/>
      <c r="U62" s="995"/>
      <c r="V62" s="491"/>
      <c r="W62" s="63"/>
      <c r="X62" s="493">
        <v>37</v>
      </c>
      <c r="Y62" s="996"/>
      <c r="Z62" s="996"/>
      <c r="AA62" s="996"/>
      <c r="AB62" s="996"/>
      <c r="AC62" s="996"/>
      <c r="AD62" s="996"/>
      <c r="AE62" s="996"/>
      <c r="AF62" s="996"/>
      <c r="AG62" s="996"/>
      <c r="AH62" s="997"/>
      <c r="AI62" s="997"/>
      <c r="AJ62" s="997"/>
      <c r="AK62" s="997"/>
      <c r="AL62" s="997"/>
      <c r="AM62" s="995">
        <f t="shared" si="1"/>
        <v>0</v>
      </c>
      <c r="AN62" s="995"/>
      <c r="AO62" s="995"/>
      <c r="AP62" s="995"/>
      <c r="AQ62" s="491"/>
      <c r="AS62"/>
      <c r="AT62"/>
      <c r="AU62"/>
      <c r="AV62"/>
      <c r="AW62"/>
      <c r="AX62"/>
      <c r="AY62"/>
      <c r="AZ62"/>
      <c r="BA62"/>
      <c r="BB62"/>
      <c r="BC62"/>
      <c r="BD62"/>
      <c r="BE62"/>
      <c r="BF62"/>
    </row>
    <row r="63" spans="3:58" ht="15.95" customHeight="1" x14ac:dyDescent="0.25">
      <c r="C63" s="493">
        <v>38</v>
      </c>
      <c r="D63" s="996"/>
      <c r="E63" s="996"/>
      <c r="F63" s="996"/>
      <c r="G63" s="996"/>
      <c r="H63" s="996"/>
      <c r="I63" s="996"/>
      <c r="J63" s="996"/>
      <c r="K63" s="996"/>
      <c r="L63" s="996"/>
      <c r="M63" s="997"/>
      <c r="N63" s="997"/>
      <c r="O63" s="997"/>
      <c r="P63" s="997"/>
      <c r="Q63" s="997"/>
      <c r="R63" s="995">
        <f t="shared" si="0"/>
        <v>0</v>
      </c>
      <c r="S63" s="995"/>
      <c r="T63" s="995"/>
      <c r="U63" s="995"/>
      <c r="V63" s="491"/>
      <c r="W63" s="63"/>
      <c r="X63" s="493">
        <v>38</v>
      </c>
      <c r="Y63" s="996"/>
      <c r="Z63" s="996"/>
      <c r="AA63" s="996"/>
      <c r="AB63" s="996"/>
      <c r="AC63" s="996"/>
      <c r="AD63" s="996"/>
      <c r="AE63" s="996"/>
      <c r="AF63" s="996"/>
      <c r="AG63" s="996"/>
      <c r="AH63" s="997"/>
      <c r="AI63" s="997"/>
      <c r="AJ63" s="997"/>
      <c r="AK63" s="997"/>
      <c r="AL63" s="997"/>
      <c r="AM63" s="995">
        <f t="shared" si="1"/>
        <v>0</v>
      </c>
      <c r="AN63" s="995"/>
      <c r="AO63" s="995"/>
      <c r="AP63" s="995"/>
      <c r="AQ63" s="491"/>
      <c r="AS63"/>
      <c r="AT63"/>
      <c r="AU63"/>
      <c r="AV63"/>
      <c r="AW63"/>
      <c r="AX63"/>
      <c r="AY63"/>
      <c r="AZ63"/>
      <c r="BA63"/>
      <c r="BB63"/>
      <c r="BC63"/>
      <c r="BD63"/>
      <c r="BE63"/>
      <c r="BF63"/>
    </row>
    <row r="64" spans="3:58" ht="15.95" customHeight="1" x14ac:dyDescent="0.25">
      <c r="C64" s="493">
        <v>39</v>
      </c>
      <c r="D64" s="996"/>
      <c r="E64" s="996"/>
      <c r="F64" s="996"/>
      <c r="G64" s="996"/>
      <c r="H64" s="996"/>
      <c r="I64" s="996"/>
      <c r="J64" s="996"/>
      <c r="K64" s="996"/>
      <c r="L64" s="996"/>
      <c r="M64" s="997"/>
      <c r="N64" s="997"/>
      <c r="O64" s="997"/>
      <c r="P64" s="997"/>
      <c r="Q64" s="997"/>
      <c r="R64" s="995">
        <f t="shared" si="0"/>
        <v>0</v>
      </c>
      <c r="S64" s="995"/>
      <c r="T64" s="995"/>
      <c r="U64" s="995"/>
      <c r="V64" s="491"/>
      <c r="W64" s="63"/>
      <c r="X64" s="493">
        <v>39</v>
      </c>
      <c r="Y64" s="996"/>
      <c r="Z64" s="996"/>
      <c r="AA64" s="996"/>
      <c r="AB64" s="996"/>
      <c r="AC64" s="996"/>
      <c r="AD64" s="996"/>
      <c r="AE64" s="996"/>
      <c r="AF64" s="996"/>
      <c r="AG64" s="996"/>
      <c r="AH64" s="997"/>
      <c r="AI64" s="997"/>
      <c r="AJ64" s="997"/>
      <c r="AK64" s="997"/>
      <c r="AL64" s="997"/>
      <c r="AM64" s="995">
        <f t="shared" si="1"/>
        <v>0</v>
      </c>
      <c r="AN64" s="995"/>
      <c r="AO64" s="995"/>
      <c r="AP64" s="995"/>
      <c r="AQ64" s="491"/>
      <c r="AS64"/>
      <c r="AT64"/>
      <c r="AU64"/>
      <c r="AV64"/>
      <c r="AW64"/>
      <c r="AX64"/>
      <c r="AY64"/>
      <c r="AZ64"/>
      <c r="BA64"/>
      <c r="BB64"/>
      <c r="BC64"/>
      <c r="BD64"/>
      <c r="BE64"/>
      <c r="BF64"/>
    </row>
    <row r="65" spans="3:58" ht="15.95" customHeight="1" x14ac:dyDescent="0.25">
      <c r="C65" s="493">
        <v>40</v>
      </c>
      <c r="D65" s="996"/>
      <c r="E65" s="996"/>
      <c r="F65" s="996"/>
      <c r="G65" s="996"/>
      <c r="H65" s="996"/>
      <c r="I65" s="996"/>
      <c r="J65" s="996"/>
      <c r="K65" s="996"/>
      <c r="L65" s="996"/>
      <c r="M65" s="997"/>
      <c r="N65" s="997"/>
      <c r="O65" s="997"/>
      <c r="P65" s="997"/>
      <c r="Q65" s="997"/>
      <c r="R65" s="995">
        <f t="shared" si="0"/>
        <v>0</v>
      </c>
      <c r="S65" s="995"/>
      <c r="T65" s="995"/>
      <c r="U65" s="995"/>
      <c r="V65" s="491"/>
      <c r="W65" s="63"/>
      <c r="X65" s="493">
        <v>40</v>
      </c>
      <c r="Y65" s="996"/>
      <c r="Z65" s="996"/>
      <c r="AA65" s="996"/>
      <c r="AB65" s="996"/>
      <c r="AC65" s="996"/>
      <c r="AD65" s="996"/>
      <c r="AE65" s="996"/>
      <c r="AF65" s="996"/>
      <c r="AG65" s="996"/>
      <c r="AH65" s="997"/>
      <c r="AI65" s="997"/>
      <c r="AJ65" s="997"/>
      <c r="AK65" s="997"/>
      <c r="AL65" s="997"/>
      <c r="AM65" s="995">
        <f t="shared" si="1"/>
        <v>0</v>
      </c>
      <c r="AN65" s="995"/>
      <c r="AO65" s="995"/>
      <c r="AP65" s="995"/>
      <c r="AQ65" s="491"/>
      <c r="AS65"/>
      <c r="AT65"/>
      <c r="AU65"/>
      <c r="AV65"/>
      <c r="AW65"/>
      <c r="AX65"/>
      <c r="AY65"/>
      <c r="AZ65"/>
      <c r="BA65"/>
      <c r="BB65"/>
      <c r="BC65"/>
      <c r="BD65"/>
      <c r="BE65"/>
      <c r="BF65"/>
    </row>
    <row r="66" spans="3:58" ht="15.95" customHeight="1" x14ac:dyDescent="0.25">
      <c r="C66" s="489"/>
      <c r="D66" s="490"/>
      <c r="E66" s="490"/>
      <c r="F66" s="490"/>
      <c r="G66" s="490"/>
      <c r="H66" s="490"/>
      <c r="I66" s="490"/>
      <c r="J66" s="490"/>
      <c r="K66" s="490"/>
      <c r="L66" s="490"/>
      <c r="M66" s="490"/>
      <c r="N66" s="490"/>
      <c r="O66" s="490"/>
      <c r="P66" s="490"/>
      <c r="Q66" s="494" t="s">
        <v>1741</v>
      </c>
      <c r="R66" s="995">
        <f>SUM(R26:U65)</f>
        <v>0</v>
      </c>
      <c r="S66" s="995"/>
      <c r="T66" s="995"/>
      <c r="U66" s="995"/>
      <c r="V66" s="491"/>
      <c r="W66" s="63"/>
      <c r="X66" s="489"/>
      <c r="Y66" s="490"/>
      <c r="Z66" s="490"/>
      <c r="AA66" s="490"/>
      <c r="AB66" s="490"/>
      <c r="AC66" s="490"/>
      <c r="AD66" s="490"/>
      <c r="AE66" s="490"/>
      <c r="AF66" s="490"/>
      <c r="AG66" s="490"/>
      <c r="AH66" s="490"/>
      <c r="AI66" s="490"/>
      <c r="AJ66" s="490"/>
      <c r="AK66" s="490"/>
      <c r="AL66" s="494" t="s">
        <v>1741</v>
      </c>
      <c r="AM66" s="995">
        <f>SUM(AM26:AP65)</f>
        <v>0</v>
      </c>
      <c r="AN66" s="995"/>
      <c r="AO66" s="995"/>
      <c r="AP66" s="995"/>
      <c r="AQ66" s="491"/>
      <c r="AS66"/>
      <c r="AT66"/>
      <c r="AU66"/>
      <c r="AV66"/>
      <c r="AW66"/>
      <c r="AX66"/>
      <c r="AY66"/>
      <c r="AZ66"/>
      <c r="BA66"/>
      <c r="BB66"/>
      <c r="BC66"/>
      <c r="BD66"/>
      <c r="BE66"/>
      <c r="BF66"/>
    </row>
    <row r="67" spans="3:58" ht="15.95" customHeight="1" x14ac:dyDescent="0.25">
      <c r="C67" s="495"/>
      <c r="D67" s="496"/>
      <c r="E67" s="496"/>
      <c r="F67" s="496"/>
      <c r="G67" s="496"/>
      <c r="H67" s="496"/>
      <c r="I67" s="496"/>
      <c r="J67" s="496"/>
      <c r="K67" s="496"/>
      <c r="L67" s="496"/>
      <c r="M67" s="496"/>
      <c r="N67" s="496"/>
      <c r="O67" s="496"/>
      <c r="P67" s="496"/>
      <c r="Q67" s="496"/>
      <c r="R67" s="496"/>
      <c r="S67" s="496"/>
      <c r="T67" s="496"/>
      <c r="U67" s="496"/>
      <c r="V67" s="497"/>
      <c r="W67" s="63"/>
      <c r="X67" s="495"/>
      <c r="Y67" s="496"/>
      <c r="Z67" s="496"/>
      <c r="AA67" s="496"/>
      <c r="AB67" s="496"/>
      <c r="AC67" s="496"/>
      <c r="AD67" s="496"/>
      <c r="AE67" s="496"/>
      <c r="AF67" s="496"/>
      <c r="AG67" s="496"/>
      <c r="AH67" s="496"/>
      <c r="AI67" s="496"/>
      <c r="AJ67" s="496"/>
      <c r="AK67" s="496"/>
      <c r="AL67" s="496"/>
      <c r="AM67" s="496"/>
      <c r="AN67" s="496"/>
      <c r="AO67" s="496"/>
      <c r="AP67" s="496"/>
      <c r="AQ67" s="497"/>
      <c r="AS67"/>
      <c r="AT67"/>
      <c r="AU67"/>
      <c r="AV67"/>
      <c r="AW67"/>
      <c r="AX67"/>
      <c r="AY67"/>
      <c r="AZ67"/>
      <c r="BA67"/>
      <c r="BB67"/>
      <c r="BC67"/>
      <c r="BD67"/>
      <c r="BE67"/>
      <c r="BF67"/>
    </row>
    <row r="68" spans="3:58" ht="15.95" customHeight="1" x14ac:dyDescent="0.25">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S68"/>
      <c r="AT68"/>
      <c r="AU68"/>
      <c r="AV68"/>
      <c r="AW68"/>
      <c r="AX68"/>
      <c r="AY68"/>
      <c r="AZ68"/>
      <c r="BA68"/>
      <c r="BB68"/>
      <c r="BC68"/>
      <c r="BD68"/>
      <c r="BE68"/>
      <c r="BF68"/>
    </row>
    <row r="69" spans="3:58" ht="15.95" customHeight="1" x14ac:dyDescent="0.25">
      <c r="C69" s="483" t="s">
        <v>1690</v>
      </c>
      <c r="D69" s="135"/>
      <c r="E69" s="135"/>
      <c r="F69" s="135"/>
      <c r="G69" s="135"/>
      <c r="H69" s="135"/>
      <c r="I69" s="135"/>
      <c r="J69" s="135"/>
      <c r="K69" s="135"/>
      <c r="L69" s="135"/>
      <c r="M69" s="135"/>
      <c r="N69" s="135"/>
      <c r="O69" s="135"/>
      <c r="P69" s="135"/>
      <c r="Q69" s="135"/>
      <c r="R69" s="135"/>
      <c r="S69" s="135"/>
      <c r="T69" s="135"/>
      <c r="U69" s="135"/>
      <c r="V69" s="135"/>
      <c r="W69" s="63"/>
      <c r="X69" s="483" t="s">
        <v>1693</v>
      </c>
      <c r="Y69" s="135"/>
      <c r="Z69" s="135"/>
      <c r="AA69" s="135"/>
      <c r="AB69" s="135"/>
      <c r="AC69" s="135"/>
      <c r="AD69" s="135"/>
      <c r="AE69" s="135"/>
      <c r="AF69" s="135"/>
      <c r="AG69" s="135"/>
      <c r="AH69" s="135"/>
      <c r="AI69" s="135"/>
      <c r="AJ69" s="135"/>
      <c r="AK69" s="135"/>
      <c r="AL69" s="135"/>
      <c r="AM69" s="135"/>
      <c r="AN69" s="135"/>
      <c r="AO69" s="135"/>
      <c r="AP69" s="135"/>
      <c r="AQ69" s="135"/>
      <c r="AS69"/>
      <c r="AT69"/>
      <c r="AU69"/>
      <c r="AV69"/>
      <c r="AW69"/>
      <c r="AX69"/>
      <c r="AY69"/>
      <c r="AZ69"/>
      <c r="BA69"/>
      <c r="BB69"/>
      <c r="BC69"/>
      <c r="BD69"/>
      <c r="BE69"/>
      <c r="BF69"/>
    </row>
    <row r="70" spans="3:58" ht="15.95" customHeight="1" x14ac:dyDescent="0.25">
      <c r="C70" s="486"/>
      <c r="D70" s="487"/>
      <c r="E70" s="487"/>
      <c r="F70" s="487"/>
      <c r="G70" s="487"/>
      <c r="H70" s="487"/>
      <c r="I70" s="487"/>
      <c r="J70" s="487"/>
      <c r="K70" s="487"/>
      <c r="L70" s="487"/>
      <c r="M70" s="487"/>
      <c r="N70" s="487"/>
      <c r="O70" s="487"/>
      <c r="P70" s="487"/>
      <c r="Q70" s="487"/>
      <c r="R70" s="487"/>
      <c r="S70" s="487"/>
      <c r="T70" s="487"/>
      <c r="U70" s="487"/>
      <c r="V70" s="488"/>
      <c r="W70" s="63"/>
      <c r="X70" s="486"/>
      <c r="Y70" s="487"/>
      <c r="Z70" s="487"/>
      <c r="AA70" s="487"/>
      <c r="AB70" s="487"/>
      <c r="AC70" s="487"/>
      <c r="AD70" s="487"/>
      <c r="AE70" s="487"/>
      <c r="AF70" s="487"/>
      <c r="AG70" s="487"/>
      <c r="AH70" s="487"/>
      <c r="AI70" s="487"/>
      <c r="AJ70" s="487"/>
      <c r="AK70" s="487"/>
      <c r="AL70" s="487"/>
      <c r="AM70" s="487"/>
      <c r="AN70" s="487"/>
      <c r="AO70" s="487"/>
      <c r="AP70" s="487"/>
      <c r="AQ70" s="488"/>
      <c r="AS70"/>
      <c r="AT70"/>
      <c r="AU70"/>
      <c r="AV70"/>
      <c r="AW70"/>
      <c r="AX70"/>
      <c r="AY70"/>
      <c r="AZ70"/>
      <c r="BA70"/>
      <c r="BB70"/>
      <c r="BC70"/>
      <c r="BD70"/>
      <c r="BE70"/>
      <c r="BF70"/>
    </row>
    <row r="71" spans="3:58" ht="15.95" customHeight="1" thickBot="1" x14ac:dyDescent="0.3">
      <c r="C71" s="489"/>
      <c r="D71" s="999" t="s">
        <v>1734</v>
      </c>
      <c r="E71" s="999"/>
      <c r="F71" s="999"/>
      <c r="G71" s="999"/>
      <c r="H71" s="999"/>
      <c r="I71" s="999"/>
      <c r="J71" s="490"/>
      <c r="K71" s="1000" t="s">
        <v>1735</v>
      </c>
      <c r="L71" s="1000"/>
      <c r="M71" s="1000"/>
      <c r="N71" s="1000"/>
      <c r="O71" s="1000"/>
      <c r="P71" s="1000"/>
      <c r="Q71" s="490"/>
      <c r="R71" s="999" t="s">
        <v>1863</v>
      </c>
      <c r="S71" s="999"/>
      <c r="T71" s="999"/>
      <c r="U71" s="999"/>
      <c r="V71" s="491"/>
      <c r="W71" s="63"/>
      <c r="X71" s="489"/>
      <c r="Y71" s="999" t="s">
        <v>1734</v>
      </c>
      <c r="Z71" s="999"/>
      <c r="AA71" s="999"/>
      <c r="AB71" s="999"/>
      <c r="AC71" s="999"/>
      <c r="AD71" s="999"/>
      <c r="AE71" s="490"/>
      <c r="AF71" s="1000" t="s">
        <v>1735</v>
      </c>
      <c r="AG71" s="1000"/>
      <c r="AH71" s="1000"/>
      <c r="AI71" s="1000"/>
      <c r="AJ71" s="1000"/>
      <c r="AK71" s="1000"/>
      <c r="AL71" s="490"/>
      <c r="AM71" s="999" t="s">
        <v>1863</v>
      </c>
      <c r="AN71" s="999"/>
      <c r="AO71" s="999"/>
      <c r="AP71" s="999"/>
      <c r="AQ71" s="491"/>
      <c r="AS71"/>
      <c r="AT71"/>
      <c r="AU71"/>
      <c r="AV71"/>
      <c r="AW71"/>
      <c r="AX71"/>
      <c r="AY71"/>
      <c r="AZ71"/>
      <c r="BA71"/>
      <c r="BB71"/>
      <c r="BC71"/>
      <c r="BD71"/>
      <c r="BE71"/>
      <c r="BF71"/>
    </row>
    <row r="72" spans="3:58" ht="15.95" customHeight="1" thickBot="1" x14ac:dyDescent="0.3">
      <c r="C72" s="489"/>
      <c r="D72" s="931" t="str">
        <f>IF(M02S05F24="","",M02S05F24)</f>
        <v/>
      </c>
      <c r="E72" s="932"/>
      <c r="F72" s="932"/>
      <c r="G72" s="932"/>
      <c r="H72" s="932"/>
      <c r="I72" s="933"/>
      <c r="J72" s="490"/>
      <c r="K72" s="935">
        <f>IF(OR(D72="",M03S02F00=""),0,INDEX(NCLPD[#Data],MATCH(D72,NCLPD[Building Area Type],0),MATCH(M03S02F00,NCLPD[#Headers],0)))</f>
        <v>0</v>
      </c>
      <c r="L72" s="936"/>
      <c r="M72" s="936"/>
      <c r="N72" s="936"/>
      <c r="O72" s="936"/>
      <c r="P72" s="937"/>
      <c r="Q72" s="490"/>
      <c r="R72" s="980"/>
      <c r="S72" s="981"/>
      <c r="T72" s="981"/>
      <c r="U72" s="982"/>
      <c r="V72" s="491"/>
      <c r="W72" s="63"/>
      <c r="X72" s="489"/>
      <c r="Y72" s="931" t="str">
        <f>IF(M02S05F27="","",M02S05F27)</f>
        <v/>
      </c>
      <c r="Z72" s="932"/>
      <c r="AA72" s="932"/>
      <c r="AB72" s="932"/>
      <c r="AC72" s="932"/>
      <c r="AD72" s="933"/>
      <c r="AE72" s="490"/>
      <c r="AF72" s="935">
        <f>IF(OR(Y72="",M03S02F00=""),0,INDEX(NCLPD[#Data],MATCH(Y72,NCLPD[Building Area Type],0),MATCH(M03S02F00,NCLPD[#Headers],0)))</f>
        <v>0</v>
      </c>
      <c r="AG72" s="936"/>
      <c r="AH72" s="936"/>
      <c r="AI72" s="936"/>
      <c r="AJ72" s="936"/>
      <c r="AK72" s="937"/>
      <c r="AL72" s="490"/>
      <c r="AM72" s="980"/>
      <c r="AN72" s="981"/>
      <c r="AO72" s="981"/>
      <c r="AP72" s="982"/>
      <c r="AQ72" s="491"/>
      <c r="AS72"/>
      <c r="AT72"/>
      <c r="AU72"/>
      <c r="AV72"/>
      <c r="AW72"/>
      <c r="AX72"/>
      <c r="AY72"/>
      <c r="AZ72"/>
      <c r="BA72"/>
      <c r="BB72"/>
      <c r="BC72"/>
      <c r="BD72"/>
      <c r="BE72"/>
      <c r="BF72"/>
    </row>
    <row r="73" spans="3:58" ht="15.95" customHeight="1" x14ac:dyDescent="0.25">
      <c r="C73" s="489"/>
      <c r="D73" s="490"/>
      <c r="E73" s="490"/>
      <c r="F73" s="490"/>
      <c r="G73" s="490"/>
      <c r="H73" s="490"/>
      <c r="I73" s="490"/>
      <c r="J73" s="490"/>
      <c r="K73" s="490"/>
      <c r="L73" s="490"/>
      <c r="M73" s="490"/>
      <c r="N73" s="490"/>
      <c r="O73" s="490"/>
      <c r="P73" s="490"/>
      <c r="Q73" s="490"/>
      <c r="R73" s="490"/>
      <c r="S73" s="490"/>
      <c r="T73" s="490"/>
      <c r="U73" s="490"/>
      <c r="V73" s="491"/>
      <c r="W73" s="63"/>
      <c r="X73" s="489"/>
      <c r="Y73" s="490"/>
      <c r="Z73" s="490"/>
      <c r="AA73" s="490"/>
      <c r="AB73" s="490"/>
      <c r="AC73" s="490"/>
      <c r="AD73" s="490"/>
      <c r="AE73" s="490"/>
      <c r="AF73" s="490"/>
      <c r="AG73" s="490"/>
      <c r="AH73" s="490"/>
      <c r="AI73" s="490"/>
      <c r="AJ73" s="490"/>
      <c r="AK73" s="490"/>
      <c r="AL73" s="490"/>
      <c r="AM73" s="490"/>
      <c r="AN73" s="490"/>
      <c r="AO73" s="490"/>
      <c r="AP73" s="490"/>
      <c r="AQ73" s="491"/>
      <c r="AS73"/>
      <c r="AT73"/>
      <c r="AU73"/>
      <c r="AV73"/>
      <c r="AW73"/>
      <c r="AX73"/>
      <c r="AY73"/>
      <c r="AZ73"/>
      <c r="BA73"/>
      <c r="BB73"/>
      <c r="BC73"/>
      <c r="BD73"/>
      <c r="BE73"/>
      <c r="BF73"/>
    </row>
    <row r="74" spans="3:58" ht="15.95" customHeight="1" thickBot="1" x14ac:dyDescent="0.3">
      <c r="C74" s="489"/>
      <c r="D74" s="999" t="s">
        <v>1736</v>
      </c>
      <c r="E74" s="999"/>
      <c r="F74" s="999"/>
      <c r="G74" s="999"/>
      <c r="H74" s="999"/>
      <c r="I74" s="999"/>
      <c r="J74" s="490"/>
      <c r="K74" s="1000" t="s">
        <v>1737</v>
      </c>
      <c r="L74" s="1000"/>
      <c r="M74" s="1000"/>
      <c r="N74" s="1000"/>
      <c r="O74" s="1000"/>
      <c r="P74" s="1000"/>
      <c r="Q74" s="490"/>
      <c r="R74" s="999" t="s">
        <v>1786</v>
      </c>
      <c r="S74" s="999"/>
      <c r="T74" s="999"/>
      <c r="U74" s="999"/>
      <c r="V74" s="491"/>
      <c r="W74" s="63"/>
      <c r="X74" s="489"/>
      <c r="Y74" s="999" t="s">
        <v>1736</v>
      </c>
      <c r="Z74" s="999"/>
      <c r="AA74" s="999"/>
      <c r="AB74" s="999"/>
      <c r="AC74" s="999"/>
      <c r="AD74" s="999"/>
      <c r="AE74" s="490"/>
      <c r="AF74" s="1000" t="s">
        <v>1737</v>
      </c>
      <c r="AG74" s="1000"/>
      <c r="AH74" s="1000"/>
      <c r="AI74" s="1000"/>
      <c r="AJ74" s="1000"/>
      <c r="AK74" s="1000"/>
      <c r="AL74" s="490"/>
      <c r="AM74" s="999" t="s">
        <v>1786</v>
      </c>
      <c r="AN74" s="999"/>
      <c r="AO74" s="999"/>
      <c r="AP74" s="999"/>
      <c r="AQ74" s="491"/>
      <c r="AS74"/>
      <c r="AT74"/>
      <c r="AU74"/>
      <c r="AV74"/>
      <c r="AW74"/>
      <c r="AX74"/>
      <c r="AY74"/>
      <c r="AZ74"/>
      <c r="BA74"/>
      <c r="BB74"/>
      <c r="BC74"/>
      <c r="BD74"/>
      <c r="BE74"/>
      <c r="BF74"/>
    </row>
    <row r="75" spans="3:58" ht="15.95" customHeight="1" thickBot="1" x14ac:dyDescent="0.3">
      <c r="C75" s="489"/>
      <c r="D75" s="941">
        <f>IF(M02S05F25="",0,M02S05F25)</f>
        <v>0</v>
      </c>
      <c r="E75" s="942"/>
      <c r="F75" s="942"/>
      <c r="G75" s="942"/>
      <c r="H75" s="942"/>
      <c r="I75" s="943"/>
      <c r="J75" s="490"/>
      <c r="K75" s="935">
        <f>IF(OR(D75=0,R118=0),0,R118/D75)</f>
        <v>0</v>
      </c>
      <c r="L75" s="936"/>
      <c r="M75" s="936"/>
      <c r="N75" s="936"/>
      <c r="O75" s="936"/>
      <c r="P75" s="937"/>
      <c r="Q75" s="490"/>
      <c r="R75" s="960">
        <f>IF(OR(K72="",R118="",D75=0,K75=0),0,IFERROR(IF((K72-K75)/K72&lt;0.1,0,MIN(((D75*K72)-R118)*0.4,($C$15+$J$15)*0.5)),0))</f>
        <v>0</v>
      </c>
      <c r="S75" s="961"/>
      <c r="T75" s="961"/>
      <c r="U75" s="962"/>
      <c r="V75" s="491"/>
      <c r="W75" s="63"/>
      <c r="X75" s="489"/>
      <c r="Y75" s="941">
        <f>IF(M02S05F28="",0,M02S05F28)</f>
        <v>0</v>
      </c>
      <c r="Z75" s="942"/>
      <c r="AA75" s="942"/>
      <c r="AB75" s="942"/>
      <c r="AC75" s="942"/>
      <c r="AD75" s="943"/>
      <c r="AE75" s="490"/>
      <c r="AF75" s="935">
        <f>IF(OR(Y75=0,AM118=0),0,AM118/Y75)</f>
        <v>0</v>
      </c>
      <c r="AG75" s="936"/>
      <c r="AH75" s="936"/>
      <c r="AI75" s="936"/>
      <c r="AJ75" s="936"/>
      <c r="AK75" s="937"/>
      <c r="AL75" s="490"/>
      <c r="AM75" s="960">
        <f>IF(OR(AF72="",AM118="",Y75=0,AF75=0),0,IFERROR(IF((AF72-AF75)/AF72&lt;0.1,0,MIN(((Y75*AF72)-AM118)*0.4,($C$15+$J$15)*0.5)),0))</f>
        <v>0</v>
      </c>
      <c r="AN75" s="961"/>
      <c r="AO75" s="961"/>
      <c r="AP75" s="962"/>
      <c r="AQ75" s="491"/>
      <c r="AS75"/>
      <c r="AT75"/>
      <c r="AU75"/>
      <c r="AV75"/>
      <c r="AW75"/>
      <c r="AX75"/>
      <c r="AY75"/>
      <c r="AZ75"/>
      <c r="BA75"/>
      <c r="BB75"/>
      <c r="BC75"/>
      <c r="BD75"/>
      <c r="BE75"/>
      <c r="BF75"/>
    </row>
    <row r="76" spans="3:58" ht="15.95" customHeight="1" x14ac:dyDescent="0.25">
      <c r="C76" s="489"/>
      <c r="D76" s="490"/>
      <c r="E76" s="490"/>
      <c r="F76" s="490"/>
      <c r="G76" s="490"/>
      <c r="H76" s="490"/>
      <c r="I76" s="490"/>
      <c r="J76" s="490"/>
      <c r="K76" s="490"/>
      <c r="L76" s="490"/>
      <c r="M76" s="490"/>
      <c r="N76" s="490"/>
      <c r="O76" s="490"/>
      <c r="P76" s="490"/>
      <c r="Q76" s="490"/>
      <c r="R76" s="490"/>
      <c r="S76" s="490"/>
      <c r="T76" s="490"/>
      <c r="U76" s="490"/>
      <c r="V76" s="491"/>
      <c r="W76" s="63"/>
      <c r="X76" s="489"/>
      <c r="Y76" s="490"/>
      <c r="Z76" s="490"/>
      <c r="AA76" s="490"/>
      <c r="AB76" s="490"/>
      <c r="AC76" s="490"/>
      <c r="AD76" s="490"/>
      <c r="AE76" s="490"/>
      <c r="AF76" s="490"/>
      <c r="AG76" s="490"/>
      <c r="AH76" s="490"/>
      <c r="AI76" s="490"/>
      <c r="AJ76" s="490"/>
      <c r="AK76" s="490"/>
      <c r="AL76" s="490"/>
      <c r="AM76" s="490"/>
      <c r="AN76" s="490"/>
      <c r="AO76" s="490"/>
      <c r="AP76" s="490"/>
      <c r="AQ76" s="491"/>
      <c r="AS76"/>
      <c r="AT76"/>
      <c r="AU76"/>
      <c r="AV76"/>
      <c r="AW76"/>
      <c r="AX76"/>
      <c r="AY76"/>
      <c r="AZ76"/>
      <c r="BA76"/>
      <c r="BB76"/>
      <c r="BC76"/>
      <c r="BD76"/>
      <c r="BE76"/>
      <c r="BF76"/>
    </row>
    <row r="77" spans="3:58" ht="15.95" customHeight="1" x14ac:dyDescent="0.25">
      <c r="C77" s="489"/>
      <c r="D77" s="1001" t="s">
        <v>1738</v>
      </c>
      <c r="E77" s="1001"/>
      <c r="F77" s="1001"/>
      <c r="G77" s="1001"/>
      <c r="H77" s="1001"/>
      <c r="I77" s="1001"/>
      <c r="J77" s="1001"/>
      <c r="K77" s="1001"/>
      <c r="L77" s="1001"/>
      <c r="M77" s="998" t="s">
        <v>1739</v>
      </c>
      <c r="N77" s="998"/>
      <c r="O77" s="998" t="s">
        <v>1740</v>
      </c>
      <c r="P77" s="998"/>
      <c r="Q77" s="998"/>
      <c r="R77" s="998" t="s">
        <v>1741</v>
      </c>
      <c r="S77" s="998"/>
      <c r="T77" s="998"/>
      <c r="U77" s="998"/>
      <c r="V77" s="491"/>
      <c r="W77" s="63"/>
      <c r="X77" s="489"/>
      <c r="Y77" s="1001" t="s">
        <v>1738</v>
      </c>
      <c r="Z77" s="1001"/>
      <c r="AA77" s="1001"/>
      <c r="AB77" s="1001"/>
      <c r="AC77" s="1001"/>
      <c r="AD77" s="1001"/>
      <c r="AE77" s="1001"/>
      <c r="AF77" s="1001"/>
      <c r="AG77" s="1001"/>
      <c r="AH77" s="998" t="s">
        <v>1739</v>
      </c>
      <c r="AI77" s="998"/>
      <c r="AJ77" s="998" t="s">
        <v>1740</v>
      </c>
      <c r="AK77" s="998"/>
      <c r="AL77" s="998"/>
      <c r="AM77" s="998" t="s">
        <v>1741</v>
      </c>
      <c r="AN77" s="998"/>
      <c r="AO77" s="998"/>
      <c r="AP77" s="998"/>
      <c r="AQ77" s="491"/>
      <c r="AS77"/>
      <c r="AT77"/>
      <c r="AU77"/>
      <c r="AV77"/>
      <c r="AW77"/>
      <c r="AX77"/>
      <c r="AY77"/>
      <c r="AZ77"/>
      <c r="BA77"/>
      <c r="BB77"/>
      <c r="BC77"/>
      <c r="BD77"/>
      <c r="BE77"/>
      <c r="BF77"/>
    </row>
    <row r="78" spans="3:58" ht="15.95" customHeight="1" x14ac:dyDescent="0.25">
      <c r="C78" s="493">
        <v>1</v>
      </c>
      <c r="D78" s="996"/>
      <c r="E78" s="996"/>
      <c r="F78" s="996"/>
      <c r="G78" s="996"/>
      <c r="H78" s="996"/>
      <c r="I78" s="996"/>
      <c r="J78" s="996"/>
      <c r="K78" s="996"/>
      <c r="L78" s="996"/>
      <c r="M78" s="997"/>
      <c r="N78" s="997"/>
      <c r="O78" s="997"/>
      <c r="P78" s="997"/>
      <c r="Q78" s="997"/>
      <c r="R78" s="995">
        <f>M78*O78</f>
        <v>0</v>
      </c>
      <c r="S78" s="995"/>
      <c r="T78" s="995"/>
      <c r="U78" s="995"/>
      <c r="V78" s="491"/>
      <c r="W78" s="63"/>
      <c r="X78" s="493">
        <v>1</v>
      </c>
      <c r="Y78" s="996"/>
      <c r="Z78" s="996"/>
      <c r="AA78" s="996"/>
      <c r="AB78" s="996"/>
      <c r="AC78" s="996"/>
      <c r="AD78" s="996"/>
      <c r="AE78" s="996"/>
      <c r="AF78" s="996"/>
      <c r="AG78" s="996"/>
      <c r="AH78" s="997"/>
      <c r="AI78" s="997"/>
      <c r="AJ78" s="997"/>
      <c r="AK78" s="997"/>
      <c r="AL78" s="997"/>
      <c r="AM78" s="995">
        <f>AH78*AJ78</f>
        <v>0</v>
      </c>
      <c r="AN78" s="995"/>
      <c r="AO78" s="995"/>
      <c r="AP78" s="995"/>
      <c r="AQ78" s="491"/>
      <c r="AS78"/>
      <c r="AT78"/>
      <c r="AU78"/>
      <c r="AV78"/>
      <c r="AW78"/>
      <c r="AX78"/>
      <c r="AY78"/>
      <c r="AZ78"/>
      <c r="BA78"/>
      <c r="BB78"/>
      <c r="BC78"/>
      <c r="BD78"/>
      <c r="BE78"/>
      <c r="BF78"/>
    </row>
    <row r="79" spans="3:58" ht="15.95" customHeight="1" x14ac:dyDescent="0.25">
      <c r="C79" s="493">
        <v>2</v>
      </c>
      <c r="D79" s="996"/>
      <c r="E79" s="996"/>
      <c r="F79" s="996"/>
      <c r="G79" s="996"/>
      <c r="H79" s="996"/>
      <c r="I79" s="996"/>
      <c r="J79" s="996"/>
      <c r="K79" s="996"/>
      <c r="L79" s="996"/>
      <c r="M79" s="997"/>
      <c r="N79" s="997"/>
      <c r="O79" s="997"/>
      <c r="P79" s="997"/>
      <c r="Q79" s="997"/>
      <c r="R79" s="995">
        <f t="shared" ref="R79:R117" si="2">M79*O79</f>
        <v>0</v>
      </c>
      <c r="S79" s="995"/>
      <c r="T79" s="995"/>
      <c r="U79" s="995"/>
      <c r="V79" s="491"/>
      <c r="W79" s="63"/>
      <c r="X79" s="493">
        <v>2</v>
      </c>
      <c r="Y79" s="996"/>
      <c r="Z79" s="996"/>
      <c r="AA79" s="996"/>
      <c r="AB79" s="996"/>
      <c r="AC79" s="996"/>
      <c r="AD79" s="996"/>
      <c r="AE79" s="996"/>
      <c r="AF79" s="996"/>
      <c r="AG79" s="996"/>
      <c r="AH79" s="997"/>
      <c r="AI79" s="997"/>
      <c r="AJ79" s="997"/>
      <c r="AK79" s="997"/>
      <c r="AL79" s="997"/>
      <c r="AM79" s="995">
        <f t="shared" ref="AM79:AM117" si="3">AH79*AJ79</f>
        <v>0</v>
      </c>
      <c r="AN79" s="995"/>
      <c r="AO79" s="995"/>
      <c r="AP79" s="995"/>
      <c r="AQ79" s="491"/>
      <c r="AS79"/>
      <c r="AT79"/>
      <c r="AU79"/>
      <c r="AV79"/>
      <c r="AW79"/>
      <c r="AX79"/>
      <c r="AY79"/>
      <c r="AZ79"/>
      <c r="BA79"/>
      <c r="BB79"/>
      <c r="BC79"/>
      <c r="BD79"/>
      <c r="BE79"/>
      <c r="BF79"/>
    </row>
    <row r="80" spans="3:58" ht="15.95" customHeight="1" x14ac:dyDescent="0.25">
      <c r="C80" s="493">
        <v>3</v>
      </c>
      <c r="D80" s="996"/>
      <c r="E80" s="996"/>
      <c r="F80" s="996"/>
      <c r="G80" s="996"/>
      <c r="H80" s="996"/>
      <c r="I80" s="996"/>
      <c r="J80" s="996"/>
      <c r="K80" s="996"/>
      <c r="L80" s="996"/>
      <c r="M80" s="997"/>
      <c r="N80" s="997"/>
      <c r="O80" s="997"/>
      <c r="P80" s="997"/>
      <c r="Q80" s="997"/>
      <c r="R80" s="995">
        <f t="shared" si="2"/>
        <v>0</v>
      </c>
      <c r="S80" s="995"/>
      <c r="T80" s="995"/>
      <c r="U80" s="995"/>
      <c r="V80" s="491"/>
      <c r="W80" s="63"/>
      <c r="X80" s="493">
        <v>3</v>
      </c>
      <c r="Y80" s="996"/>
      <c r="Z80" s="996"/>
      <c r="AA80" s="996"/>
      <c r="AB80" s="996"/>
      <c r="AC80" s="996"/>
      <c r="AD80" s="996"/>
      <c r="AE80" s="996"/>
      <c r="AF80" s="996"/>
      <c r="AG80" s="996"/>
      <c r="AH80" s="997"/>
      <c r="AI80" s="997"/>
      <c r="AJ80" s="997"/>
      <c r="AK80" s="997"/>
      <c r="AL80" s="997"/>
      <c r="AM80" s="995">
        <f t="shared" si="3"/>
        <v>0</v>
      </c>
      <c r="AN80" s="995"/>
      <c r="AO80" s="995"/>
      <c r="AP80" s="995"/>
      <c r="AQ80" s="491"/>
      <c r="AS80"/>
      <c r="AT80"/>
      <c r="AU80"/>
      <c r="AV80"/>
      <c r="AW80"/>
      <c r="AX80"/>
      <c r="AY80"/>
      <c r="AZ80"/>
      <c r="BA80"/>
      <c r="BB80"/>
      <c r="BC80"/>
      <c r="BD80"/>
      <c r="BE80"/>
      <c r="BF80"/>
    </row>
    <row r="81" spans="3:58" ht="15.95" customHeight="1" x14ac:dyDescent="0.25">
      <c r="C81" s="493">
        <v>4</v>
      </c>
      <c r="D81" s="996"/>
      <c r="E81" s="996"/>
      <c r="F81" s="996"/>
      <c r="G81" s="996"/>
      <c r="H81" s="996"/>
      <c r="I81" s="996"/>
      <c r="J81" s="996"/>
      <c r="K81" s="996"/>
      <c r="L81" s="996"/>
      <c r="M81" s="997"/>
      <c r="N81" s="997"/>
      <c r="O81" s="997"/>
      <c r="P81" s="997"/>
      <c r="Q81" s="997"/>
      <c r="R81" s="995">
        <f t="shared" si="2"/>
        <v>0</v>
      </c>
      <c r="S81" s="995"/>
      <c r="T81" s="995"/>
      <c r="U81" s="995"/>
      <c r="V81" s="491"/>
      <c r="W81" s="63"/>
      <c r="X81" s="493">
        <v>4</v>
      </c>
      <c r="Y81" s="996"/>
      <c r="Z81" s="996"/>
      <c r="AA81" s="996"/>
      <c r="AB81" s="996"/>
      <c r="AC81" s="996"/>
      <c r="AD81" s="996"/>
      <c r="AE81" s="996"/>
      <c r="AF81" s="996"/>
      <c r="AG81" s="996"/>
      <c r="AH81" s="997"/>
      <c r="AI81" s="997"/>
      <c r="AJ81" s="997"/>
      <c r="AK81" s="997"/>
      <c r="AL81" s="997"/>
      <c r="AM81" s="995">
        <f t="shared" si="3"/>
        <v>0</v>
      </c>
      <c r="AN81" s="995"/>
      <c r="AO81" s="995"/>
      <c r="AP81" s="995"/>
      <c r="AQ81" s="491"/>
      <c r="AS81"/>
      <c r="AT81"/>
      <c r="AU81"/>
      <c r="AV81"/>
      <c r="AW81"/>
      <c r="AX81"/>
      <c r="AY81"/>
      <c r="AZ81"/>
      <c r="BA81"/>
      <c r="BB81"/>
      <c r="BC81"/>
      <c r="BD81"/>
      <c r="BE81"/>
      <c r="BF81"/>
    </row>
    <row r="82" spans="3:58" ht="15.95" customHeight="1" x14ac:dyDescent="0.25">
      <c r="C82" s="493">
        <v>5</v>
      </c>
      <c r="D82" s="996"/>
      <c r="E82" s="996"/>
      <c r="F82" s="996"/>
      <c r="G82" s="996"/>
      <c r="H82" s="996"/>
      <c r="I82" s="996"/>
      <c r="J82" s="996"/>
      <c r="K82" s="996"/>
      <c r="L82" s="996"/>
      <c r="M82" s="997"/>
      <c r="N82" s="997"/>
      <c r="O82" s="997"/>
      <c r="P82" s="997"/>
      <c r="Q82" s="997"/>
      <c r="R82" s="995">
        <f t="shared" si="2"/>
        <v>0</v>
      </c>
      <c r="S82" s="995"/>
      <c r="T82" s="995"/>
      <c r="U82" s="995"/>
      <c r="V82" s="491"/>
      <c r="W82" s="63"/>
      <c r="X82" s="493">
        <v>5</v>
      </c>
      <c r="Y82" s="996"/>
      <c r="Z82" s="996"/>
      <c r="AA82" s="996"/>
      <c r="AB82" s="996"/>
      <c r="AC82" s="996"/>
      <c r="AD82" s="996"/>
      <c r="AE82" s="996"/>
      <c r="AF82" s="996"/>
      <c r="AG82" s="996"/>
      <c r="AH82" s="997"/>
      <c r="AI82" s="997"/>
      <c r="AJ82" s="997"/>
      <c r="AK82" s="997"/>
      <c r="AL82" s="997"/>
      <c r="AM82" s="995">
        <f t="shared" si="3"/>
        <v>0</v>
      </c>
      <c r="AN82" s="995"/>
      <c r="AO82" s="995"/>
      <c r="AP82" s="995"/>
      <c r="AQ82" s="491"/>
      <c r="AS82"/>
      <c r="AT82"/>
      <c r="AU82"/>
      <c r="AV82"/>
      <c r="AW82"/>
      <c r="AX82"/>
      <c r="AY82"/>
      <c r="AZ82"/>
      <c r="BA82"/>
      <c r="BB82"/>
      <c r="BC82"/>
      <c r="BD82"/>
      <c r="BE82"/>
      <c r="BF82"/>
    </row>
    <row r="83" spans="3:58" ht="15.95" customHeight="1" x14ac:dyDescent="0.25">
      <c r="C83" s="493">
        <v>6</v>
      </c>
      <c r="D83" s="996"/>
      <c r="E83" s="996"/>
      <c r="F83" s="996"/>
      <c r="G83" s="996"/>
      <c r="H83" s="996"/>
      <c r="I83" s="996"/>
      <c r="J83" s="996"/>
      <c r="K83" s="996"/>
      <c r="L83" s="996"/>
      <c r="M83" s="997"/>
      <c r="N83" s="997"/>
      <c r="O83" s="997"/>
      <c r="P83" s="997"/>
      <c r="Q83" s="997"/>
      <c r="R83" s="995">
        <f t="shared" si="2"/>
        <v>0</v>
      </c>
      <c r="S83" s="995"/>
      <c r="T83" s="995"/>
      <c r="U83" s="995"/>
      <c r="V83" s="491"/>
      <c r="W83" s="63"/>
      <c r="X83" s="493">
        <v>6</v>
      </c>
      <c r="Y83" s="996"/>
      <c r="Z83" s="996"/>
      <c r="AA83" s="996"/>
      <c r="AB83" s="996"/>
      <c r="AC83" s="996"/>
      <c r="AD83" s="996"/>
      <c r="AE83" s="996"/>
      <c r="AF83" s="996"/>
      <c r="AG83" s="996"/>
      <c r="AH83" s="997"/>
      <c r="AI83" s="997"/>
      <c r="AJ83" s="997"/>
      <c r="AK83" s="997"/>
      <c r="AL83" s="997"/>
      <c r="AM83" s="995">
        <f t="shared" si="3"/>
        <v>0</v>
      </c>
      <c r="AN83" s="995"/>
      <c r="AO83" s="995"/>
      <c r="AP83" s="995"/>
      <c r="AQ83" s="491"/>
      <c r="AS83"/>
      <c r="AT83"/>
      <c r="AU83"/>
      <c r="AV83"/>
      <c r="AW83"/>
      <c r="AX83"/>
      <c r="AY83"/>
      <c r="AZ83"/>
      <c r="BA83"/>
      <c r="BB83"/>
      <c r="BC83"/>
      <c r="BD83"/>
      <c r="BE83"/>
      <c r="BF83"/>
    </row>
    <row r="84" spans="3:58" ht="15.95" customHeight="1" x14ac:dyDescent="0.25">
      <c r="C84" s="493">
        <v>7</v>
      </c>
      <c r="D84" s="996"/>
      <c r="E84" s="996"/>
      <c r="F84" s="996"/>
      <c r="G84" s="996"/>
      <c r="H84" s="996"/>
      <c r="I84" s="996"/>
      <c r="J84" s="996"/>
      <c r="K84" s="996"/>
      <c r="L84" s="996"/>
      <c r="M84" s="997"/>
      <c r="N84" s="997"/>
      <c r="O84" s="997"/>
      <c r="P84" s="997"/>
      <c r="Q84" s="997"/>
      <c r="R84" s="995">
        <f t="shared" si="2"/>
        <v>0</v>
      </c>
      <c r="S84" s="995"/>
      <c r="T84" s="995"/>
      <c r="U84" s="995"/>
      <c r="V84" s="491"/>
      <c r="W84" s="63"/>
      <c r="X84" s="493">
        <v>7</v>
      </c>
      <c r="Y84" s="996"/>
      <c r="Z84" s="996"/>
      <c r="AA84" s="996"/>
      <c r="AB84" s="996"/>
      <c r="AC84" s="996"/>
      <c r="AD84" s="996"/>
      <c r="AE84" s="996"/>
      <c r="AF84" s="996"/>
      <c r="AG84" s="996"/>
      <c r="AH84" s="997"/>
      <c r="AI84" s="997"/>
      <c r="AJ84" s="997"/>
      <c r="AK84" s="997"/>
      <c r="AL84" s="997"/>
      <c r="AM84" s="995">
        <f t="shared" si="3"/>
        <v>0</v>
      </c>
      <c r="AN84" s="995"/>
      <c r="AO84" s="995"/>
      <c r="AP84" s="995"/>
      <c r="AQ84" s="491"/>
      <c r="AS84"/>
      <c r="AT84"/>
      <c r="AU84"/>
      <c r="AV84"/>
      <c r="AW84"/>
      <c r="AX84"/>
      <c r="AY84"/>
      <c r="AZ84"/>
      <c r="BA84"/>
      <c r="BB84"/>
      <c r="BC84"/>
      <c r="BD84"/>
      <c r="BE84"/>
      <c r="BF84"/>
    </row>
    <row r="85" spans="3:58" ht="15.95" customHeight="1" x14ac:dyDescent="0.25">
      <c r="C85" s="493">
        <v>8</v>
      </c>
      <c r="D85" s="996"/>
      <c r="E85" s="996"/>
      <c r="F85" s="996"/>
      <c r="G85" s="996"/>
      <c r="H85" s="996"/>
      <c r="I85" s="996"/>
      <c r="J85" s="996"/>
      <c r="K85" s="996"/>
      <c r="L85" s="996"/>
      <c r="M85" s="997"/>
      <c r="N85" s="997"/>
      <c r="O85" s="997"/>
      <c r="P85" s="997"/>
      <c r="Q85" s="997"/>
      <c r="R85" s="995">
        <f t="shared" si="2"/>
        <v>0</v>
      </c>
      <c r="S85" s="995"/>
      <c r="T85" s="995"/>
      <c r="U85" s="995"/>
      <c r="V85" s="491"/>
      <c r="W85" s="63"/>
      <c r="X85" s="493">
        <v>8</v>
      </c>
      <c r="Y85" s="996"/>
      <c r="Z85" s="996"/>
      <c r="AA85" s="996"/>
      <c r="AB85" s="996"/>
      <c r="AC85" s="996"/>
      <c r="AD85" s="996"/>
      <c r="AE85" s="996"/>
      <c r="AF85" s="996"/>
      <c r="AG85" s="996"/>
      <c r="AH85" s="997"/>
      <c r="AI85" s="997"/>
      <c r="AJ85" s="997"/>
      <c r="AK85" s="997"/>
      <c r="AL85" s="997"/>
      <c r="AM85" s="995">
        <f t="shared" si="3"/>
        <v>0</v>
      </c>
      <c r="AN85" s="995"/>
      <c r="AO85" s="995"/>
      <c r="AP85" s="995"/>
      <c r="AQ85" s="491"/>
      <c r="AS85"/>
      <c r="AT85"/>
      <c r="AU85"/>
      <c r="AV85"/>
      <c r="AW85"/>
      <c r="AX85"/>
      <c r="AY85"/>
      <c r="AZ85"/>
      <c r="BA85"/>
      <c r="BB85"/>
      <c r="BC85"/>
      <c r="BD85"/>
      <c r="BE85"/>
      <c r="BF85"/>
    </row>
    <row r="86" spans="3:58" ht="15.95" customHeight="1" x14ac:dyDescent="0.25">
      <c r="C86" s="493">
        <v>9</v>
      </c>
      <c r="D86" s="996"/>
      <c r="E86" s="996"/>
      <c r="F86" s="996"/>
      <c r="G86" s="996"/>
      <c r="H86" s="996"/>
      <c r="I86" s="996"/>
      <c r="J86" s="996"/>
      <c r="K86" s="996"/>
      <c r="L86" s="996"/>
      <c r="M86" s="997"/>
      <c r="N86" s="997"/>
      <c r="O86" s="997"/>
      <c r="P86" s="997"/>
      <c r="Q86" s="997"/>
      <c r="R86" s="995">
        <f t="shared" si="2"/>
        <v>0</v>
      </c>
      <c r="S86" s="995"/>
      <c r="T86" s="995"/>
      <c r="U86" s="995"/>
      <c r="V86" s="491"/>
      <c r="W86" s="63"/>
      <c r="X86" s="493">
        <v>9</v>
      </c>
      <c r="Y86" s="996"/>
      <c r="Z86" s="996"/>
      <c r="AA86" s="996"/>
      <c r="AB86" s="996"/>
      <c r="AC86" s="996"/>
      <c r="AD86" s="996"/>
      <c r="AE86" s="996"/>
      <c r="AF86" s="996"/>
      <c r="AG86" s="996"/>
      <c r="AH86" s="997"/>
      <c r="AI86" s="997"/>
      <c r="AJ86" s="997"/>
      <c r="AK86" s="997"/>
      <c r="AL86" s="997"/>
      <c r="AM86" s="995">
        <f t="shared" si="3"/>
        <v>0</v>
      </c>
      <c r="AN86" s="995"/>
      <c r="AO86" s="995"/>
      <c r="AP86" s="995"/>
      <c r="AQ86" s="491"/>
      <c r="AS86"/>
      <c r="AT86"/>
      <c r="AU86"/>
      <c r="AV86"/>
      <c r="AW86"/>
      <c r="AX86"/>
      <c r="AY86"/>
      <c r="AZ86"/>
      <c r="BA86"/>
      <c r="BB86"/>
      <c r="BC86"/>
      <c r="BD86"/>
      <c r="BE86"/>
      <c r="BF86"/>
    </row>
    <row r="87" spans="3:58" ht="15.95" customHeight="1" x14ac:dyDescent="0.25">
      <c r="C87" s="493">
        <v>10</v>
      </c>
      <c r="D87" s="996"/>
      <c r="E87" s="996"/>
      <c r="F87" s="996"/>
      <c r="G87" s="996"/>
      <c r="H87" s="996"/>
      <c r="I87" s="996"/>
      <c r="J87" s="996"/>
      <c r="K87" s="996"/>
      <c r="L87" s="996"/>
      <c r="M87" s="997"/>
      <c r="N87" s="997"/>
      <c r="O87" s="997"/>
      <c r="P87" s="997"/>
      <c r="Q87" s="997"/>
      <c r="R87" s="995">
        <f t="shared" si="2"/>
        <v>0</v>
      </c>
      <c r="S87" s="995"/>
      <c r="T87" s="995"/>
      <c r="U87" s="995"/>
      <c r="V87" s="491"/>
      <c r="W87" s="63"/>
      <c r="X87" s="493">
        <v>10</v>
      </c>
      <c r="Y87" s="996"/>
      <c r="Z87" s="996"/>
      <c r="AA87" s="996"/>
      <c r="AB87" s="996"/>
      <c r="AC87" s="996"/>
      <c r="AD87" s="996"/>
      <c r="AE87" s="996"/>
      <c r="AF87" s="996"/>
      <c r="AG87" s="996"/>
      <c r="AH87" s="997"/>
      <c r="AI87" s="997"/>
      <c r="AJ87" s="997"/>
      <c r="AK87" s="997"/>
      <c r="AL87" s="997"/>
      <c r="AM87" s="995">
        <f t="shared" si="3"/>
        <v>0</v>
      </c>
      <c r="AN87" s="995"/>
      <c r="AO87" s="995"/>
      <c r="AP87" s="995"/>
      <c r="AQ87" s="491"/>
      <c r="AS87"/>
      <c r="AT87"/>
      <c r="AU87"/>
      <c r="AV87"/>
      <c r="AW87"/>
      <c r="AX87"/>
      <c r="AY87"/>
      <c r="AZ87"/>
      <c r="BA87"/>
      <c r="BB87"/>
      <c r="BC87"/>
      <c r="BD87"/>
      <c r="BE87"/>
      <c r="BF87"/>
    </row>
    <row r="88" spans="3:58" ht="15.95" customHeight="1" x14ac:dyDescent="0.25">
      <c r="C88" s="493">
        <v>11</v>
      </c>
      <c r="D88" s="996"/>
      <c r="E88" s="996"/>
      <c r="F88" s="996"/>
      <c r="G88" s="996"/>
      <c r="H88" s="996"/>
      <c r="I88" s="996"/>
      <c r="J88" s="996"/>
      <c r="K88" s="996"/>
      <c r="L88" s="996"/>
      <c r="M88" s="997"/>
      <c r="N88" s="997"/>
      <c r="O88" s="997"/>
      <c r="P88" s="997"/>
      <c r="Q88" s="997"/>
      <c r="R88" s="995">
        <f t="shared" si="2"/>
        <v>0</v>
      </c>
      <c r="S88" s="995"/>
      <c r="T88" s="995"/>
      <c r="U88" s="995"/>
      <c r="V88" s="491"/>
      <c r="W88" s="63"/>
      <c r="X88" s="493">
        <v>11</v>
      </c>
      <c r="Y88" s="996"/>
      <c r="Z88" s="996"/>
      <c r="AA88" s="996"/>
      <c r="AB88" s="996"/>
      <c r="AC88" s="996"/>
      <c r="AD88" s="996"/>
      <c r="AE88" s="996"/>
      <c r="AF88" s="996"/>
      <c r="AG88" s="996"/>
      <c r="AH88" s="997"/>
      <c r="AI88" s="997"/>
      <c r="AJ88" s="997"/>
      <c r="AK88" s="997"/>
      <c r="AL88" s="997"/>
      <c r="AM88" s="995">
        <f t="shared" si="3"/>
        <v>0</v>
      </c>
      <c r="AN88" s="995"/>
      <c r="AO88" s="995"/>
      <c r="AP88" s="995"/>
      <c r="AQ88" s="491"/>
      <c r="AS88"/>
      <c r="AT88"/>
      <c r="AU88"/>
      <c r="AV88"/>
      <c r="AW88"/>
      <c r="AX88"/>
      <c r="AY88"/>
      <c r="AZ88"/>
      <c r="BA88"/>
      <c r="BB88"/>
      <c r="BC88"/>
      <c r="BD88"/>
      <c r="BE88"/>
      <c r="BF88"/>
    </row>
    <row r="89" spans="3:58" ht="15.95" customHeight="1" x14ac:dyDescent="0.25">
      <c r="C89" s="493">
        <v>12</v>
      </c>
      <c r="D89" s="996"/>
      <c r="E89" s="996"/>
      <c r="F89" s="996"/>
      <c r="G89" s="996"/>
      <c r="H89" s="996"/>
      <c r="I89" s="996"/>
      <c r="J89" s="996"/>
      <c r="K89" s="996"/>
      <c r="L89" s="996"/>
      <c r="M89" s="997"/>
      <c r="N89" s="997"/>
      <c r="O89" s="997"/>
      <c r="P89" s="997"/>
      <c r="Q89" s="997"/>
      <c r="R89" s="995">
        <f t="shared" si="2"/>
        <v>0</v>
      </c>
      <c r="S89" s="995"/>
      <c r="T89" s="995"/>
      <c r="U89" s="995"/>
      <c r="V89" s="491"/>
      <c r="W89" s="63"/>
      <c r="X89" s="493">
        <v>12</v>
      </c>
      <c r="Y89" s="996"/>
      <c r="Z89" s="996"/>
      <c r="AA89" s="996"/>
      <c r="AB89" s="996"/>
      <c r="AC89" s="996"/>
      <c r="AD89" s="996"/>
      <c r="AE89" s="996"/>
      <c r="AF89" s="996"/>
      <c r="AG89" s="996"/>
      <c r="AH89" s="997"/>
      <c r="AI89" s="997"/>
      <c r="AJ89" s="997"/>
      <c r="AK89" s="997"/>
      <c r="AL89" s="997"/>
      <c r="AM89" s="995">
        <f t="shared" si="3"/>
        <v>0</v>
      </c>
      <c r="AN89" s="995"/>
      <c r="AO89" s="995"/>
      <c r="AP89" s="995"/>
      <c r="AQ89" s="491"/>
      <c r="AS89"/>
      <c r="AT89"/>
      <c r="AU89"/>
      <c r="AV89"/>
      <c r="AW89"/>
      <c r="AX89"/>
      <c r="AY89"/>
      <c r="AZ89"/>
      <c r="BA89"/>
      <c r="BB89"/>
      <c r="BC89"/>
      <c r="BD89"/>
      <c r="BE89"/>
      <c r="BF89"/>
    </row>
    <row r="90" spans="3:58" ht="15.95" customHeight="1" x14ac:dyDescent="0.25">
      <c r="C90" s="493">
        <v>13</v>
      </c>
      <c r="D90" s="996"/>
      <c r="E90" s="996"/>
      <c r="F90" s="996"/>
      <c r="G90" s="996"/>
      <c r="H90" s="996"/>
      <c r="I90" s="996"/>
      <c r="J90" s="996"/>
      <c r="K90" s="996"/>
      <c r="L90" s="996"/>
      <c r="M90" s="997"/>
      <c r="N90" s="997"/>
      <c r="O90" s="997"/>
      <c r="P90" s="997"/>
      <c r="Q90" s="997"/>
      <c r="R90" s="995">
        <f t="shared" si="2"/>
        <v>0</v>
      </c>
      <c r="S90" s="995"/>
      <c r="T90" s="995"/>
      <c r="U90" s="995"/>
      <c r="V90" s="491"/>
      <c r="W90" s="63"/>
      <c r="X90" s="493">
        <v>13</v>
      </c>
      <c r="Y90" s="996"/>
      <c r="Z90" s="996"/>
      <c r="AA90" s="996"/>
      <c r="AB90" s="996"/>
      <c r="AC90" s="996"/>
      <c r="AD90" s="996"/>
      <c r="AE90" s="996"/>
      <c r="AF90" s="996"/>
      <c r="AG90" s="996"/>
      <c r="AH90" s="997"/>
      <c r="AI90" s="997"/>
      <c r="AJ90" s="997"/>
      <c r="AK90" s="997"/>
      <c r="AL90" s="997"/>
      <c r="AM90" s="995">
        <f t="shared" si="3"/>
        <v>0</v>
      </c>
      <c r="AN90" s="995"/>
      <c r="AO90" s="995"/>
      <c r="AP90" s="995"/>
      <c r="AQ90" s="491"/>
      <c r="AS90"/>
      <c r="AT90"/>
      <c r="AU90"/>
      <c r="AV90"/>
      <c r="AW90"/>
      <c r="AX90"/>
      <c r="AY90"/>
      <c r="AZ90"/>
      <c r="BA90"/>
      <c r="BB90"/>
      <c r="BC90"/>
      <c r="BD90"/>
      <c r="BE90"/>
      <c r="BF90"/>
    </row>
    <row r="91" spans="3:58" ht="15.95" customHeight="1" x14ac:dyDescent="0.25">
      <c r="C91" s="493">
        <v>14</v>
      </c>
      <c r="D91" s="996"/>
      <c r="E91" s="996"/>
      <c r="F91" s="996"/>
      <c r="G91" s="996"/>
      <c r="H91" s="996"/>
      <c r="I91" s="996"/>
      <c r="J91" s="996"/>
      <c r="K91" s="996"/>
      <c r="L91" s="996"/>
      <c r="M91" s="997"/>
      <c r="N91" s="997"/>
      <c r="O91" s="997"/>
      <c r="P91" s="997"/>
      <c r="Q91" s="997"/>
      <c r="R91" s="995">
        <f t="shared" si="2"/>
        <v>0</v>
      </c>
      <c r="S91" s="995"/>
      <c r="T91" s="995"/>
      <c r="U91" s="995"/>
      <c r="V91" s="491"/>
      <c r="W91" s="63"/>
      <c r="X91" s="493">
        <v>14</v>
      </c>
      <c r="Y91" s="996"/>
      <c r="Z91" s="996"/>
      <c r="AA91" s="996"/>
      <c r="AB91" s="996"/>
      <c r="AC91" s="996"/>
      <c r="AD91" s="996"/>
      <c r="AE91" s="996"/>
      <c r="AF91" s="996"/>
      <c r="AG91" s="996"/>
      <c r="AH91" s="997"/>
      <c r="AI91" s="997"/>
      <c r="AJ91" s="997"/>
      <c r="AK91" s="997"/>
      <c r="AL91" s="997"/>
      <c r="AM91" s="995">
        <f t="shared" si="3"/>
        <v>0</v>
      </c>
      <c r="AN91" s="995"/>
      <c r="AO91" s="995"/>
      <c r="AP91" s="995"/>
      <c r="AQ91" s="491"/>
      <c r="AS91"/>
      <c r="AT91"/>
      <c r="AU91"/>
      <c r="AV91"/>
      <c r="AW91"/>
      <c r="AX91"/>
      <c r="AY91"/>
      <c r="AZ91"/>
      <c r="BA91"/>
      <c r="BB91"/>
      <c r="BC91"/>
      <c r="BD91"/>
      <c r="BE91"/>
      <c r="BF91"/>
    </row>
    <row r="92" spans="3:58" ht="15.95" customHeight="1" x14ac:dyDescent="0.25">
      <c r="C92" s="493">
        <v>15</v>
      </c>
      <c r="D92" s="996"/>
      <c r="E92" s="996"/>
      <c r="F92" s="996"/>
      <c r="G92" s="996"/>
      <c r="H92" s="996"/>
      <c r="I92" s="996"/>
      <c r="J92" s="996"/>
      <c r="K92" s="996"/>
      <c r="L92" s="996"/>
      <c r="M92" s="997"/>
      <c r="N92" s="997"/>
      <c r="O92" s="997"/>
      <c r="P92" s="997"/>
      <c r="Q92" s="997"/>
      <c r="R92" s="995">
        <f t="shared" si="2"/>
        <v>0</v>
      </c>
      <c r="S92" s="995"/>
      <c r="T92" s="995"/>
      <c r="U92" s="995"/>
      <c r="V92" s="491"/>
      <c r="W92" s="63"/>
      <c r="X92" s="493">
        <v>15</v>
      </c>
      <c r="Y92" s="996"/>
      <c r="Z92" s="996"/>
      <c r="AA92" s="996"/>
      <c r="AB92" s="996"/>
      <c r="AC92" s="996"/>
      <c r="AD92" s="996"/>
      <c r="AE92" s="996"/>
      <c r="AF92" s="996"/>
      <c r="AG92" s="996"/>
      <c r="AH92" s="997"/>
      <c r="AI92" s="997"/>
      <c r="AJ92" s="997"/>
      <c r="AK92" s="997"/>
      <c r="AL92" s="997"/>
      <c r="AM92" s="995">
        <f t="shared" si="3"/>
        <v>0</v>
      </c>
      <c r="AN92" s="995"/>
      <c r="AO92" s="995"/>
      <c r="AP92" s="995"/>
      <c r="AQ92" s="491"/>
      <c r="AS92"/>
      <c r="AT92"/>
      <c r="AU92"/>
      <c r="AV92"/>
      <c r="AW92"/>
      <c r="AX92"/>
      <c r="AY92"/>
      <c r="AZ92"/>
      <c r="BA92"/>
      <c r="BB92"/>
      <c r="BC92"/>
      <c r="BD92"/>
      <c r="BE92"/>
      <c r="BF92"/>
    </row>
    <row r="93" spans="3:58" ht="15.95" customHeight="1" x14ac:dyDescent="0.25">
      <c r="C93" s="493">
        <v>16</v>
      </c>
      <c r="D93" s="996"/>
      <c r="E93" s="996"/>
      <c r="F93" s="996"/>
      <c r="G93" s="996"/>
      <c r="H93" s="996"/>
      <c r="I93" s="996"/>
      <c r="J93" s="996"/>
      <c r="K93" s="996"/>
      <c r="L93" s="996"/>
      <c r="M93" s="997"/>
      <c r="N93" s="997"/>
      <c r="O93" s="997"/>
      <c r="P93" s="997"/>
      <c r="Q93" s="997"/>
      <c r="R93" s="995">
        <f t="shared" si="2"/>
        <v>0</v>
      </c>
      <c r="S93" s="995"/>
      <c r="T93" s="995"/>
      <c r="U93" s="995"/>
      <c r="V93" s="491"/>
      <c r="W93" s="63"/>
      <c r="X93" s="493">
        <v>16</v>
      </c>
      <c r="Y93" s="996"/>
      <c r="Z93" s="996"/>
      <c r="AA93" s="996"/>
      <c r="AB93" s="996"/>
      <c r="AC93" s="996"/>
      <c r="AD93" s="996"/>
      <c r="AE93" s="996"/>
      <c r="AF93" s="996"/>
      <c r="AG93" s="996"/>
      <c r="AH93" s="997"/>
      <c r="AI93" s="997"/>
      <c r="AJ93" s="997"/>
      <c r="AK93" s="997"/>
      <c r="AL93" s="997"/>
      <c r="AM93" s="995">
        <f t="shared" si="3"/>
        <v>0</v>
      </c>
      <c r="AN93" s="995"/>
      <c r="AO93" s="995"/>
      <c r="AP93" s="995"/>
      <c r="AQ93" s="491"/>
      <c r="AS93"/>
      <c r="AT93"/>
      <c r="AU93"/>
      <c r="AV93"/>
      <c r="AW93"/>
      <c r="AX93"/>
      <c r="AY93"/>
      <c r="AZ93"/>
      <c r="BA93"/>
      <c r="BB93"/>
      <c r="BC93"/>
      <c r="BD93"/>
      <c r="BE93"/>
      <c r="BF93"/>
    </row>
    <row r="94" spans="3:58" ht="15.95" customHeight="1" x14ac:dyDescent="0.25">
      <c r="C94" s="493">
        <v>17</v>
      </c>
      <c r="D94" s="996"/>
      <c r="E94" s="996"/>
      <c r="F94" s="996"/>
      <c r="G94" s="996"/>
      <c r="H94" s="996"/>
      <c r="I94" s="996"/>
      <c r="J94" s="996"/>
      <c r="K94" s="996"/>
      <c r="L94" s="996"/>
      <c r="M94" s="997"/>
      <c r="N94" s="997"/>
      <c r="O94" s="997"/>
      <c r="P94" s="997"/>
      <c r="Q94" s="997"/>
      <c r="R94" s="995">
        <f t="shared" si="2"/>
        <v>0</v>
      </c>
      <c r="S94" s="995"/>
      <c r="T94" s="995"/>
      <c r="U94" s="995"/>
      <c r="V94" s="491"/>
      <c r="W94" s="63"/>
      <c r="X94" s="493">
        <v>17</v>
      </c>
      <c r="Y94" s="996"/>
      <c r="Z94" s="996"/>
      <c r="AA94" s="996"/>
      <c r="AB94" s="996"/>
      <c r="AC94" s="996"/>
      <c r="AD94" s="996"/>
      <c r="AE94" s="996"/>
      <c r="AF94" s="996"/>
      <c r="AG94" s="996"/>
      <c r="AH94" s="997"/>
      <c r="AI94" s="997"/>
      <c r="AJ94" s="997"/>
      <c r="AK94" s="997"/>
      <c r="AL94" s="997"/>
      <c r="AM94" s="995">
        <f t="shared" si="3"/>
        <v>0</v>
      </c>
      <c r="AN94" s="995"/>
      <c r="AO94" s="995"/>
      <c r="AP94" s="995"/>
      <c r="AQ94" s="491"/>
      <c r="AS94"/>
      <c r="AT94"/>
      <c r="AU94"/>
      <c r="AV94"/>
      <c r="AW94"/>
      <c r="AX94"/>
      <c r="AY94"/>
      <c r="AZ94"/>
      <c r="BA94"/>
      <c r="BB94"/>
      <c r="BC94"/>
      <c r="BD94"/>
      <c r="BE94"/>
      <c r="BF94"/>
    </row>
    <row r="95" spans="3:58" ht="15.95" customHeight="1" x14ac:dyDescent="0.25">
      <c r="C95" s="493">
        <v>18</v>
      </c>
      <c r="D95" s="996"/>
      <c r="E95" s="996"/>
      <c r="F95" s="996"/>
      <c r="G95" s="996"/>
      <c r="H95" s="996"/>
      <c r="I95" s="996"/>
      <c r="J95" s="996"/>
      <c r="K95" s="996"/>
      <c r="L95" s="996"/>
      <c r="M95" s="997"/>
      <c r="N95" s="997"/>
      <c r="O95" s="997"/>
      <c r="P95" s="997"/>
      <c r="Q95" s="997"/>
      <c r="R95" s="995">
        <f t="shared" si="2"/>
        <v>0</v>
      </c>
      <c r="S95" s="995"/>
      <c r="T95" s="995"/>
      <c r="U95" s="995"/>
      <c r="V95" s="491"/>
      <c r="W95" s="63"/>
      <c r="X95" s="493">
        <v>18</v>
      </c>
      <c r="Y95" s="996"/>
      <c r="Z95" s="996"/>
      <c r="AA95" s="996"/>
      <c r="AB95" s="996"/>
      <c r="AC95" s="996"/>
      <c r="AD95" s="996"/>
      <c r="AE95" s="996"/>
      <c r="AF95" s="996"/>
      <c r="AG95" s="996"/>
      <c r="AH95" s="997"/>
      <c r="AI95" s="997"/>
      <c r="AJ95" s="997"/>
      <c r="AK95" s="997"/>
      <c r="AL95" s="997"/>
      <c r="AM95" s="995">
        <f t="shared" si="3"/>
        <v>0</v>
      </c>
      <c r="AN95" s="995"/>
      <c r="AO95" s="995"/>
      <c r="AP95" s="995"/>
      <c r="AQ95" s="491"/>
      <c r="AS95"/>
      <c r="AT95"/>
      <c r="AU95"/>
      <c r="AV95"/>
      <c r="AW95"/>
      <c r="AX95"/>
      <c r="AY95"/>
      <c r="AZ95"/>
      <c r="BA95"/>
      <c r="BB95"/>
      <c r="BC95"/>
      <c r="BD95"/>
      <c r="BE95"/>
      <c r="BF95"/>
    </row>
    <row r="96" spans="3:58" ht="15.95" customHeight="1" x14ac:dyDescent="0.25">
      <c r="C96" s="493">
        <v>19</v>
      </c>
      <c r="D96" s="996"/>
      <c r="E96" s="996"/>
      <c r="F96" s="996"/>
      <c r="G96" s="996"/>
      <c r="H96" s="996"/>
      <c r="I96" s="996"/>
      <c r="J96" s="996"/>
      <c r="K96" s="996"/>
      <c r="L96" s="996"/>
      <c r="M96" s="997"/>
      <c r="N96" s="997"/>
      <c r="O96" s="997"/>
      <c r="P96" s="997"/>
      <c r="Q96" s="997"/>
      <c r="R96" s="995">
        <f t="shared" si="2"/>
        <v>0</v>
      </c>
      <c r="S96" s="995"/>
      <c r="T96" s="995"/>
      <c r="U96" s="995"/>
      <c r="V96" s="491"/>
      <c r="W96" s="63"/>
      <c r="X96" s="493">
        <v>19</v>
      </c>
      <c r="Y96" s="996"/>
      <c r="Z96" s="996"/>
      <c r="AA96" s="996"/>
      <c r="AB96" s="996"/>
      <c r="AC96" s="996"/>
      <c r="AD96" s="996"/>
      <c r="AE96" s="996"/>
      <c r="AF96" s="996"/>
      <c r="AG96" s="996"/>
      <c r="AH96" s="997"/>
      <c r="AI96" s="997"/>
      <c r="AJ96" s="997"/>
      <c r="AK96" s="997"/>
      <c r="AL96" s="997"/>
      <c r="AM96" s="995">
        <f t="shared" si="3"/>
        <v>0</v>
      </c>
      <c r="AN96" s="995"/>
      <c r="AO96" s="995"/>
      <c r="AP96" s="995"/>
      <c r="AQ96" s="491"/>
      <c r="AS96"/>
      <c r="AT96"/>
      <c r="AU96"/>
      <c r="AV96"/>
      <c r="AW96"/>
      <c r="AX96"/>
      <c r="AY96"/>
      <c r="AZ96"/>
      <c r="BA96"/>
      <c r="BB96"/>
      <c r="BC96"/>
      <c r="BD96"/>
      <c r="BE96"/>
      <c r="BF96"/>
    </row>
    <row r="97" spans="3:58" ht="15.95" customHeight="1" x14ac:dyDescent="0.25">
      <c r="C97" s="493">
        <v>20</v>
      </c>
      <c r="D97" s="996"/>
      <c r="E97" s="996"/>
      <c r="F97" s="996"/>
      <c r="G97" s="996"/>
      <c r="H97" s="996"/>
      <c r="I97" s="996"/>
      <c r="J97" s="996"/>
      <c r="K97" s="996"/>
      <c r="L97" s="996"/>
      <c r="M97" s="997"/>
      <c r="N97" s="997"/>
      <c r="O97" s="997"/>
      <c r="P97" s="997"/>
      <c r="Q97" s="997"/>
      <c r="R97" s="995">
        <f t="shared" si="2"/>
        <v>0</v>
      </c>
      <c r="S97" s="995"/>
      <c r="T97" s="995"/>
      <c r="U97" s="995"/>
      <c r="V97" s="491"/>
      <c r="W97" s="63"/>
      <c r="X97" s="493">
        <v>20</v>
      </c>
      <c r="Y97" s="996"/>
      <c r="Z97" s="996"/>
      <c r="AA97" s="996"/>
      <c r="AB97" s="996"/>
      <c r="AC97" s="996"/>
      <c r="AD97" s="996"/>
      <c r="AE97" s="996"/>
      <c r="AF97" s="996"/>
      <c r="AG97" s="996"/>
      <c r="AH97" s="997"/>
      <c r="AI97" s="997"/>
      <c r="AJ97" s="997"/>
      <c r="AK97" s="997"/>
      <c r="AL97" s="997"/>
      <c r="AM97" s="995">
        <f t="shared" si="3"/>
        <v>0</v>
      </c>
      <c r="AN97" s="995"/>
      <c r="AO97" s="995"/>
      <c r="AP97" s="995"/>
      <c r="AQ97" s="491"/>
      <c r="AS97"/>
      <c r="AT97"/>
      <c r="AU97"/>
      <c r="AV97"/>
      <c r="AW97"/>
      <c r="AX97"/>
      <c r="AY97"/>
      <c r="AZ97"/>
      <c r="BA97"/>
      <c r="BB97"/>
      <c r="BC97"/>
      <c r="BD97"/>
      <c r="BE97"/>
      <c r="BF97"/>
    </row>
    <row r="98" spans="3:58" ht="15.95" customHeight="1" x14ac:dyDescent="0.25">
      <c r="C98" s="493">
        <v>21</v>
      </c>
      <c r="D98" s="996"/>
      <c r="E98" s="996"/>
      <c r="F98" s="996"/>
      <c r="G98" s="996"/>
      <c r="H98" s="996"/>
      <c r="I98" s="996"/>
      <c r="J98" s="996"/>
      <c r="K98" s="996"/>
      <c r="L98" s="996"/>
      <c r="M98" s="997"/>
      <c r="N98" s="997"/>
      <c r="O98" s="997"/>
      <c r="P98" s="997"/>
      <c r="Q98" s="997"/>
      <c r="R98" s="995">
        <f t="shared" si="2"/>
        <v>0</v>
      </c>
      <c r="S98" s="995"/>
      <c r="T98" s="995"/>
      <c r="U98" s="995"/>
      <c r="V98" s="491"/>
      <c r="W98" s="63"/>
      <c r="X98" s="493">
        <v>21</v>
      </c>
      <c r="Y98" s="996"/>
      <c r="Z98" s="996"/>
      <c r="AA98" s="996"/>
      <c r="AB98" s="996"/>
      <c r="AC98" s="996"/>
      <c r="AD98" s="996"/>
      <c r="AE98" s="996"/>
      <c r="AF98" s="996"/>
      <c r="AG98" s="996"/>
      <c r="AH98" s="997"/>
      <c r="AI98" s="997"/>
      <c r="AJ98" s="997"/>
      <c r="AK98" s="997"/>
      <c r="AL98" s="997"/>
      <c r="AM98" s="995">
        <f t="shared" si="3"/>
        <v>0</v>
      </c>
      <c r="AN98" s="995"/>
      <c r="AO98" s="995"/>
      <c r="AP98" s="995"/>
      <c r="AQ98" s="491"/>
      <c r="AS98"/>
      <c r="AT98"/>
      <c r="AU98"/>
      <c r="AV98"/>
      <c r="AW98"/>
      <c r="AX98"/>
      <c r="AY98"/>
      <c r="AZ98"/>
      <c r="BA98"/>
      <c r="BB98"/>
      <c r="BC98"/>
      <c r="BD98"/>
      <c r="BE98"/>
      <c r="BF98"/>
    </row>
    <row r="99" spans="3:58" ht="15.95" customHeight="1" x14ac:dyDescent="0.25">
      <c r="C99" s="493">
        <v>22</v>
      </c>
      <c r="D99" s="996"/>
      <c r="E99" s="996"/>
      <c r="F99" s="996"/>
      <c r="G99" s="996"/>
      <c r="H99" s="996"/>
      <c r="I99" s="996"/>
      <c r="J99" s="996"/>
      <c r="K99" s="996"/>
      <c r="L99" s="996"/>
      <c r="M99" s="997"/>
      <c r="N99" s="997"/>
      <c r="O99" s="997"/>
      <c r="P99" s="997"/>
      <c r="Q99" s="997"/>
      <c r="R99" s="995">
        <f t="shared" si="2"/>
        <v>0</v>
      </c>
      <c r="S99" s="995"/>
      <c r="T99" s="995"/>
      <c r="U99" s="995"/>
      <c r="V99" s="491"/>
      <c r="W99" s="63"/>
      <c r="X99" s="493">
        <v>22</v>
      </c>
      <c r="Y99" s="996"/>
      <c r="Z99" s="996"/>
      <c r="AA99" s="996"/>
      <c r="AB99" s="996"/>
      <c r="AC99" s="996"/>
      <c r="AD99" s="996"/>
      <c r="AE99" s="996"/>
      <c r="AF99" s="996"/>
      <c r="AG99" s="996"/>
      <c r="AH99" s="997"/>
      <c r="AI99" s="997"/>
      <c r="AJ99" s="997"/>
      <c r="AK99" s="997"/>
      <c r="AL99" s="997"/>
      <c r="AM99" s="995">
        <f t="shared" si="3"/>
        <v>0</v>
      </c>
      <c r="AN99" s="995"/>
      <c r="AO99" s="995"/>
      <c r="AP99" s="995"/>
      <c r="AQ99" s="491"/>
      <c r="AS99"/>
      <c r="AT99"/>
      <c r="AU99"/>
      <c r="AV99"/>
      <c r="AW99"/>
      <c r="AX99"/>
      <c r="AY99"/>
      <c r="AZ99"/>
      <c r="BA99"/>
      <c r="BB99"/>
      <c r="BC99"/>
      <c r="BD99"/>
      <c r="BE99"/>
      <c r="BF99"/>
    </row>
    <row r="100" spans="3:58" ht="15.95" customHeight="1" x14ac:dyDescent="0.25">
      <c r="C100" s="493">
        <v>23</v>
      </c>
      <c r="D100" s="996"/>
      <c r="E100" s="996"/>
      <c r="F100" s="996"/>
      <c r="G100" s="996"/>
      <c r="H100" s="996"/>
      <c r="I100" s="996"/>
      <c r="J100" s="996"/>
      <c r="K100" s="996"/>
      <c r="L100" s="996"/>
      <c r="M100" s="997"/>
      <c r="N100" s="997"/>
      <c r="O100" s="997"/>
      <c r="P100" s="997"/>
      <c r="Q100" s="997"/>
      <c r="R100" s="995">
        <f t="shared" si="2"/>
        <v>0</v>
      </c>
      <c r="S100" s="995"/>
      <c r="T100" s="995"/>
      <c r="U100" s="995"/>
      <c r="V100" s="491"/>
      <c r="W100" s="135"/>
      <c r="X100" s="493">
        <v>23</v>
      </c>
      <c r="Y100" s="996"/>
      <c r="Z100" s="996"/>
      <c r="AA100" s="996"/>
      <c r="AB100" s="996"/>
      <c r="AC100" s="996"/>
      <c r="AD100" s="996"/>
      <c r="AE100" s="996"/>
      <c r="AF100" s="996"/>
      <c r="AG100" s="996"/>
      <c r="AH100" s="997"/>
      <c r="AI100" s="997"/>
      <c r="AJ100" s="997"/>
      <c r="AK100" s="997"/>
      <c r="AL100" s="997"/>
      <c r="AM100" s="995">
        <f t="shared" si="3"/>
        <v>0</v>
      </c>
      <c r="AN100" s="995"/>
      <c r="AO100" s="995"/>
      <c r="AP100" s="995"/>
      <c r="AQ100" s="491"/>
      <c r="AS100"/>
      <c r="AT100"/>
      <c r="AU100"/>
      <c r="AV100"/>
      <c r="AW100"/>
      <c r="AX100"/>
      <c r="AY100"/>
      <c r="AZ100"/>
      <c r="BA100"/>
      <c r="BB100"/>
      <c r="BC100"/>
      <c r="BD100"/>
      <c r="BE100"/>
      <c r="BF100"/>
    </row>
    <row r="101" spans="3:58" ht="15.95" customHeight="1" x14ac:dyDescent="0.25">
      <c r="C101" s="493">
        <v>24</v>
      </c>
      <c r="D101" s="996"/>
      <c r="E101" s="996"/>
      <c r="F101" s="996"/>
      <c r="G101" s="996"/>
      <c r="H101" s="996"/>
      <c r="I101" s="996"/>
      <c r="J101" s="996"/>
      <c r="K101" s="996"/>
      <c r="L101" s="996"/>
      <c r="M101" s="997"/>
      <c r="N101" s="997"/>
      <c r="O101" s="997"/>
      <c r="P101" s="997"/>
      <c r="Q101" s="997"/>
      <c r="R101" s="995">
        <f t="shared" si="2"/>
        <v>0</v>
      </c>
      <c r="S101" s="995"/>
      <c r="T101" s="995"/>
      <c r="U101" s="995"/>
      <c r="V101" s="491"/>
      <c r="W101" s="135"/>
      <c r="X101" s="493">
        <v>24</v>
      </c>
      <c r="Y101" s="996"/>
      <c r="Z101" s="996"/>
      <c r="AA101" s="996"/>
      <c r="AB101" s="996"/>
      <c r="AC101" s="996"/>
      <c r="AD101" s="996"/>
      <c r="AE101" s="996"/>
      <c r="AF101" s="996"/>
      <c r="AG101" s="996"/>
      <c r="AH101" s="997"/>
      <c r="AI101" s="997"/>
      <c r="AJ101" s="997"/>
      <c r="AK101" s="997"/>
      <c r="AL101" s="997"/>
      <c r="AM101" s="995">
        <f t="shared" si="3"/>
        <v>0</v>
      </c>
      <c r="AN101" s="995"/>
      <c r="AO101" s="995"/>
      <c r="AP101" s="995"/>
      <c r="AQ101" s="491"/>
      <c r="AS101"/>
      <c r="AT101"/>
      <c r="AU101"/>
      <c r="AV101"/>
      <c r="AW101"/>
      <c r="AX101"/>
      <c r="AY101"/>
      <c r="AZ101"/>
      <c r="BA101"/>
      <c r="BB101"/>
      <c r="BC101"/>
      <c r="BD101"/>
      <c r="BE101"/>
      <c r="BF101"/>
    </row>
    <row r="102" spans="3:58" ht="15.95" customHeight="1" x14ac:dyDescent="0.25">
      <c r="C102" s="493">
        <v>25</v>
      </c>
      <c r="D102" s="996"/>
      <c r="E102" s="996"/>
      <c r="F102" s="996"/>
      <c r="G102" s="996"/>
      <c r="H102" s="996"/>
      <c r="I102" s="996"/>
      <c r="J102" s="996"/>
      <c r="K102" s="996"/>
      <c r="L102" s="996"/>
      <c r="M102" s="997"/>
      <c r="N102" s="997"/>
      <c r="O102" s="997"/>
      <c r="P102" s="997"/>
      <c r="Q102" s="997"/>
      <c r="R102" s="995">
        <f t="shared" si="2"/>
        <v>0</v>
      </c>
      <c r="S102" s="995"/>
      <c r="T102" s="995"/>
      <c r="U102" s="995"/>
      <c r="V102" s="491"/>
      <c r="W102" s="135"/>
      <c r="X102" s="493">
        <v>25</v>
      </c>
      <c r="Y102" s="996"/>
      <c r="Z102" s="996"/>
      <c r="AA102" s="996"/>
      <c r="AB102" s="996"/>
      <c r="AC102" s="996"/>
      <c r="AD102" s="996"/>
      <c r="AE102" s="996"/>
      <c r="AF102" s="996"/>
      <c r="AG102" s="996"/>
      <c r="AH102" s="997"/>
      <c r="AI102" s="997"/>
      <c r="AJ102" s="997"/>
      <c r="AK102" s="997"/>
      <c r="AL102" s="997"/>
      <c r="AM102" s="995">
        <f t="shared" si="3"/>
        <v>0</v>
      </c>
      <c r="AN102" s="995"/>
      <c r="AO102" s="995"/>
      <c r="AP102" s="995"/>
      <c r="AQ102" s="491"/>
      <c r="AS102"/>
      <c r="AT102"/>
      <c r="AU102"/>
      <c r="AV102"/>
      <c r="AW102"/>
      <c r="AX102"/>
      <c r="AY102"/>
      <c r="AZ102"/>
      <c r="BA102"/>
      <c r="BB102"/>
      <c r="BC102"/>
      <c r="BD102"/>
      <c r="BE102"/>
      <c r="BF102"/>
    </row>
    <row r="103" spans="3:58" ht="15.95" customHeight="1" x14ac:dyDescent="0.25">
      <c r="C103" s="493">
        <v>26</v>
      </c>
      <c r="D103" s="996"/>
      <c r="E103" s="996"/>
      <c r="F103" s="996"/>
      <c r="G103" s="996"/>
      <c r="H103" s="996"/>
      <c r="I103" s="996"/>
      <c r="J103" s="996"/>
      <c r="K103" s="996"/>
      <c r="L103" s="996"/>
      <c r="M103" s="997"/>
      <c r="N103" s="997"/>
      <c r="O103" s="997"/>
      <c r="P103" s="997"/>
      <c r="Q103" s="997"/>
      <c r="R103" s="995">
        <f t="shared" si="2"/>
        <v>0</v>
      </c>
      <c r="S103" s="995"/>
      <c r="T103" s="995"/>
      <c r="U103" s="995"/>
      <c r="V103" s="491"/>
      <c r="W103" s="135"/>
      <c r="X103" s="493">
        <v>26</v>
      </c>
      <c r="Y103" s="996"/>
      <c r="Z103" s="996"/>
      <c r="AA103" s="996"/>
      <c r="AB103" s="996"/>
      <c r="AC103" s="996"/>
      <c r="AD103" s="996"/>
      <c r="AE103" s="996"/>
      <c r="AF103" s="996"/>
      <c r="AG103" s="996"/>
      <c r="AH103" s="997"/>
      <c r="AI103" s="997"/>
      <c r="AJ103" s="997"/>
      <c r="AK103" s="997"/>
      <c r="AL103" s="997"/>
      <c r="AM103" s="995">
        <f t="shared" si="3"/>
        <v>0</v>
      </c>
      <c r="AN103" s="995"/>
      <c r="AO103" s="995"/>
      <c r="AP103" s="995"/>
      <c r="AQ103" s="491"/>
      <c r="AS103"/>
      <c r="AT103"/>
      <c r="AU103"/>
      <c r="AV103"/>
      <c r="AW103"/>
      <c r="AX103"/>
      <c r="AY103"/>
      <c r="AZ103"/>
      <c r="BA103"/>
      <c r="BB103"/>
      <c r="BC103"/>
      <c r="BD103"/>
      <c r="BE103"/>
      <c r="BF103"/>
    </row>
    <row r="104" spans="3:58" ht="15.95" customHeight="1" x14ac:dyDescent="0.25">
      <c r="C104" s="493">
        <v>27</v>
      </c>
      <c r="D104" s="996"/>
      <c r="E104" s="996"/>
      <c r="F104" s="996"/>
      <c r="G104" s="996"/>
      <c r="H104" s="996"/>
      <c r="I104" s="996"/>
      <c r="J104" s="996"/>
      <c r="K104" s="996"/>
      <c r="L104" s="996"/>
      <c r="M104" s="997"/>
      <c r="N104" s="997"/>
      <c r="O104" s="997"/>
      <c r="P104" s="997"/>
      <c r="Q104" s="997"/>
      <c r="R104" s="995">
        <f t="shared" si="2"/>
        <v>0</v>
      </c>
      <c r="S104" s="995"/>
      <c r="T104" s="995"/>
      <c r="U104" s="995"/>
      <c r="V104" s="491"/>
      <c r="W104" s="135"/>
      <c r="X104" s="493">
        <v>27</v>
      </c>
      <c r="Y104" s="996"/>
      <c r="Z104" s="996"/>
      <c r="AA104" s="996"/>
      <c r="AB104" s="996"/>
      <c r="AC104" s="996"/>
      <c r="AD104" s="996"/>
      <c r="AE104" s="996"/>
      <c r="AF104" s="996"/>
      <c r="AG104" s="996"/>
      <c r="AH104" s="997"/>
      <c r="AI104" s="997"/>
      <c r="AJ104" s="997"/>
      <c r="AK104" s="997"/>
      <c r="AL104" s="997"/>
      <c r="AM104" s="995">
        <f t="shared" si="3"/>
        <v>0</v>
      </c>
      <c r="AN104" s="995"/>
      <c r="AO104" s="995"/>
      <c r="AP104" s="995"/>
      <c r="AQ104" s="491"/>
      <c r="AS104"/>
      <c r="AT104"/>
      <c r="AU104"/>
      <c r="AV104"/>
      <c r="AW104"/>
      <c r="AX104"/>
      <c r="AY104"/>
      <c r="AZ104"/>
      <c r="BA104"/>
      <c r="BB104"/>
      <c r="BC104"/>
      <c r="BD104"/>
      <c r="BE104"/>
      <c r="BF104"/>
    </row>
    <row r="105" spans="3:58" ht="15.95" customHeight="1" x14ac:dyDescent="0.25">
      <c r="C105" s="493">
        <v>28</v>
      </c>
      <c r="D105" s="996"/>
      <c r="E105" s="996"/>
      <c r="F105" s="996"/>
      <c r="G105" s="996"/>
      <c r="H105" s="996"/>
      <c r="I105" s="996"/>
      <c r="J105" s="996"/>
      <c r="K105" s="996"/>
      <c r="L105" s="996"/>
      <c r="M105" s="997"/>
      <c r="N105" s="997"/>
      <c r="O105" s="997"/>
      <c r="P105" s="997"/>
      <c r="Q105" s="997"/>
      <c r="R105" s="995">
        <f t="shared" si="2"/>
        <v>0</v>
      </c>
      <c r="S105" s="995"/>
      <c r="T105" s="995"/>
      <c r="U105" s="995"/>
      <c r="V105" s="491"/>
      <c r="W105" s="135"/>
      <c r="X105" s="493">
        <v>28</v>
      </c>
      <c r="Y105" s="996"/>
      <c r="Z105" s="996"/>
      <c r="AA105" s="996"/>
      <c r="AB105" s="996"/>
      <c r="AC105" s="996"/>
      <c r="AD105" s="996"/>
      <c r="AE105" s="996"/>
      <c r="AF105" s="996"/>
      <c r="AG105" s="996"/>
      <c r="AH105" s="997"/>
      <c r="AI105" s="997"/>
      <c r="AJ105" s="997"/>
      <c r="AK105" s="997"/>
      <c r="AL105" s="997"/>
      <c r="AM105" s="995">
        <f t="shared" si="3"/>
        <v>0</v>
      </c>
      <c r="AN105" s="995"/>
      <c r="AO105" s="995"/>
      <c r="AP105" s="995"/>
      <c r="AQ105" s="491"/>
      <c r="AS105"/>
      <c r="AT105"/>
      <c r="AU105"/>
      <c r="AV105"/>
      <c r="AW105"/>
      <c r="AX105"/>
      <c r="AY105"/>
      <c r="AZ105"/>
      <c r="BA105"/>
      <c r="BB105"/>
      <c r="BC105"/>
      <c r="BD105"/>
      <c r="BE105"/>
      <c r="BF105"/>
    </row>
    <row r="106" spans="3:58" ht="15.95" customHeight="1" x14ac:dyDescent="0.25">
      <c r="C106" s="493">
        <v>29</v>
      </c>
      <c r="D106" s="996"/>
      <c r="E106" s="996"/>
      <c r="F106" s="996"/>
      <c r="G106" s="996"/>
      <c r="H106" s="996"/>
      <c r="I106" s="996"/>
      <c r="J106" s="996"/>
      <c r="K106" s="996"/>
      <c r="L106" s="996"/>
      <c r="M106" s="997"/>
      <c r="N106" s="997"/>
      <c r="O106" s="997"/>
      <c r="P106" s="997"/>
      <c r="Q106" s="997"/>
      <c r="R106" s="995">
        <f t="shared" si="2"/>
        <v>0</v>
      </c>
      <c r="S106" s="995"/>
      <c r="T106" s="995"/>
      <c r="U106" s="995"/>
      <c r="V106" s="491"/>
      <c r="W106" s="135"/>
      <c r="X106" s="493">
        <v>29</v>
      </c>
      <c r="Y106" s="996"/>
      <c r="Z106" s="996"/>
      <c r="AA106" s="996"/>
      <c r="AB106" s="996"/>
      <c r="AC106" s="996"/>
      <c r="AD106" s="996"/>
      <c r="AE106" s="996"/>
      <c r="AF106" s="996"/>
      <c r="AG106" s="996"/>
      <c r="AH106" s="997"/>
      <c r="AI106" s="997"/>
      <c r="AJ106" s="997"/>
      <c r="AK106" s="997"/>
      <c r="AL106" s="997"/>
      <c r="AM106" s="995">
        <f t="shared" si="3"/>
        <v>0</v>
      </c>
      <c r="AN106" s="995"/>
      <c r="AO106" s="995"/>
      <c r="AP106" s="995"/>
      <c r="AQ106" s="491"/>
      <c r="AS106"/>
      <c r="AT106"/>
      <c r="AU106"/>
      <c r="AV106"/>
      <c r="AW106"/>
      <c r="AX106"/>
      <c r="AY106"/>
      <c r="AZ106"/>
      <c r="BA106"/>
      <c r="BB106"/>
      <c r="BC106"/>
      <c r="BD106"/>
      <c r="BE106"/>
      <c r="BF106"/>
    </row>
    <row r="107" spans="3:58" ht="15.95" customHeight="1" x14ac:dyDescent="0.25">
      <c r="C107" s="493">
        <v>30</v>
      </c>
      <c r="D107" s="996"/>
      <c r="E107" s="996"/>
      <c r="F107" s="996"/>
      <c r="G107" s="996"/>
      <c r="H107" s="996"/>
      <c r="I107" s="996"/>
      <c r="J107" s="996"/>
      <c r="K107" s="996"/>
      <c r="L107" s="996"/>
      <c r="M107" s="997"/>
      <c r="N107" s="997"/>
      <c r="O107" s="997"/>
      <c r="P107" s="997"/>
      <c r="Q107" s="997"/>
      <c r="R107" s="995">
        <f t="shared" si="2"/>
        <v>0</v>
      </c>
      <c r="S107" s="995"/>
      <c r="T107" s="995"/>
      <c r="U107" s="995"/>
      <c r="V107" s="491"/>
      <c r="W107" s="135"/>
      <c r="X107" s="493">
        <v>30</v>
      </c>
      <c r="Y107" s="996"/>
      <c r="Z107" s="996"/>
      <c r="AA107" s="996"/>
      <c r="AB107" s="996"/>
      <c r="AC107" s="996"/>
      <c r="AD107" s="996"/>
      <c r="AE107" s="996"/>
      <c r="AF107" s="996"/>
      <c r="AG107" s="996"/>
      <c r="AH107" s="997"/>
      <c r="AI107" s="997"/>
      <c r="AJ107" s="997"/>
      <c r="AK107" s="997"/>
      <c r="AL107" s="997"/>
      <c r="AM107" s="995">
        <f t="shared" si="3"/>
        <v>0</v>
      </c>
      <c r="AN107" s="995"/>
      <c r="AO107" s="995"/>
      <c r="AP107" s="995"/>
      <c r="AQ107" s="491"/>
      <c r="AS107"/>
      <c r="AT107"/>
      <c r="AU107"/>
      <c r="AV107"/>
      <c r="AW107"/>
      <c r="AX107"/>
      <c r="AY107"/>
      <c r="AZ107"/>
      <c r="BA107"/>
      <c r="BB107"/>
      <c r="BC107"/>
      <c r="BD107"/>
      <c r="BE107"/>
      <c r="BF107"/>
    </row>
    <row r="108" spans="3:58" ht="15.95" customHeight="1" x14ac:dyDescent="0.25">
      <c r="C108" s="493">
        <v>31</v>
      </c>
      <c r="D108" s="996"/>
      <c r="E108" s="996"/>
      <c r="F108" s="996"/>
      <c r="G108" s="996"/>
      <c r="H108" s="996"/>
      <c r="I108" s="996"/>
      <c r="J108" s="996"/>
      <c r="K108" s="996"/>
      <c r="L108" s="996"/>
      <c r="M108" s="997"/>
      <c r="N108" s="997"/>
      <c r="O108" s="997"/>
      <c r="P108" s="997"/>
      <c r="Q108" s="997"/>
      <c r="R108" s="995">
        <f t="shared" si="2"/>
        <v>0</v>
      </c>
      <c r="S108" s="995"/>
      <c r="T108" s="995"/>
      <c r="U108" s="995"/>
      <c r="V108" s="491"/>
      <c r="W108" s="135"/>
      <c r="X108" s="493">
        <v>31</v>
      </c>
      <c r="Y108" s="996"/>
      <c r="Z108" s="996"/>
      <c r="AA108" s="996"/>
      <c r="AB108" s="996"/>
      <c r="AC108" s="996"/>
      <c r="AD108" s="996"/>
      <c r="AE108" s="996"/>
      <c r="AF108" s="996"/>
      <c r="AG108" s="996"/>
      <c r="AH108" s="997"/>
      <c r="AI108" s="997"/>
      <c r="AJ108" s="997"/>
      <c r="AK108" s="997"/>
      <c r="AL108" s="997"/>
      <c r="AM108" s="995">
        <f t="shared" si="3"/>
        <v>0</v>
      </c>
      <c r="AN108" s="995"/>
      <c r="AO108" s="995"/>
      <c r="AP108" s="995"/>
      <c r="AQ108" s="491"/>
      <c r="AS108"/>
      <c r="AT108"/>
      <c r="AU108"/>
      <c r="AV108"/>
      <c r="AW108"/>
      <c r="AX108"/>
      <c r="AY108"/>
      <c r="AZ108"/>
      <c r="BA108"/>
      <c r="BB108"/>
      <c r="BC108"/>
      <c r="BD108"/>
      <c r="BE108"/>
      <c r="BF108"/>
    </row>
    <row r="109" spans="3:58" ht="15.95" customHeight="1" x14ac:dyDescent="0.25">
      <c r="C109" s="493">
        <v>32</v>
      </c>
      <c r="D109" s="996"/>
      <c r="E109" s="996"/>
      <c r="F109" s="996"/>
      <c r="G109" s="996"/>
      <c r="H109" s="996"/>
      <c r="I109" s="996"/>
      <c r="J109" s="996"/>
      <c r="K109" s="996"/>
      <c r="L109" s="996"/>
      <c r="M109" s="997"/>
      <c r="N109" s="997"/>
      <c r="O109" s="997"/>
      <c r="P109" s="997"/>
      <c r="Q109" s="997"/>
      <c r="R109" s="995">
        <f t="shared" si="2"/>
        <v>0</v>
      </c>
      <c r="S109" s="995"/>
      <c r="T109" s="995"/>
      <c r="U109" s="995"/>
      <c r="V109" s="491"/>
      <c r="W109" s="135"/>
      <c r="X109" s="493">
        <v>32</v>
      </c>
      <c r="Y109" s="996"/>
      <c r="Z109" s="996"/>
      <c r="AA109" s="996"/>
      <c r="AB109" s="996"/>
      <c r="AC109" s="996"/>
      <c r="AD109" s="996"/>
      <c r="AE109" s="996"/>
      <c r="AF109" s="996"/>
      <c r="AG109" s="996"/>
      <c r="AH109" s="997"/>
      <c r="AI109" s="997"/>
      <c r="AJ109" s="997"/>
      <c r="AK109" s="997"/>
      <c r="AL109" s="997"/>
      <c r="AM109" s="995">
        <f t="shared" si="3"/>
        <v>0</v>
      </c>
      <c r="AN109" s="995"/>
      <c r="AO109" s="995"/>
      <c r="AP109" s="995"/>
      <c r="AQ109" s="491"/>
      <c r="AS109"/>
      <c r="AT109"/>
      <c r="AU109"/>
      <c r="AV109"/>
      <c r="AW109"/>
      <c r="AX109"/>
      <c r="AY109"/>
      <c r="AZ109"/>
      <c r="BA109"/>
      <c r="BB109"/>
      <c r="BC109"/>
      <c r="BD109"/>
      <c r="BE109"/>
      <c r="BF109"/>
    </row>
    <row r="110" spans="3:58" ht="15.95" customHeight="1" x14ac:dyDescent="0.25">
      <c r="C110" s="493">
        <v>33</v>
      </c>
      <c r="D110" s="996"/>
      <c r="E110" s="996"/>
      <c r="F110" s="996"/>
      <c r="G110" s="996"/>
      <c r="H110" s="996"/>
      <c r="I110" s="996"/>
      <c r="J110" s="996"/>
      <c r="K110" s="996"/>
      <c r="L110" s="996"/>
      <c r="M110" s="997"/>
      <c r="N110" s="997"/>
      <c r="O110" s="997"/>
      <c r="P110" s="997"/>
      <c r="Q110" s="997"/>
      <c r="R110" s="995">
        <f t="shared" si="2"/>
        <v>0</v>
      </c>
      <c r="S110" s="995"/>
      <c r="T110" s="995"/>
      <c r="U110" s="995"/>
      <c r="V110" s="491"/>
      <c r="W110" s="135"/>
      <c r="X110" s="493">
        <v>33</v>
      </c>
      <c r="Y110" s="996"/>
      <c r="Z110" s="996"/>
      <c r="AA110" s="996"/>
      <c r="AB110" s="996"/>
      <c r="AC110" s="996"/>
      <c r="AD110" s="996"/>
      <c r="AE110" s="996"/>
      <c r="AF110" s="996"/>
      <c r="AG110" s="996"/>
      <c r="AH110" s="997"/>
      <c r="AI110" s="997"/>
      <c r="AJ110" s="997"/>
      <c r="AK110" s="997"/>
      <c r="AL110" s="997"/>
      <c r="AM110" s="995">
        <f t="shared" si="3"/>
        <v>0</v>
      </c>
      <c r="AN110" s="995"/>
      <c r="AO110" s="995"/>
      <c r="AP110" s="995"/>
      <c r="AQ110" s="491"/>
      <c r="AS110"/>
      <c r="AT110"/>
      <c r="AU110"/>
      <c r="AV110"/>
      <c r="AW110"/>
      <c r="AX110"/>
      <c r="AY110"/>
      <c r="AZ110"/>
      <c r="BA110"/>
      <c r="BB110"/>
      <c r="BC110"/>
      <c r="BD110"/>
      <c r="BE110"/>
      <c r="BF110"/>
    </row>
    <row r="111" spans="3:58" ht="15.95" customHeight="1" x14ac:dyDescent="0.25">
      <c r="C111" s="493">
        <v>34</v>
      </c>
      <c r="D111" s="996"/>
      <c r="E111" s="996"/>
      <c r="F111" s="996"/>
      <c r="G111" s="996"/>
      <c r="H111" s="996"/>
      <c r="I111" s="996"/>
      <c r="J111" s="996"/>
      <c r="K111" s="996"/>
      <c r="L111" s="996"/>
      <c r="M111" s="997"/>
      <c r="N111" s="997"/>
      <c r="O111" s="997"/>
      <c r="P111" s="997"/>
      <c r="Q111" s="997"/>
      <c r="R111" s="995">
        <f t="shared" si="2"/>
        <v>0</v>
      </c>
      <c r="S111" s="995"/>
      <c r="T111" s="995"/>
      <c r="U111" s="995"/>
      <c r="V111" s="491"/>
      <c r="W111" s="135"/>
      <c r="X111" s="493">
        <v>34</v>
      </c>
      <c r="Y111" s="996"/>
      <c r="Z111" s="996"/>
      <c r="AA111" s="996"/>
      <c r="AB111" s="996"/>
      <c r="AC111" s="996"/>
      <c r="AD111" s="996"/>
      <c r="AE111" s="996"/>
      <c r="AF111" s="996"/>
      <c r="AG111" s="996"/>
      <c r="AH111" s="997"/>
      <c r="AI111" s="997"/>
      <c r="AJ111" s="997"/>
      <c r="AK111" s="997"/>
      <c r="AL111" s="997"/>
      <c r="AM111" s="995">
        <f t="shared" si="3"/>
        <v>0</v>
      </c>
      <c r="AN111" s="995"/>
      <c r="AO111" s="995"/>
      <c r="AP111" s="995"/>
      <c r="AQ111" s="491"/>
      <c r="AS111"/>
      <c r="AT111"/>
      <c r="AU111"/>
      <c r="AV111"/>
      <c r="AW111"/>
      <c r="AX111"/>
      <c r="AY111"/>
      <c r="AZ111"/>
      <c r="BA111"/>
      <c r="BB111"/>
      <c r="BC111"/>
      <c r="BD111"/>
      <c r="BE111"/>
      <c r="BF111"/>
    </row>
    <row r="112" spans="3:58" ht="15.95" customHeight="1" x14ac:dyDescent="0.25">
      <c r="C112" s="493">
        <v>35</v>
      </c>
      <c r="D112" s="996"/>
      <c r="E112" s="996"/>
      <c r="F112" s="996"/>
      <c r="G112" s="996"/>
      <c r="H112" s="996"/>
      <c r="I112" s="996"/>
      <c r="J112" s="996"/>
      <c r="K112" s="996"/>
      <c r="L112" s="996"/>
      <c r="M112" s="997"/>
      <c r="N112" s="997"/>
      <c r="O112" s="997"/>
      <c r="P112" s="997"/>
      <c r="Q112" s="997"/>
      <c r="R112" s="995">
        <f t="shared" si="2"/>
        <v>0</v>
      </c>
      <c r="S112" s="995"/>
      <c r="T112" s="995"/>
      <c r="U112" s="995"/>
      <c r="V112" s="491"/>
      <c r="W112" s="135"/>
      <c r="X112" s="493">
        <v>35</v>
      </c>
      <c r="Y112" s="996"/>
      <c r="Z112" s="996"/>
      <c r="AA112" s="996"/>
      <c r="AB112" s="996"/>
      <c r="AC112" s="996"/>
      <c r="AD112" s="996"/>
      <c r="AE112" s="996"/>
      <c r="AF112" s="996"/>
      <c r="AG112" s="996"/>
      <c r="AH112" s="997"/>
      <c r="AI112" s="997"/>
      <c r="AJ112" s="997"/>
      <c r="AK112" s="997"/>
      <c r="AL112" s="997"/>
      <c r="AM112" s="995">
        <f t="shared" si="3"/>
        <v>0</v>
      </c>
      <c r="AN112" s="995"/>
      <c r="AO112" s="995"/>
      <c r="AP112" s="995"/>
      <c r="AQ112" s="491"/>
      <c r="AS112"/>
      <c r="AT112"/>
      <c r="AU112"/>
      <c r="AV112"/>
      <c r="AW112"/>
      <c r="AX112"/>
      <c r="AY112"/>
      <c r="AZ112"/>
      <c r="BA112"/>
      <c r="BB112"/>
      <c r="BC112"/>
      <c r="BD112"/>
      <c r="BE112"/>
      <c r="BF112"/>
    </row>
    <row r="113" spans="3:58" ht="15.95" customHeight="1" x14ac:dyDescent="0.25">
      <c r="C113" s="493">
        <v>36</v>
      </c>
      <c r="D113" s="996"/>
      <c r="E113" s="996"/>
      <c r="F113" s="996"/>
      <c r="G113" s="996"/>
      <c r="H113" s="996"/>
      <c r="I113" s="996"/>
      <c r="J113" s="996"/>
      <c r="K113" s="996"/>
      <c r="L113" s="996"/>
      <c r="M113" s="997"/>
      <c r="N113" s="997"/>
      <c r="O113" s="997"/>
      <c r="P113" s="997"/>
      <c r="Q113" s="997"/>
      <c r="R113" s="995">
        <f t="shared" si="2"/>
        <v>0</v>
      </c>
      <c r="S113" s="995"/>
      <c r="T113" s="995"/>
      <c r="U113" s="995"/>
      <c r="V113" s="491"/>
      <c r="W113" s="135"/>
      <c r="X113" s="493">
        <v>36</v>
      </c>
      <c r="Y113" s="996"/>
      <c r="Z113" s="996"/>
      <c r="AA113" s="996"/>
      <c r="AB113" s="996"/>
      <c r="AC113" s="996"/>
      <c r="AD113" s="996"/>
      <c r="AE113" s="996"/>
      <c r="AF113" s="996"/>
      <c r="AG113" s="996"/>
      <c r="AH113" s="997"/>
      <c r="AI113" s="997"/>
      <c r="AJ113" s="997"/>
      <c r="AK113" s="997"/>
      <c r="AL113" s="997"/>
      <c r="AM113" s="995">
        <f t="shared" si="3"/>
        <v>0</v>
      </c>
      <c r="AN113" s="995"/>
      <c r="AO113" s="995"/>
      <c r="AP113" s="995"/>
      <c r="AQ113" s="491"/>
      <c r="AS113"/>
      <c r="AT113"/>
      <c r="AU113"/>
      <c r="AV113"/>
      <c r="AW113"/>
      <c r="AX113"/>
      <c r="AY113"/>
      <c r="AZ113"/>
      <c r="BA113"/>
      <c r="BB113"/>
      <c r="BC113"/>
      <c r="BD113"/>
      <c r="BE113"/>
      <c r="BF113"/>
    </row>
    <row r="114" spans="3:58" ht="15.95" customHeight="1" x14ac:dyDescent="0.25">
      <c r="C114" s="493">
        <v>37</v>
      </c>
      <c r="D114" s="996"/>
      <c r="E114" s="996"/>
      <c r="F114" s="996"/>
      <c r="G114" s="996"/>
      <c r="H114" s="996"/>
      <c r="I114" s="996"/>
      <c r="J114" s="996"/>
      <c r="K114" s="996"/>
      <c r="L114" s="996"/>
      <c r="M114" s="997"/>
      <c r="N114" s="997"/>
      <c r="O114" s="997"/>
      <c r="P114" s="997"/>
      <c r="Q114" s="997"/>
      <c r="R114" s="995">
        <f t="shared" si="2"/>
        <v>0</v>
      </c>
      <c r="S114" s="995"/>
      <c r="T114" s="995"/>
      <c r="U114" s="995"/>
      <c r="V114" s="491"/>
      <c r="W114" s="135"/>
      <c r="X114" s="493">
        <v>37</v>
      </c>
      <c r="Y114" s="996"/>
      <c r="Z114" s="996"/>
      <c r="AA114" s="996"/>
      <c r="AB114" s="996"/>
      <c r="AC114" s="996"/>
      <c r="AD114" s="996"/>
      <c r="AE114" s="996"/>
      <c r="AF114" s="996"/>
      <c r="AG114" s="996"/>
      <c r="AH114" s="997"/>
      <c r="AI114" s="997"/>
      <c r="AJ114" s="997"/>
      <c r="AK114" s="997"/>
      <c r="AL114" s="997"/>
      <c r="AM114" s="995">
        <f t="shared" si="3"/>
        <v>0</v>
      </c>
      <c r="AN114" s="995"/>
      <c r="AO114" s="995"/>
      <c r="AP114" s="995"/>
      <c r="AQ114" s="491"/>
      <c r="AS114"/>
      <c r="AT114"/>
      <c r="AU114"/>
      <c r="AV114"/>
      <c r="AW114"/>
      <c r="AX114"/>
      <c r="AY114"/>
      <c r="AZ114"/>
      <c r="BA114"/>
      <c r="BB114"/>
      <c r="BC114"/>
      <c r="BD114"/>
      <c r="BE114"/>
      <c r="BF114"/>
    </row>
    <row r="115" spans="3:58" ht="15.95" customHeight="1" x14ac:dyDescent="0.25">
      <c r="C115" s="493">
        <v>38</v>
      </c>
      <c r="D115" s="996"/>
      <c r="E115" s="996"/>
      <c r="F115" s="996"/>
      <c r="G115" s="996"/>
      <c r="H115" s="996"/>
      <c r="I115" s="996"/>
      <c r="J115" s="996"/>
      <c r="K115" s="996"/>
      <c r="L115" s="996"/>
      <c r="M115" s="997"/>
      <c r="N115" s="997"/>
      <c r="O115" s="997"/>
      <c r="P115" s="997"/>
      <c r="Q115" s="997"/>
      <c r="R115" s="995">
        <f t="shared" si="2"/>
        <v>0</v>
      </c>
      <c r="S115" s="995"/>
      <c r="T115" s="995"/>
      <c r="U115" s="995"/>
      <c r="V115" s="491"/>
      <c r="W115" s="135"/>
      <c r="X115" s="493">
        <v>38</v>
      </c>
      <c r="Y115" s="996"/>
      <c r="Z115" s="996"/>
      <c r="AA115" s="996"/>
      <c r="AB115" s="996"/>
      <c r="AC115" s="996"/>
      <c r="AD115" s="996"/>
      <c r="AE115" s="996"/>
      <c r="AF115" s="996"/>
      <c r="AG115" s="996"/>
      <c r="AH115" s="997"/>
      <c r="AI115" s="997"/>
      <c r="AJ115" s="997"/>
      <c r="AK115" s="997"/>
      <c r="AL115" s="997"/>
      <c r="AM115" s="995">
        <f t="shared" si="3"/>
        <v>0</v>
      </c>
      <c r="AN115" s="995"/>
      <c r="AO115" s="995"/>
      <c r="AP115" s="995"/>
      <c r="AQ115" s="491"/>
      <c r="AS115"/>
      <c r="AT115"/>
      <c r="AU115"/>
      <c r="AV115"/>
      <c r="AW115"/>
      <c r="AX115"/>
      <c r="AY115"/>
      <c r="AZ115"/>
      <c r="BA115"/>
      <c r="BB115"/>
      <c r="BC115"/>
      <c r="BD115"/>
      <c r="BE115"/>
      <c r="BF115"/>
    </row>
    <row r="116" spans="3:58" ht="15.95" customHeight="1" x14ac:dyDescent="0.25">
      <c r="C116" s="493">
        <v>39</v>
      </c>
      <c r="D116" s="996"/>
      <c r="E116" s="996"/>
      <c r="F116" s="996"/>
      <c r="G116" s="996"/>
      <c r="H116" s="996"/>
      <c r="I116" s="996"/>
      <c r="J116" s="996"/>
      <c r="K116" s="996"/>
      <c r="L116" s="996"/>
      <c r="M116" s="997"/>
      <c r="N116" s="997"/>
      <c r="O116" s="997"/>
      <c r="P116" s="997"/>
      <c r="Q116" s="997"/>
      <c r="R116" s="995">
        <f t="shared" si="2"/>
        <v>0</v>
      </c>
      <c r="S116" s="995"/>
      <c r="T116" s="995"/>
      <c r="U116" s="995"/>
      <c r="V116" s="491"/>
      <c r="W116" s="135"/>
      <c r="X116" s="493">
        <v>39</v>
      </c>
      <c r="Y116" s="996"/>
      <c r="Z116" s="996"/>
      <c r="AA116" s="996"/>
      <c r="AB116" s="996"/>
      <c r="AC116" s="996"/>
      <c r="AD116" s="996"/>
      <c r="AE116" s="996"/>
      <c r="AF116" s="996"/>
      <c r="AG116" s="996"/>
      <c r="AH116" s="997"/>
      <c r="AI116" s="997"/>
      <c r="AJ116" s="997"/>
      <c r="AK116" s="997"/>
      <c r="AL116" s="997"/>
      <c r="AM116" s="995">
        <f t="shared" si="3"/>
        <v>0</v>
      </c>
      <c r="AN116" s="995"/>
      <c r="AO116" s="995"/>
      <c r="AP116" s="995"/>
      <c r="AQ116" s="491"/>
      <c r="AS116"/>
      <c r="AT116"/>
      <c r="AU116"/>
      <c r="AV116"/>
      <c r="AW116"/>
      <c r="AX116"/>
      <c r="AY116"/>
      <c r="AZ116"/>
      <c r="BA116"/>
      <c r="BB116"/>
      <c r="BC116"/>
      <c r="BD116"/>
      <c r="BE116"/>
      <c r="BF116"/>
    </row>
    <row r="117" spans="3:58" ht="15.95" customHeight="1" x14ac:dyDescent="0.25">
      <c r="C117" s="493">
        <v>40</v>
      </c>
      <c r="D117" s="996"/>
      <c r="E117" s="996"/>
      <c r="F117" s="996"/>
      <c r="G117" s="996"/>
      <c r="H117" s="996"/>
      <c r="I117" s="996"/>
      <c r="J117" s="996"/>
      <c r="K117" s="996"/>
      <c r="L117" s="996"/>
      <c r="M117" s="997"/>
      <c r="N117" s="997"/>
      <c r="O117" s="997"/>
      <c r="P117" s="997"/>
      <c r="Q117" s="997"/>
      <c r="R117" s="995">
        <f t="shared" si="2"/>
        <v>0</v>
      </c>
      <c r="S117" s="995"/>
      <c r="T117" s="995"/>
      <c r="U117" s="995"/>
      <c r="V117" s="491"/>
      <c r="W117" s="135"/>
      <c r="X117" s="493">
        <v>40</v>
      </c>
      <c r="Y117" s="996"/>
      <c r="Z117" s="996"/>
      <c r="AA117" s="996"/>
      <c r="AB117" s="996"/>
      <c r="AC117" s="996"/>
      <c r="AD117" s="996"/>
      <c r="AE117" s="996"/>
      <c r="AF117" s="996"/>
      <c r="AG117" s="996"/>
      <c r="AH117" s="997"/>
      <c r="AI117" s="997"/>
      <c r="AJ117" s="997"/>
      <c r="AK117" s="997"/>
      <c r="AL117" s="997"/>
      <c r="AM117" s="995">
        <f t="shared" si="3"/>
        <v>0</v>
      </c>
      <c r="AN117" s="995"/>
      <c r="AO117" s="995"/>
      <c r="AP117" s="995"/>
      <c r="AQ117" s="491"/>
      <c r="AS117"/>
      <c r="AT117"/>
      <c r="AU117"/>
      <c r="AV117"/>
      <c r="AW117"/>
      <c r="AX117"/>
      <c r="AY117"/>
      <c r="AZ117"/>
      <c r="BA117"/>
      <c r="BB117"/>
      <c r="BC117"/>
      <c r="BD117"/>
      <c r="BE117"/>
      <c r="BF117"/>
    </row>
    <row r="118" spans="3:58" ht="15.95" customHeight="1" x14ac:dyDescent="0.25">
      <c r="C118" s="489"/>
      <c r="D118" s="490"/>
      <c r="E118" s="490"/>
      <c r="F118" s="490"/>
      <c r="G118" s="490"/>
      <c r="H118" s="490"/>
      <c r="I118" s="490"/>
      <c r="J118" s="490"/>
      <c r="K118" s="490"/>
      <c r="L118" s="490"/>
      <c r="M118" s="490"/>
      <c r="N118" s="490"/>
      <c r="O118" s="490"/>
      <c r="P118" s="490"/>
      <c r="Q118" s="494" t="s">
        <v>1741</v>
      </c>
      <c r="R118" s="995">
        <f>SUM(R78:U117)</f>
        <v>0</v>
      </c>
      <c r="S118" s="995"/>
      <c r="T118" s="995"/>
      <c r="U118" s="995"/>
      <c r="V118" s="491"/>
      <c r="W118" s="135"/>
      <c r="X118" s="489"/>
      <c r="Y118" s="490"/>
      <c r="Z118" s="490"/>
      <c r="AA118" s="490"/>
      <c r="AB118" s="490"/>
      <c r="AC118" s="490"/>
      <c r="AD118" s="490"/>
      <c r="AE118" s="490"/>
      <c r="AF118" s="490"/>
      <c r="AG118" s="490"/>
      <c r="AH118" s="490"/>
      <c r="AI118" s="490"/>
      <c r="AJ118" s="490"/>
      <c r="AK118" s="490"/>
      <c r="AL118" s="494" t="s">
        <v>1741</v>
      </c>
      <c r="AM118" s="995">
        <f>SUM(AM78:AP117)</f>
        <v>0</v>
      </c>
      <c r="AN118" s="995"/>
      <c r="AO118" s="995"/>
      <c r="AP118" s="995"/>
      <c r="AQ118" s="491"/>
      <c r="AS118"/>
      <c r="AT118"/>
      <c r="AU118"/>
      <c r="AV118"/>
      <c r="AW118"/>
      <c r="AX118"/>
      <c r="AY118"/>
      <c r="AZ118"/>
      <c r="BA118"/>
      <c r="BB118"/>
      <c r="BC118"/>
      <c r="BD118"/>
      <c r="BE118"/>
      <c r="BF118"/>
    </row>
    <row r="119" spans="3:58" ht="15.95" customHeight="1" x14ac:dyDescent="0.25">
      <c r="C119" s="495"/>
      <c r="D119" s="496"/>
      <c r="E119" s="496"/>
      <c r="F119" s="496"/>
      <c r="G119" s="496"/>
      <c r="H119" s="496"/>
      <c r="I119" s="496"/>
      <c r="J119" s="496"/>
      <c r="K119" s="496"/>
      <c r="L119" s="496"/>
      <c r="M119" s="496"/>
      <c r="N119" s="496"/>
      <c r="O119" s="496"/>
      <c r="P119" s="496"/>
      <c r="Q119" s="496"/>
      <c r="R119" s="496"/>
      <c r="S119" s="496"/>
      <c r="T119" s="496"/>
      <c r="U119" s="496"/>
      <c r="V119" s="497"/>
      <c r="W119" s="135"/>
      <c r="X119" s="495"/>
      <c r="Y119" s="496"/>
      <c r="Z119" s="496"/>
      <c r="AA119" s="496"/>
      <c r="AB119" s="496"/>
      <c r="AC119" s="496"/>
      <c r="AD119" s="496"/>
      <c r="AE119" s="496"/>
      <c r="AF119" s="496"/>
      <c r="AG119" s="496"/>
      <c r="AH119" s="496"/>
      <c r="AI119" s="496"/>
      <c r="AJ119" s="496"/>
      <c r="AK119" s="496"/>
      <c r="AL119" s="496"/>
      <c r="AM119" s="496"/>
      <c r="AN119" s="496"/>
      <c r="AO119" s="496"/>
      <c r="AP119" s="496"/>
      <c r="AQ119" s="497"/>
      <c r="AS119"/>
      <c r="AT119"/>
      <c r="AU119"/>
      <c r="AV119"/>
      <c r="AW119"/>
      <c r="AX119"/>
      <c r="AY119"/>
      <c r="AZ119"/>
      <c r="BA119"/>
      <c r="BB119"/>
      <c r="BC119"/>
      <c r="BD119"/>
      <c r="BE119"/>
      <c r="BF119"/>
    </row>
    <row r="120" spans="3:58" ht="15.95" customHeight="1" x14ac:dyDescent="0.25">
      <c r="C120" s="135"/>
      <c r="D120" s="135"/>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c r="AA120" s="135"/>
      <c r="AB120" s="135"/>
      <c r="AC120" s="135"/>
      <c r="AD120" s="135"/>
      <c r="AE120" s="135"/>
      <c r="AF120" s="135"/>
      <c r="AG120" s="135"/>
      <c r="AH120" s="135"/>
      <c r="AI120" s="135"/>
      <c r="AJ120" s="135"/>
      <c r="AK120" s="135"/>
      <c r="AL120" s="135"/>
      <c r="AM120" s="135"/>
      <c r="AN120" s="135"/>
      <c r="AO120" s="135"/>
      <c r="AP120" s="135"/>
      <c r="AQ120" s="135"/>
      <c r="AS120"/>
      <c r="AT120"/>
      <c r="AU120"/>
      <c r="AV120"/>
      <c r="AW120"/>
      <c r="AX120"/>
      <c r="AY120"/>
      <c r="AZ120"/>
      <c r="BA120"/>
      <c r="BB120"/>
      <c r="BC120"/>
      <c r="BD120"/>
      <c r="BE120"/>
      <c r="BF120"/>
    </row>
    <row r="121" spans="3:58" ht="15.95" customHeight="1" x14ac:dyDescent="0.25">
      <c r="AS121"/>
      <c r="AT121"/>
      <c r="AU121"/>
      <c r="AV121"/>
      <c r="AW121"/>
      <c r="AX121"/>
      <c r="AY121"/>
      <c r="AZ121"/>
      <c r="BA121"/>
      <c r="BB121"/>
      <c r="BC121"/>
      <c r="BD121"/>
      <c r="BE121"/>
      <c r="BF121"/>
    </row>
    <row r="122" spans="3:58" ht="15.95" hidden="1" customHeight="1" x14ac:dyDescent="0.25">
      <c r="AS122"/>
      <c r="AT122"/>
      <c r="AU122"/>
      <c r="AV122"/>
      <c r="AW122"/>
      <c r="AX122"/>
      <c r="AY122"/>
      <c r="AZ122"/>
      <c r="BA122"/>
      <c r="BB122"/>
      <c r="BC122"/>
      <c r="BD122"/>
      <c r="BE122"/>
      <c r="BF122"/>
    </row>
    <row r="123" spans="3:58" ht="15.95" hidden="1" customHeight="1" x14ac:dyDescent="0.25">
      <c r="AS123"/>
      <c r="AT123"/>
      <c r="AU123"/>
      <c r="AV123"/>
      <c r="AW123"/>
      <c r="AX123"/>
      <c r="AY123"/>
      <c r="AZ123"/>
      <c r="BA123"/>
      <c r="BB123"/>
      <c r="BC123"/>
      <c r="BD123"/>
      <c r="BE123"/>
      <c r="BF123"/>
    </row>
    <row r="124" spans="3:58" ht="15.95" hidden="1" customHeight="1" x14ac:dyDescent="0.25">
      <c r="AS124"/>
      <c r="AT124"/>
      <c r="AU124"/>
      <c r="AV124"/>
      <c r="AW124"/>
      <c r="AX124"/>
      <c r="AY124"/>
      <c r="AZ124"/>
      <c r="BA124"/>
      <c r="BB124"/>
      <c r="BC124"/>
      <c r="BD124"/>
      <c r="BE124"/>
      <c r="BF124"/>
    </row>
    <row r="125" spans="3:58" ht="15.95" hidden="1" customHeight="1" x14ac:dyDescent="0.25">
      <c r="AS125"/>
      <c r="AT125"/>
      <c r="AU125"/>
      <c r="AV125"/>
      <c r="AW125"/>
      <c r="AX125"/>
      <c r="AY125"/>
      <c r="AZ125"/>
      <c r="BA125"/>
      <c r="BB125"/>
      <c r="BC125"/>
      <c r="BD125"/>
      <c r="BE125"/>
      <c r="BF125"/>
    </row>
    <row r="126" spans="3:58" ht="15.95" hidden="1" customHeight="1" x14ac:dyDescent="0.25">
      <c r="AS126"/>
      <c r="AT126"/>
      <c r="AU126"/>
      <c r="AV126"/>
      <c r="AW126"/>
      <c r="AX126"/>
      <c r="AY126"/>
      <c r="AZ126"/>
      <c r="BA126"/>
      <c r="BB126"/>
      <c r="BC126"/>
      <c r="BD126"/>
      <c r="BE126"/>
      <c r="BF126"/>
    </row>
    <row r="127" spans="3:58" ht="15.95" hidden="1" customHeight="1" x14ac:dyDescent="0.25">
      <c r="AS127"/>
      <c r="AT127"/>
      <c r="AU127"/>
      <c r="AV127"/>
      <c r="AW127"/>
      <c r="AX127"/>
      <c r="AY127"/>
      <c r="AZ127"/>
      <c r="BA127"/>
      <c r="BB127"/>
      <c r="BC127"/>
      <c r="BD127"/>
      <c r="BE127"/>
      <c r="BF127"/>
    </row>
    <row r="128" spans="3:58" ht="15.95" hidden="1" customHeight="1" x14ac:dyDescent="0.25">
      <c r="AS128"/>
      <c r="AT128"/>
      <c r="AU128"/>
      <c r="AV128"/>
      <c r="AW128"/>
      <c r="AX128"/>
      <c r="AY128"/>
      <c r="AZ128"/>
      <c r="BA128"/>
      <c r="BB128"/>
      <c r="BC128"/>
      <c r="BD128"/>
      <c r="BE128"/>
      <c r="BF128"/>
    </row>
    <row r="129" spans="45:58" ht="15.95" hidden="1" customHeight="1" x14ac:dyDescent="0.25">
      <c r="AS129"/>
      <c r="AT129"/>
      <c r="AU129"/>
      <c r="AV129"/>
      <c r="AW129"/>
      <c r="AX129"/>
      <c r="AY129"/>
      <c r="AZ129"/>
      <c r="BA129"/>
      <c r="BB129"/>
      <c r="BC129"/>
      <c r="BD129"/>
      <c r="BE129"/>
      <c r="BF129"/>
    </row>
    <row r="130" spans="45:58" ht="15.95" hidden="1" customHeight="1" x14ac:dyDescent="0.25">
      <c r="AS130"/>
      <c r="AT130"/>
      <c r="AU130"/>
      <c r="AV130"/>
      <c r="AW130"/>
      <c r="AX130"/>
      <c r="AY130"/>
      <c r="AZ130"/>
      <c r="BA130"/>
      <c r="BB130"/>
      <c r="BC130"/>
      <c r="BD130"/>
      <c r="BE130"/>
      <c r="BF130"/>
    </row>
    <row r="131" spans="45:58" ht="15.95" hidden="1" customHeight="1" x14ac:dyDescent="0.25">
      <c r="AS131"/>
      <c r="AT131"/>
      <c r="AU131"/>
      <c r="AV131"/>
      <c r="AW131"/>
      <c r="AX131"/>
      <c r="AY131"/>
      <c r="AZ131"/>
      <c r="BA131"/>
      <c r="BB131"/>
      <c r="BC131"/>
      <c r="BD131"/>
      <c r="BE131"/>
      <c r="BF131"/>
    </row>
    <row r="132" spans="45:58" ht="15.95" hidden="1" customHeight="1" x14ac:dyDescent="0.25">
      <c r="AS132"/>
      <c r="AT132"/>
      <c r="AU132"/>
      <c r="AV132"/>
      <c r="AW132"/>
      <c r="AX132"/>
      <c r="AY132"/>
      <c r="AZ132"/>
      <c r="BA132"/>
      <c r="BB132"/>
      <c r="BC132"/>
      <c r="BD132"/>
      <c r="BE132"/>
      <c r="BF132"/>
    </row>
    <row r="133" spans="45:58" ht="15.95" hidden="1" customHeight="1" x14ac:dyDescent="0.25">
      <c r="AS133"/>
      <c r="AT133"/>
      <c r="AU133"/>
      <c r="AV133"/>
      <c r="AW133"/>
      <c r="AX133"/>
      <c r="AY133"/>
      <c r="AZ133"/>
      <c r="BA133"/>
      <c r="BB133"/>
      <c r="BC133"/>
      <c r="BD133"/>
      <c r="BE133"/>
      <c r="BF133"/>
    </row>
    <row r="134" spans="45:58" ht="15.95" hidden="1" customHeight="1" x14ac:dyDescent="0.25">
      <c r="AS134"/>
      <c r="AT134"/>
      <c r="AU134"/>
      <c r="AV134"/>
      <c r="AW134"/>
      <c r="AX134"/>
      <c r="AY134"/>
      <c r="AZ134"/>
      <c r="BA134"/>
      <c r="BB134"/>
      <c r="BC134"/>
      <c r="BD134"/>
      <c r="BE134"/>
      <c r="BF134"/>
    </row>
    <row r="135" spans="45:58" ht="15.95" hidden="1" customHeight="1" x14ac:dyDescent="0.25">
      <c r="AS135"/>
      <c r="AT135"/>
      <c r="AU135"/>
      <c r="AV135"/>
      <c r="AW135"/>
      <c r="AX135"/>
      <c r="AY135"/>
      <c r="AZ135"/>
      <c r="BA135"/>
      <c r="BB135"/>
      <c r="BC135"/>
      <c r="BD135"/>
      <c r="BE135"/>
      <c r="BF135"/>
    </row>
    <row r="136" spans="45:58" ht="15.95" hidden="1" customHeight="1" x14ac:dyDescent="0.25">
      <c r="AS136"/>
      <c r="AT136"/>
      <c r="AU136"/>
      <c r="AV136"/>
      <c r="AW136"/>
      <c r="AX136"/>
      <c r="AY136"/>
      <c r="AZ136"/>
      <c r="BA136"/>
      <c r="BB136"/>
      <c r="BC136"/>
      <c r="BD136"/>
      <c r="BE136"/>
      <c r="BF136"/>
    </row>
    <row r="137" spans="45:58" ht="15.95" hidden="1" customHeight="1" x14ac:dyDescent="0.25">
      <c r="AS137"/>
      <c r="AT137"/>
      <c r="AU137"/>
      <c r="AV137"/>
      <c r="AW137"/>
      <c r="AX137"/>
      <c r="AY137"/>
      <c r="AZ137"/>
      <c r="BA137"/>
      <c r="BB137"/>
      <c r="BC137"/>
      <c r="BD137"/>
      <c r="BE137"/>
      <c r="BF137"/>
    </row>
    <row r="138" spans="45:58" ht="15.95" hidden="1" customHeight="1" x14ac:dyDescent="0.25">
      <c r="AS138"/>
      <c r="AT138"/>
      <c r="AU138"/>
      <c r="AV138"/>
      <c r="AW138"/>
      <c r="AX138"/>
      <c r="AY138"/>
      <c r="AZ138"/>
      <c r="BA138"/>
      <c r="BB138"/>
      <c r="BC138"/>
      <c r="BD138"/>
      <c r="BE138"/>
      <c r="BF138"/>
    </row>
    <row r="139" spans="45:58" ht="15.95" hidden="1" customHeight="1" x14ac:dyDescent="0.25">
      <c r="AS139"/>
      <c r="AT139"/>
      <c r="AU139"/>
      <c r="AV139"/>
      <c r="AW139"/>
      <c r="AX139"/>
      <c r="AY139"/>
      <c r="AZ139"/>
      <c r="BA139"/>
      <c r="BB139"/>
      <c r="BC139"/>
      <c r="BD139"/>
      <c r="BE139"/>
      <c r="BF139"/>
    </row>
    <row r="140" spans="45:58" ht="15.95" hidden="1" customHeight="1" x14ac:dyDescent="0.25">
      <c r="AS140"/>
      <c r="AT140"/>
      <c r="AU140"/>
      <c r="AV140"/>
      <c r="AW140"/>
      <c r="AX140"/>
      <c r="AY140"/>
      <c r="AZ140"/>
      <c r="BA140"/>
      <c r="BB140"/>
      <c r="BC140"/>
      <c r="BD140"/>
      <c r="BE140"/>
      <c r="BF140"/>
    </row>
    <row r="141" spans="45:58" ht="15.95" hidden="1" customHeight="1" x14ac:dyDescent="0.25">
      <c r="AS141"/>
      <c r="AT141"/>
      <c r="AU141"/>
      <c r="AV141"/>
      <c r="AW141"/>
      <c r="AX141"/>
      <c r="AY141"/>
      <c r="AZ141"/>
      <c r="BA141"/>
      <c r="BB141"/>
      <c r="BC141"/>
      <c r="BD141"/>
      <c r="BE141"/>
      <c r="BF141"/>
    </row>
    <row r="142" spans="45:58" ht="15.95" hidden="1" customHeight="1" x14ac:dyDescent="0.25">
      <c r="AS142"/>
      <c r="AT142"/>
      <c r="AU142"/>
      <c r="AV142"/>
      <c r="AW142"/>
      <c r="AX142"/>
      <c r="AY142"/>
      <c r="AZ142"/>
      <c r="BA142"/>
      <c r="BB142"/>
      <c r="BC142"/>
      <c r="BD142"/>
      <c r="BE142"/>
      <c r="BF142"/>
    </row>
    <row r="143" spans="45:58" ht="15.95" hidden="1" customHeight="1" x14ac:dyDescent="0.25">
      <c r="AS143"/>
      <c r="AT143"/>
      <c r="AU143"/>
      <c r="AV143"/>
      <c r="AW143"/>
      <c r="AX143"/>
      <c r="AY143"/>
      <c r="AZ143"/>
      <c r="BA143"/>
      <c r="BB143"/>
      <c r="BC143"/>
      <c r="BD143"/>
      <c r="BE143"/>
      <c r="BF143"/>
    </row>
    <row r="144" spans="45:58" ht="15.95" hidden="1" customHeight="1" x14ac:dyDescent="0.25">
      <c r="AS144"/>
      <c r="AT144"/>
      <c r="AU144"/>
      <c r="AV144"/>
      <c r="AW144"/>
      <c r="AX144"/>
      <c r="AY144"/>
      <c r="AZ144"/>
      <c r="BA144"/>
      <c r="BB144"/>
      <c r="BC144"/>
      <c r="BD144"/>
      <c r="BE144"/>
      <c r="BF144"/>
    </row>
    <row r="145" spans="45:58" ht="15.95" hidden="1" customHeight="1" x14ac:dyDescent="0.25">
      <c r="AS145"/>
      <c r="AT145"/>
      <c r="AU145"/>
      <c r="AV145"/>
      <c r="AW145"/>
      <c r="AX145"/>
      <c r="AY145"/>
      <c r="AZ145"/>
      <c r="BA145"/>
      <c r="BB145"/>
      <c r="BC145"/>
      <c r="BD145"/>
      <c r="BE145"/>
      <c r="BF145"/>
    </row>
    <row r="146" spans="45:58" ht="15.95" hidden="1" customHeight="1" x14ac:dyDescent="0.25">
      <c r="AS146"/>
      <c r="AT146"/>
      <c r="AU146"/>
      <c r="AV146"/>
      <c r="AW146"/>
      <c r="AX146"/>
      <c r="AY146"/>
      <c r="AZ146"/>
      <c r="BA146"/>
      <c r="BB146"/>
      <c r="BC146"/>
      <c r="BD146"/>
      <c r="BE146"/>
      <c r="BF146"/>
    </row>
    <row r="147" spans="45:58" ht="15.95" hidden="1" customHeight="1" x14ac:dyDescent="0.25">
      <c r="AS147"/>
      <c r="AT147"/>
      <c r="AU147"/>
      <c r="AV147"/>
      <c r="AW147"/>
      <c r="AX147"/>
      <c r="AY147"/>
      <c r="AZ147"/>
      <c r="BA147"/>
      <c r="BB147"/>
      <c r="BC147"/>
      <c r="BD147"/>
      <c r="BE147"/>
      <c r="BF147"/>
    </row>
    <row r="148" spans="45:58" ht="15.95" hidden="1" customHeight="1" x14ac:dyDescent="0.25">
      <c r="AS148"/>
      <c r="AT148"/>
      <c r="AU148"/>
      <c r="AV148"/>
      <c r="AW148"/>
      <c r="AX148"/>
      <c r="AY148"/>
      <c r="AZ148"/>
      <c r="BA148"/>
      <c r="BB148"/>
      <c r="BC148"/>
      <c r="BD148"/>
      <c r="BE148"/>
      <c r="BF148"/>
    </row>
    <row r="149" spans="45:58" ht="15.95" hidden="1" customHeight="1" x14ac:dyDescent="0.25">
      <c r="AS149"/>
      <c r="AT149"/>
      <c r="AU149"/>
      <c r="AV149"/>
      <c r="AW149"/>
      <c r="AX149"/>
      <c r="AY149"/>
      <c r="AZ149"/>
      <c r="BA149"/>
      <c r="BB149"/>
      <c r="BC149"/>
      <c r="BD149"/>
      <c r="BE149"/>
      <c r="BF149"/>
    </row>
    <row r="150" spans="45:58" ht="15.95" hidden="1" customHeight="1" x14ac:dyDescent="0.25">
      <c r="AS150"/>
      <c r="AT150"/>
      <c r="AU150"/>
      <c r="AV150"/>
      <c r="AW150"/>
      <c r="AX150"/>
      <c r="AY150"/>
      <c r="AZ150"/>
      <c r="BA150"/>
      <c r="BB150"/>
      <c r="BC150"/>
      <c r="BD150"/>
      <c r="BE150"/>
      <c r="BF150"/>
    </row>
    <row r="151" spans="45:58" ht="15.95" hidden="1" customHeight="1" x14ac:dyDescent="0.25">
      <c r="AS151"/>
      <c r="AT151"/>
      <c r="AU151"/>
      <c r="AV151"/>
      <c r="AW151"/>
      <c r="AX151"/>
      <c r="AY151"/>
      <c r="AZ151"/>
      <c r="BA151"/>
      <c r="BB151"/>
      <c r="BC151"/>
      <c r="BD151"/>
      <c r="BE151"/>
      <c r="BF151"/>
    </row>
    <row r="152" spans="45:58" ht="15.95" hidden="1" customHeight="1" x14ac:dyDescent="0.25">
      <c r="AS152"/>
      <c r="AT152"/>
      <c r="AU152"/>
      <c r="AV152"/>
      <c r="AW152"/>
      <c r="AX152"/>
      <c r="AY152"/>
      <c r="AZ152"/>
      <c r="BA152"/>
      <c r="BB152"/>
      <c r="BC152"/>
      <c r="BD152"/>
      <c r="BE152"/>
      <c r="BF152"/>
    </row>
    <row r="153" spans="45:58" ht="15.95" hidden="1" customHeight="1" x14ac:dyDescent="0.25">
      <c r="AS153"/>
      <c r="AT153"/>
      <c r="AU153"/>
      <c r="AV153"/>
      <c r="AW153"/>
      <c r="AX153"/>
      <c r="AY153"/>
      <c r="AZ153"/>
      <c r="BA153"/>
      <c r="BB153"/>
      <c r="BC153"/>
      <c r="BD153"/>
      <c r="BE153"/>
      <c r="BF153"/>
    </row>
    <row r="154" spans="45:58" ht="15.95" hidden="1" customHeight="1" x14ac:dyDescent="0.25">
      <c r="AS154"/>
      <c r="AT154"/>
      <c r="AU154"/>
      <c r="AV154"/>
      <c r="AW154"/>
      <c r="AX154"/>
      <c r="AY154"/>
      <c r="AZ154"/>
      <c r="BA154"/>
      <c r="BB154"/>
      <c r="BC154"/>
      <c r="BD154"/>
      <c r="BE154"/>
      <c r="BF154"/>
    </row>
    <row r="155" spans="45:58" ht="15.95" hidden="1" customHeight="1" x14ac:dyDescent="0.25">
      <c r="AS155"/>
      <c r="AT155"/>
      <c r="AU155"/>
      <c r="AV155"/>
      <c r="AW155"/>
      <c r="AX155"/>
      <c r="AY155"/>
      <c r="AZ155"/>
      <c r="BA155"/>
      <c r="BB155"/>
      <c r="BC155"/>
      <c r="BD155"/>
      <c r="BE155"/>
      <c r="BF155"/>
    </row>
    <row r="156" spans="45:58" ht="15.95" hidden="1" customHeight="1" x14ac:dyDescent="0.25">
      <c r="AS156"/>
      <c r="AT156"/>
      <c r="AU156"/>
      <c r="AV156"/>
      <c r="AW156"/>
      <c r="AX156"/>
      <c r="AY156"/>
      <c r="AZ156"/>
      <c r="BA156"/>
      <c r="BB156"/>
      <c r="BC156"/>
      <c r="BD156"/>
      <c r="BE156"/>
      <c r="BF156"/>
    </row>
    <row r="157" spans="45:58" ht="15.95" hidden="1" customHeight="1" x14ac:dyDescent="0.25">
      <c r="AS157"/>
      <c r="AT157"/>
      <c r="AU157"/>
      <c r="AV157"/>
      <c r="AW157"/>
      <c r="AX157"/>
      <c r="AY157"/>
      <c r="AZ157"/>
      <c r="BA157"/>
      <c r="BB157"/>
      <c r="BC157"/>
      <c r="BD157"/>
      <c r="BE157"/>
      <c r="BF157"/>
    </row>
    <row r="158" spans="45:58" ht="15.95" hidden="1" customHeight="1" x14ac:dyDescent="0.25">
      <c r="AS158"/>
      <c r="AT158"/>
      <c r="AU158"/>
      <c r="AV158"/>
      <c r="AW158"/>
      <c r="AX158"/>
      <c r="AY158"/>
      <c r="AZ158"/>
      <c r="BA158"/>
      <c r="BB158"/>
      <c r="BC158"/>
      <c r="BD158"/>
      <c r="BE158"/>
      <c r="BF158"/>
    </row>
    <row r="159" spans="45:58" ht="15.95" hidden="1" customHeight="1" x14ac:dyDescent="0.25">
      <c r="AS159"/>
      <c r="AT159"/>
      <c r="AU159"/>
      <c r="AV159"/>
      <c r="AW159"/>
      <c r="AX159"/>
      <c r="AY159"/>
      <c r="AZ159"/>
      <c r="BA159"/>
      <c r="BB159"/>
      <c r="BC159"/>
      <c r="BD159"/>
      <c r="BE159"/>
      <c r="BF159"/>
    </row>
    <row r="160" spans="45:58" ht="15.95" hidden="1" customHeight="1" x14ac:dyDescent="0.25">
      <c r="AS160"/>
      <c r="AT160"/>
      <c r="AU160"/>
      <c r="AV160"/>
      <c r="AW160"/>
      <c r="AX160"/>
      <c r="AY160"/>
      <c r="AZ160"/>
      <c r="BA160"/>
      <c r="BB160"/>
      <c r="BC160"/>
      <c r="BD160"/>
      <c r="BE160"/>
      <c r="BF160"/>
    </row>
    <row r="161" spans="45:58" ht="15.95" hidden="1" customHeight="1" x14ac:dyDescent="0.25">
      <c r="AS161"/>
      <c r="AT161"/>
      <c r="AU161"/>
      <c r="AV161"/>
      <c r="AW161"/>
      <c r="AX161"/>
      <c r="AY161"/>
      <c r="AZ161"/>
      <c r="BA161"/>
      <c r="BB161"/>
      <c r="BC161"/>
      <c r="BD161"/>
      <c r="BE161"/>
      <c r="BF161"/>
    </row>
    <row r="162" spans="45:58" ht="15.95" hidden="1" customHeight="1" x14ac:dyDescent="0.25">
      <c r="AS162"/>
      <c r="AT162"/>
      <c r="AU162"/>
      <c r="AV162"/>
      <c r="AW162"/>
      <c r="AX162"/>
      <c r="AY162"/>
      <c r="AZ162"/>
      <c r="BA162"/>
      <c r="BB162"/>
      <c r="BC162"/>
      <c r="BD162"/>
      <c r="BE162"/>
      <c r="BF162"/>
    </row>
    <row r="163" spans="45:58" ht="15.95" hidden="1" customHeight="1" x14ac:dyDescent="0.25">
      <c r="AS163"/>
      <c r="AT163"/>
      <c r="AU163"/>
      <c r="AV163"/>
      <c r="AW163"/>
      <c r="AX163"/>
      <c r="AY163"/>
      <c r="AZ163"/>
      <c r="BA163"/>
      <c r="BB163"/>
      <c r="BC163"/>
      <c r="BD163"/>
      <c r="BE163"/>
      <c r="BF163"/>
    </row>
    <row r="164" spans="45:58" ht="15.95" hidden="1" customHeight="1" x14ac:dyDescent="0.25">
      <c r="AS164"/>
      <c r="AT164"/>
      <c r="AU164"/>
      <c r="AV164"/>
      <c r="AW164"/>
      <c r="AX164"/>
      <c r="AY164"/>
      <c r="AZ164"/>
      <c r="BA164"/>
      <c r="BB164"/>
      <c r="BC164"/>
      <c r="BD164"/>
      <c r="BE164"/>
      <c r="BF164"/>
    </row>
    <row r="165" spans="45:58" ht="15.95" hidden="1" customHeight="1" x14ac:dyDescent="0.25">
      <c r="AS165"/>
      <c r="AT165"/>
      <c r="AU165"/>
      <c r="AV165"/>
      <c r="AW165"/>
      <c r="AX165"/>
      <c r="AY165"/>
      <c r="AZ165"/>
      <c r="BA165"/>
      <c r="BB165"/>
      <c r="BC165"/>
      <c r="BD165"/>
      <c r="BE165"/>
      <c r="BF165"/>
    </row>
    <row r="166" spans="45:58" ht="15.95" hidden="1" customHeight="1" x14ac:dyDescent="0.25">
      <c r="AS166"/>
      <c r="AT166"/>
      <c r="AU166"/>
      <c r="AV166"/>
      <c r="AW166"/>
      <c r="AX166"/>
      <c r="AY166"/>
      <c r="AZ166"/>
      <c r="BA166"/>
      <c r="BB166"/>
      <c r="BC166"/>
      <c r="BD166"/>
      <c r="BE166"/>
      <c r="BF166"/>
    </row>
    <row r="167" spans="45:58" ht="15.95" hidden="1" customHeight="1" x14ac:dyDescent="0.25">
      <c r="AS167"/>
      <c r="AT167"/>
      <c r="AU167"/>
      <c r="AV167"/>
      <c r="AW167"/>
      <c r="AX167"/>
      <c r="AY167"/>
      <c r="AZ167"/>
      <c r="BA167"/>
      <c r="BB167"/>
      <c r="BC167"/>
      <c r="BD167"/>
      <c r="BE167"/>
      <c r="BF167"/>
    </row>
    <row r="168" spans="45:58" ht="15.95" hidden="1" customHeight="1" x14ac:dyDescent="0.25">
      <c r="AS168"/>
      <c r="AT168"/>
      <c r="AU168"/>
      <c r="AV168"/>
      <c r="AW168"/>
      <c r="AX168"/>
      <c r="AY168"/>
      <c r="AZ168"/>
      <c r="BA168"/>
      <c r="BB168"/>
      <c r="BC168"/>
      <c r="BD168"/>
      <c r="BE168"/>
      <c r="BF168"/>
    </row>
    <row r="169" spans="45:58" ht="15.95" hidden="1" customHeight="1" x14ac:dyDescent="0.25">
      <c r="AS169"/>
      <c r="AT169"/>
      <c r="AU169"/>
      <c r="AV169"/>
      <c r="AW169"/>
      <c r="AX169"/>
      <c r="AY169"/>
      <c r="AZ169"/>
      <c r="BA169"/>
      <c r="BB169"/>
      <c r="BC169"/>
      <c r="BD169"/>
      <c r="BE169"/>
      <c r="BF169"/>
    </row>
    <row r="170" spans="45:58" ht="15.95" hidden="1" customHeight="1" x14ac:dyDescent="0.25">
      <c r="AS170"/>
      <c r="AT170"/>
      <c r="AU170"/>
      <c r="AV170"/>
      <c r="AW170"/>
      <c r="AX170"/>
      <c r="AY170"/>
      <c r="AZ170"/>
      <c r="BA170"/>
      <c r="BB170"/>
      <c r="BC170"/>
      <c r="BD170"/>
      <c r="BE170"/>
      <c r="BF170"/>
    </row>
    <row r="171" spans="45:58" ht="15.95" hidden="1" customHeight="1" x14ac:dyDescent="0.25">
      <c r="AS171"/>
      <c r="AT171"/>
      <c r="AU171"/>
      <c r="AV171"/>
      <c r="AW171"/>
      <c r="AX171"/>
      <c r="AY171"/>
      <c r="AZ171"/>
      <c r="BA171"/>
      <c r="BB171"/>
      <c r="BC171"/>
      <c r="BD171"/>
      <c r="BE171"/>
      <c r="BF171"/>
    </row>
    <row r="172" spans="45:58" ht="15.95" hidden="1" customHeight="1" x14ac:dyDescent="0.25">
      <c r="AS172"/>
      <c r="AT172"/>
      <c r="AU172"/>
      <c r="AV172"/>
      <c r="AW172"/>
      <c r="AX172"/>
      <c r="AY172"/>
      <c r="AZ172"/>
      <c r="BA172"/>
      <c r="BB172"/>
      <c r="BC172"/>
      <c r="BD172"/>
      <c r="BE172"/>
      <c r="BF172"/>
    </row>
    <row r="173" spans="45:58" ht="15.95" hidden="1" customHeight="1" x14ac:dyDescent="0.25">
      <c r="AS173"/>
      <c r="AT173"/>
      <c r="AU173"/>
      <c r="AV173"/>
      <c r="AW173"/>
      <c r="AX173"/>
      <c r="AY173"/>
      <c r="AZ173"/>
      <c r="BA173"/>
      <c r="BB173"/>
      <c r="BC173"/>
      <c r="BD173"/>
      <c r="BE173"/>
      <c r="BF173"/>
    </row>
    <row r="174" spans="45:58" ht="15.95" hidden="1" customHeight="1" x14ac:dyDescent="0.25">
      <c r="AS174"/>
      <c r="AT174"/>
      <c r="AU174"/>
      <c r="AV174"/>
      <c r="AW174"/>
      <c r="AX174"/>
      <c r="AY174"/>
      <c r="AZ174"/>
      <c r="BA174"/>
      <c r="BB174"/>
      <c r="BC174"/>
      <c r="BD174"/>
      <c r="BE174"/>
      <c r="BF174"/>
    </row>
    <row r="175" spans="45:58" ht="15.95" hidden="1" customHeight="1" x14ac:dyDescent="0.25">
      <c r="AS175"/>
      <c r="AT175"/>
      <c r="AU175"/>
      <c r="AV175"/>
      <c r="AW175"/>
      <c r="AX175"/>
      <c r="AY175"/>
      <c r="AZ175"/>
      <c r="BA175"/>
      <c r="BB175"/>
      <c r="BC175"/>
      <c r="BD175"/>
      <c r="BE175"/>
      <c r="BF175"/>
    </row>
    <row r="176" spans="45:58" ht="15.95" hidden="1" customHeight="1" x14ac:dyDescent="0.25">
      <c r="AS176"/>
      <c r="AT176"/>
      <c r="AU176"/>
      <c r="AV176"/>
      <c r="AW176"/>
      <c r="AX176"/>
      <c r="AY176"/>
      <c r="AZ176"/>
      <c r="BA176"/>
      <c r="BB176"/>
      <c r="BC176"/>
      <c r="BD176"/>
      <c r="BE176"/>
      <c r="BF176"/>
    </row>
    <row r="177" spans="45:58" ht="15.95" hidden="1" customHeight="1" x14ac:dyDescent="0.25">
      <c r="AS177"/>
      <c r="AT177"/>
      <c r="AU177"/>
      <c r="AV177"/>
      <c r="AW177"/>
      <c r="AX177"/>
      <c r="AY177"/>
      <c r="AZ177"/>
      <c r="BA177"/>
      <c r="BB177"/>
      <c r="BC177"/>
      <c r="BD177"/>
      <c r="BE177"/>
      <c r="BF177"/>
    </row>
    <row r="178" spans="45:58" ht="15.95" hidden="1" customHeight="1" x14ac:dyDescent="0.25">
      <c r="AS178"/>
      <c r="AT178"/>
      <c r="AU178"/>
      <c r="AV178"/>
      <c r="AW178"/>
      <c r="AX178"/>
      <c r="AY178"/>
      <c r="AZ178"/>
      <c r="BA178"/>
      <c r="BB178"/>
      <c r="BC178"/>
      <c r="BD178"/>
      <c r="BE178"/>
      <c r="BF178"/>
    </row>
    <row r="179" spans="45:58" ht="15.95" hidden="1" customHeight="1" x14ac:dyDescent="0.25">
      <c r="AS179"/>
      <c r="AT179"/>
      <c r="AU179"/>
      <c r="AV179"/>
      <c r="AW179"/>
      <c r="AX179"/>
      <c r="AY179"/>
      <c r="AZ179"/>
      <c r="BA179"/>
      <c r="BB179"/>
      <c r="BC179"/>
      <c r="BD179"/>
      <c r="BE179"/>
      <c r="BF179"/>
    </row>
    <row r="180" spans="45:58" ht="15.95" hidden="1" customHeight="1" x14ac:dyDescent="0.25">
      <c r="AS180"/>
      <c r="AT180"/>
      <c r="AU180"/>
      <c r="AV180"/>
      <c r="AW180"/>
      <c r="AX180"/>
      <c r="AY180"/>
      <c r="AZ180"/>
      <c r="BA180"/>
      <c r="BB180"/>
      <c r="BC180"/>
      <c r="BD180"/>
      <c r="BE180"/>
      <c r="BF180"/>
    </row>
    <row r="181" spans="45:58" ht="15.95" hidden="1" customHeight="1" x14ac:dyDescent="0.25">
      <c r="AS181"/>
      <c r="AT181"/>
      <c r="AU181"/>
      <c r="AV181"/>
      <c r="AW181"/>
      <c r="AX181"/>
      <c r="AY181"/>
      <c r="AZ181"/>
      <c r="BA181"/>
      <c r="BB181"/>
      <c r="BC181"/>
      <c r="BD181"/>
      <c r="BE181"/>
      <c r="BF181"/>
    </row>
    <row r="182" spans="45:58" ht="15.95" hidden="1" customHeight="1" x14ac:dyDescent="0.25">
      <c r="AS182"/>
      <c r="AT182"/>
      <c r="AU182"/>
      <c r="AV182"/>
      <c r="AW182"/>
      <c r="AX182"/>
      <c r="AY182"/>
      <c r="AZ182"/>
      <c r="BA182"/>
      <c r="BB182"/>
      <c r="BC182"/>
      <c r="BD182"/>
      <c r="BE182"/>
      <c r="BF182"/>
    </row>
    <row r="183" spans="45:58" ht="15.95" hidden="1" customHeight="1" x14ac:dyDescent="0.25">
      <c r="AS183"/>
      <c r="AT183"/>
      <c r="AU183"/>
      <c r="AV183"/>
      <c r="AW183"/>
      <c r="AX183"/>
      <c r="AY183"/>
      <c r="AZ183"/>
      <c r="BA183"/>
      <c r="BB183"/>
      <c r="BC183"/>
      <c r="BD183"/>
      <c r="BE183"/>
      <c r="BF183"/>
    </row>
    <row r="184" spans="45:58" ht="15.95" hidden="1" customHeight="1" x14ac:dyDescent="0.25">
      <c r="AS184"/>
      <c r="AT184"/>
      <c r="AU184"/>
      <c r="AV184"/>
      <c r="AW184"/>
      <c r="AX184"/>
      <c r="AY184"/>
      <c r="AZ184"/>
      <c r="BA184"/>
      <c r="BB184"/>
      <c r="BC184"/>
      <c r="BD184"/>
      <c r="BE184"/>
      <c r="BF184"/>
    </row>
    <row r="185" spans="45:58" ht="15.95" hidden="1" customHeight="1" x14ac:dyDescent="0.25">
      <c r="AS185"/>
      <c r="AT185"/>
      <c r="AU185"/>
      <c r="AV185"/>
      <c r="AW185"/>
      <c r="AX185"/>
      <c r="AY185"/>
      <c r="AZ185"/>
      <c r="BA185"/>
      <c r="BB185"/>
      <c r="BC185"/>
      <c r="BD185"/>
      <c r="BE185"/>
      <c r="BF185"/>
    </row>
    <row r="186" spans="45:58" ht="15.95" hidden="1" customHeight="1" x14ac:dyDescent="0.25">
      <c r="AS186"/>
      <c r="AT186"/>
      <c r="AU186"/>
      <c r="AV186"/>
      <c r="AW186"/>
      <c r="AX186"/>
      <c r="AY186"/>
      <c r="AZ186"/>
      <c r="BA186"/>
      <c r="BB186"/>
      <c r="BC186"/>
      <c r="BD186"/>
      <c r="BE186"/>
      <c r="BF186"/>
    </row>
    <row r="187" spans="45:58" ht="15.95" hidden="1" customHeight="1" x14ac:dyDescent="0.25">
      <c r="AS187"/>
      <c r="AT187"/>
      <c r="AU187"/>
      <c r="AV187"/>
      <c r="AW187"/>
      <c r="AX187"/>
      <c r="AY187"/>
      <c r="AZ187"/>
      <c r="BA187"/>
      <c r="BB187"/>
      <c r="BC187"/>
      <c r="BD187"/>
      <c r="BE187"/>
      <c r="BF187"/>
    </row>
    <row r="188" spans="45:58" ht="15.95" hidden="1" customHeight="1" x14ac:dyDescent="0.25">
      <c r="AS188"/>
      <c r="AT188"/>
      <c r="AU188"/>
      <c r="AV188"/>
      <c r="AW188"/>
      <c r="AX188"/>
      <c r="AY188"/>
      <c r="AZ188"/>
      <c r="BA188"/>
      <c r="BB188"/>
      <c r="BC188"/>
      <c r="BD188"/>
      <c r="BE188"/>
      <c r="BF188"/>
    </row>
    <row r="189" spans="45:58" ht="15.95" hidden="1" customHeight="1" x14ac:dyDescent="0.25">
      <c r="AS189"/>
      <c r="AT189"/>
      <c r="AU189"/>
      <c r="AV189"/>
      <c r="AW189"/>
      <c r="AX189"/>
      <c r="AY189"/>
      <c r="AZ189"/>
      <c r="BA189"/>
      <c r="BB189"/>
      <c r="BC189"/>
      <c r="BD189"/>
      <c r="BE189"/>
      <c r="BF189"/>
    </row>
    <row r="190" spans="45:58" ht="15.95" hidden="1" customHeight="1" x14ac:dyDescent="0.25">
      <c r="AS190"/>
      <c r="AT190"/>
      <c r="AU190"/>
      <c r="AV190"/>
      <c r="AW190"/>
      <c r="AX190"/>
      <c r="AY190"/>
      <c r="AZ190"/>
      <c r="BA190"/>
      <c r="BB190"/>
      <c r="BC190"/>
      <c r="BD190"/>
      <c r="BE190"/>
      <c r="BF190"/>
    </row>
    <row r="191" spans="45:58" ht="15.95" hidden="1" customHeight="1" x14ac:dyDescent="0.25">
      <c r="AS191"/>
      <c r="AT191"/>
      <c r="AU191"/>
      <c r="AV191"/>
      <c r="AW191"/>
      <c r="AX191"/>
      <c r="AY191"/>
      <c r="AZ191"/>
      <c r="BA191"/>
      <c r="BB191"/>
      <c r="BC191"/>
      <c r="BD191"/>
      <c r="BE191"/>
      <c r="BF191"/>
    </row>
    <row r="192" spans="45:58" ht="15.95" hidden="1" customHeight="1" x14ac:dyDescent="0.25">
      <c r="AS192"/>
      <c r="AT192"/>
      <c r="AU192"/>
      <c r="AV192"/>
      <c r="AW192"/>
      <c r="AX192"/>
      <c r="AY192"/>
      <c r="AZ192"/>
      <c r="BA192"/>
      <c r="BB192"/>
      <c r="BC192"/>
      <c r="BD192"/>
      <c r="BE192"/>
      <c r="BF192"/>
    </row>
    <row r="193" spans="2:58" ht="15.95" hidden="1" customHeight="1" x14ac:dyDescent="0.25">
      <c r="AS193"/>
      <c r="AT193"/>
      <c r="AU193"/>
      <c r="AV193"/>
      <c r="AW193"/>
      <c r="AX193"/>
      <c r="AY193"/>
      <c r="AZ193"/>
      <c r="BA193"/>
      <c r="BB193"/>
      <c r="BC193"/>
      <c r="BD193"/>
      <c r="BE193"/>
      <c r="BF193"/>
    </row>
    <row r="194" spans="2:58" ht="15.95" hidden="1" customHeight="1" x14ac:dyDescent="0.25">
      <c r="AS194"/>
      <c r="AT194"/>
      <c r="AU194"/>
      <c r="AV194"/>
      <c r="AW194"/>
      <c r="AX194"/>
      <c r="AY194"/>
      <c r="AZ194"/>
      <c r="BA194"/>
      <c r="BB194"/>
      <c r="BC194"/>
      <c r="BD194"/>
      <c r="BE194"/>
      <c r="BF194"/>
    </row>
    <row r="195" spans="2:58" ht="15.95" hidden="1" customHeight="1" x14ac:dyDescent="0.25">
      <c r="AS195"/>
      <c r="AT195"/>
      <c r="AU195"/>
      <c r="AV195"/>
      <c r="AW195"/>
      <c r="AX195"/>
      <c r="AY195"/>
      <c r="AZ195"/>
      <c r="BA195"/>
      <c r="BB195"/>
      <c r="BC195"/>
      <c r="BD195"/>
      <c r="BE195"/>
      <c r="BF195"/>
    </row>
    <row r="196" spans="2:58" ht="15.95" hidden="1" customHeight="1" x14ac:dyDescent="0.25">
      <c r="AS196"/>
      <c r="AT196"/>
      <c r="AU196"/>
      <c r="AV196"/>
      <c r="AW196"/>
      <c r="AX196"/>
      <c r="AY196"/>
      <c r="AZ196"/>
      <c r="BA196"/>
      <c r="BB196"/>
      <c r="BC196"/>
      <c r="BD196"/>
      <c r="BE196"/>
      <c r="BF196"/>
    </row>
    <row r="197" spans="2:58" ht="15.95" hidden="1" customHeight="1" x14ac:dyDescent="0.25">
      <c r="AS197"/>
      <c r="AT197"/>
      <c r="AU197"/>
      <c r="AV197"/>
      <c r="AW197"/>
      <c r="AX197"/>
      <c r="AY197"/>
      <c r="AZ197"/>
      <c r="BA197"/>
      <c r="BB197"/>
      <c r="BC197"/>
      <c r="BD197"/>
      <c r="BE197"/>
      <c r="BF197"/>
    </row>
    <row r="198" spans="2:58" ht="15.95" hidden="1" customHeight="1" x14ac:dyDescent="0.25">
      <c r="AS198"/>
      <c r="AT198"/>
      <c r="AU198"/>
      <c r="AV198"/>
      <c r="AW198"/>
      <c r="AX198"/>
      <c r="AY198"/>
      <c r="AZ198"/>
      <c r="BA198"/>
      <c r="BB198"/>
      <c r="BC198"/>
      <c r="BD198"/>
      <c r="BE198"/>
      <c r="BF198"/>
    </row>
    <row r="199" spans="2:58" ht="15.95" hidden="1" customHeight="1" x14ac:dyDescent="0.25">
      <c r="AS199"/>
      <c r="AT199"/>
      <c r="AU199"/>
      <c r="AV199"/>
      <c r="AW199"/>
      <c r="AX199"/>
      <c r="AY199"/>
      <c r="AZ199"/>
      <c r="BA199"/>
      <c r="BB199"/>
      <c r="BC199"/>
      <c r="BD199"/>
      <c r="BE199"/>
      <c r="BF199"/>
    </row>
    <row r="200" spans="2:58" ht="15.95" customHeight="1" x14ac:dyDescent="0.25">
      <c r="B200" s="136" t="str">
        <f>FOOT1</f>
        <v>Ameren Missouri BizSavers program</v>
      </c>
      <c r="C200" s="136"/>
      <c r="D200" s="136"/>
      <c r="E200" s="136"/>
      <c r="F200" s="136"/>
      <c r="G200" s="136"/>
      <c r="H200" s="136"/>
      <c r="I200" s="136"/>
      <c r="J200" s="136"/>
      <c r="K200" s="136"/>
      <c r="L200" s="136"/>
      <c r="M200" s="729" t="str">
        <f>FOOTDISCLAIM</f>
        <v/>
      </c>
      <c r="N200" s="729"/>
      <c r="O200" s="729"/>
      <c r="P200" s="729"/>
      <c r="Q200" s="729"/>
      <c r="R200" s="729"/>
      <c r="S200" s="729"/>
      <c r="T200" s="729"/>
      <c r="U200" s="729"/>
      <c r="V200" s="729"/>
      <c r="W200" s="729"/>
      <c r="X200" s="729"/>
      <c r="Y200" s="729"/>
      <c r="Z200" s="729"/>
      <c r="AA200" s="729"/>
      <c r="AB200" s="729"/>
      <c r="AC200" s="729"/>
      <c r="AD200" s="729"/>
      <c r="AE200" s="729"/>
      <c r="AF200" s="729"/>
      <c r="AG200" s="729"/>
      <c r="AH200" s="136"/>
      <c r="AI200" s="136"/>
      <c r="AJ200" s="136"/>
      <c r="AK200" s="136"/>
      <c r="AL200" s="136"/>
      <c r="AM200" s="136"/>
      <c r="AN200" s="136"/>
      <c r="AO200" s="136"/>
      <c r="AP200" s="136"/>
      <c r="AQ200" s="136"/>
      <c r="AR200" s="300" t="str">
        <f>FOOT4</f>
        <v/>
      </c>
      <c r="AU200" s="1003">
        <f>SUM(AU18:AU199)</f>
        <v>0</v>
      </c>
      <c r="AV200" s="1005">
        <f>SUM(AV18:AV199)</f>
        <v>0</v>
      </c>
    </row>
    <row r="201" spans="2:58" ht="15.95" customHeight="1" x14ac:dyDescent="0.25">
      <c r="B201" s="136" t="str">
        <f>FOOT2</f>
        <v>Toll-Free 866-941-7299</v>
      </c>
      <c r="C201" s="136"/>
      <c r="D201" s="136"/>
      <c r="E201" s="136"/>
      <c r="F201" s="136"/>
      <c r="G201" s="136"/>
      <c r="H201" s="136"/>
      <c r="I201" s="136"/>
      <c r="J201" s="136"/>
      <c r="K201" s="136"/>
      <c r="L201" s="136"/>
      <c r="M201" s="729"/>
      <c r="N201" s="729"/>
      <c r="O201" s="729"/>
      <c r="P201" s="729"/>
      <c r="Q201" s="729"/>
      <c r="R201" s="729"/>
      <c r="S201" s="729"/>
      <c r="T201" s="729"/>
      <c r="U201" s="729"/>
      <c r="V201" s="729"/>
      <c r="W201" s="729"/>
      <c r="X201" s="729"/>
      <c r="Y201" s="729"/>
      <c r="Z201" s="729"/>
      <c r="AA201" s="729"/>
      <c r="AB201" s="729"/>
      <c r="AC201" s="729"/>
      <c r="AD201" s="729"/>
      <c r="AE201" s="729"/>
      <c r="AF201" s="729"/>
      <c r="AG201" s="729"/>
      <c r="AH201" s="136"/>
      <c r="AI201" s="136"/>
      <c r="AJ201" s="136"/>
      <c r="AK201" s="136"/>
      <c r="AL201" s="136"/>
      <c r="AM201" s="136"/>
      <c r="AN201" s="136"/>
      <c r="AO201" s="136"/>
      <c r="AP201" s="136"/>
      <c r="AQ201" s="136"/>
      <c r="AR201" s="300" t="str">
        <f>FOOT5</f>
        <v/>
      </c>
      <c r="AU201" s="1004"/>
      <c r="AV201" s="1006"/>
    </row>
    <row r="202" spans="2:58" ht="15.95" customHeight="1" x14ac:dyDescent="0.25">
      <c r="B202" s="138" t="str">
        <f>FOOT3</f>
        <v>BizSavers@ameren.com</v>
      </c>
      <c r="C202" s="136"/>
      <c r="D202" s="136"/>
      <c r="E202" s="136"/>
      <c r="F202" s="136"/>
      <c r="G202" s="136"/>
      <c r="H202" s="136"/>
      <c r="I202" s="136"/>
      <c r="J202" s="136"/>
      <c r="K202" s="136"/>
      <c r="L202" s="136"/>
      <c r="M202" s="139"/>
      <c r="N202" s="136"/>
      <c r="O202" s="136"/>
      <c r="P202" s="139"/>
      <c r="Q202" s="139"/>
      <c r="R202" s="139"/>
      <c r="S202" s="139"/>
      <c r="T202" s="139"/>
      <c r="U202" s="139"/>
      <c r="V202" s="139"/>
      <c r="W202" s="140" t="str">
        <f>VERSION</f>
        <v>New Construction v3.8.0</v>
      </c>
      <c r="X202" s="139"/>
      <c r="Y202" s="139"/>
      <c r="Z202" s="139"/>
      <c r="AA202" s="139"/>
      <c r="AB202" s="139"/>
      <c r="AC202" s="139"/>
      <c r="AD202" s="139"/>
      <c r="AE202" s="136"/>
      <c r="AF202" s="136"/>
      <c r="AG202" s="136"/>
      <c r="AH202" s="136"/>
      <c r="AI202" s="136"/>
      <c r="AJ202" s="136"/>
      <c r="AK202" s="136"/>
      <c r="AL202" s="136"/>
      <c r="AM202" s="136"/>
      <c r="AN202" s="136"/>
      <c r="AO202" s="136"/>
      <c r="AP202" s="136"/>
      <c r="AQ202" s="136"/>
      <c r="AR202" s="300" t="str">
        <f>FOOT6</f>
        <v>Product of TRC Companies</v>
      </c>
    </row>
    <row r="203" spans="2:58" ht="15" hidden="1" customHeight="1" x14ac:dyDescent="0.25"/>
  </sheetData>
  <sheetProtection algorithmName="SHA-512" hashValue="b4sion8vjAFg6jnBwQbitFpNf6WXhyUzvrTK83qVGLpohQ1z7956pdO6Svlak3LS+ci6TCi38baI/cPQd81hFw==" saltValue="MeZNjZqYhJxqMv6Q4reNJw==" spinCount="100000" sheet="1" objects="1" scenarios="1" selectLockedCells="1"/>
  <mergeCells count="741">
    <mergeCell ref="AM71:AP71"/>
    <mergeCell ref="AM72:AP72"/>
    <mergeCell ref="AX14:AX15"/>
    <mergeCell ref="AY14:AY15"/>
    <mergeCell ref="AZ14:AZ15"/>
    <mergeCell ref="BA14:BA15"/>
    <mergeCell ref="AX16:AX17"/>
    <mergeCell ref="AY16:AY17"/>
    <mergeCell ref="AZ16:AZ17"/>
    <mergeCell ref="BA16:BA17"/>
    <mergeCell ref="AU14:AU15"/>
    <mergeCell ref="AU16:AU17"/>
    <mergeCell ref="Y62:AG62"/>
    <mergeCell ref="Y63:AG63"/>
    <mergeCell ref="C15:H15"/>
    <mergeCell ref="J15:O15"/>
    <mergeCell ref="AV14:AV15"/>
    <mergeCell ref="AW14:AW15"/>
    <mergeCell ref="AV16:AV17"/>
    <mergeCell ref="AW16:AW17"/>
    <mergeCell ref="Y57:AG57"/>
    <mergeCell ref="AH57:AI57"/>
    <mergeCell ref="AJ57:AL57"/>
    <mergeCell ref="AM57:AP57"/>
    <mergeCell ref="D51:L51"/>
    <mergeCell ref="M51:N51"/>
    <mergeCell ref="O51:Q51"/>
    <mergeCell ref="R51:U51"/>
    <mergeCell ref="Y51:AG51"/>
    <mergeCell ref="AH51:AI51"/>
    <mergeCell ref="AJ51:AL51"/>
    <mergeCell ref="AM51:AP51"/>
    <mergeCell ref="D56:L56"/>
    <mergeCell ref="M56:N56"/>
    <mergeCell ref="O56:Q56"/>
    <mergeCell ref="R56:U56"/>
    <mergeCell ref="D59:L59"/>
    <mergeCell ref="M59:N59"/>
    <mergeCell ref="O59:Q59"/>
    <mergeCell ref="R59:U59"/>
    <mergeCell ref="Y59:AG59"/>
    <mergeCell ref="AH59:AI59"/>
    <mergeCell ref="AJ59:AL59"/>
    <mergeCell ref="AM59:AP59"/>
    <mergeCell ref="D60:L60"/>
    <mergeCell ref="M60:N60"/>
    <mergeCell ref="O52:Q52"/>
    <mergeCell ref="R52:U52"/>
    <mergeCell ref="Y52:AG52"/>
    <mergeCell ref="AH52:AI52"/>
    <mergeCell ref="AJ52:AL52"/>
    <mergeCell ref="AM52:AP52"/>
    <mergeCell ref="D53:L53"/>
    <mergeCell ref="M53:N53"/>
    <mergeCell ref="O53:Q53"/>
    <mergeCell ref="R53:U53"/>
    <mergeCell ref="Y53:AG53"/>
    <mergeCell ref="AH53:AI53"/>
    <mergeCell ref="AJ53:AL53"/>
    <mergeCell ref="AM53:AP53"/>
    <mergeCell ref="D52:L52"/>
    <mergeCell ref="M52:N52"/>
    <mergeCell ref="AH1:AK1"/>
    <mergeCell ref="AL1:AP1"/>
    <mergeCell ref="AH2:AK3"/>
    <mergeCell ref="AL2:AP3"/>
    <mergeCell ref="AQ1:AR1"/>
    <mergeCell ref="AQ2:AR3"/>
    <mergeCell ref="R9:AC10"/>
    <mergeCell ref="AU200:AU201"/>
    <mergeCell ref="AV200:AV201"/>
    <mergeCell ref="R11:U11"/>
    <mergeCell ref="V11:Y11"/>
    <mergeCell ref="Z11:AC11"/>
    <mergeCell ref="R12:U13"/>
    <mergeCell ref="V12:Y13"/>
    <mergeCell ref="Z12:AC13"/>
    <mergeCell ref="M200:AG201"/>
    <mergeCell ref="AH62:AI62"/>
    <mergeCell ref="AJ62:AL62"/>
    <mergeCell ref="AM62:AP62"/>
    <mergeCell ref="AH63:AI63"/>
    <mergeCell ref="AJ63:AL63"/>
    <mergeCell ref="AM63:AP63"/>
    <mergeCell ref="K19:P19"/>
    <mergeCell ref="Y19:AD19"/>
    <mergeCell ref="AF19:AK19"/>
    <mergeCell ref="D20:I20"/>
    <mergeCell ref="K20:P20"/>
    <mergeCell ref="Y20:AD20"/>
    <mergeCell ref="AF20:AK20"/>
    <mergeCell ref="D19:I19"/>
    <mergeCell ref="Y22:AD22"/>
    <mergeCell ref="AF22:AK22"/>
    <mergeCell ref="AM22:AP22"/>
    <mergeCell ref="R19:U19"/>
    <mergeCell ref="R20:U20"/>
    <mergeCell ref="AM19:AP19"/>
    <mergeCell ref="AM20:AP20"/>
    <mergeCell ref="D23:I23"/>
    <mergeCell ref="K23:P23"/>
    <mergeCell ref="R23:U23"/>
    <mergeCell ref="Y23:AD23"/>
    <mergeCell ref="AF23:AK23"/>
    <mergeCell ref="AM23:AP23"/>
    <mergeCell ref="D22:I22"/>
    <mergeCell ref="K22:P22"/>
    <mergeCell ref="R22:U22"/>
    <mergeCell ref="Y25:AG25"/>
    <mergeCell ref="AH25:AI25"/>
    <mergeCell ref="AJ25:AL25"/>
    <mergeCell ref="AM25:AP25"/>
    <mergeCell ref="D26:L26"/>
    <mergeCell ref="M26:N26"/>
    <mergeCell ref="O26:Q26"/>
    <mergeCell ref="R26:U26"/>
    <mergeCell ref="Y26:AG26"/>
    <mergeCell ref="AH26:AI26"/>
    <mergeCell ref="AJ26:AL26"/>
    <mergeCell ref="AM26:AP26"/>
    <mergeCell ref="D25:L25"/>
    <mergeCell ref="M25:N25"/>
    <mergeCell ref="O25:Q25"/>
    <mergeCell ref="R25:U25"/>
    <mergeCell ref="Y27:AG27"/>
    <mergeCell ref="AH27:AI27"/>
    <mergeCell ref="AJ27:AL27"/>
    <mergeCell ref="AM27:AP27"/>
    <mergeCell ref="D28:L28"/>
    <mergeCell ref="M28:N28"/>
    <mergeCell ref="O28:Q28"/>
    <mergeCell ref="R28:U28"/>
    <mergeCell ref="Y28:AG28"/>
    <mergeCell ref="AH28:AI28"/>
    <mergeCell ref="AJ28:AL28"/>
    <mergeCell ref="AM28:AP28"/>
    <mergeCell ref="D27:L27"/>
    <mergeCell ref="M27:N27"/>
    <mergeCell ref="O27:Q27"/>
    <mergeCell ref="R27:U27"/>
    <mergeCell ref="D29:L29"/>
    <mergeCell ref="M29:N29"/>
    <mergeCell ref="O29:Q29"/>
    <mergeCell ref="R29:U29"/>
    <mergeCell ref="Y29:AG29"/>
    <mergeCell ref="AH29:AI29"/>
    <mergeCell ref="AJ29:AL29"/>
    <mergeCell ref="AM29:AP29"/>
    <mergeCell ref="D30:L30"/>
    <mergeCell ref="M30:N30"/>
    <mergeCell ref="O30:Q30"/>
    <mergeCell ref="R30:U30"/>
    <mergeCell ref="Y30:AG30"/>
    <mergeCell ref="AH30:AI30"/>
    <mergeCell ref="AJ30:AL30"/>
    <mergeCell ref="AM30:AP30"/>
    <mergeCell ref="Y31:AG31"/>
    <mergeCell ref="AH31:AI31"/>
    <mergeCell ref="AJ31:AL31"/>
    <mergeCell ref="AM31:AP31"/>
    <mergeCell ref="D32:L32"/>
    <mergeCell ref="M32:N32"/>
    <mergeCell ref="O32:Q32"/>
    <mergeCell ref="R32:U32"/>
    <mergeCell ref="Y32:AG32"/>
    <mergeCell ref="AH32:AI32"/>
    <mergeCell ref="AJ32:AL32"/>
    <mergeCell ref="AM32:AP32"/>
    <mergeCell ref="D31:L31"/>
    <mergeCell ref="M31:N31"/>
    <mergeCell ref="O31:Q31"/>
    <mergeCell ref="R31:U31"/>
    <mergeCell ref="AJ33:AL33"/>
    <mergeCell ref="AM33:AP33"/>
    <mergeCell ref="D34:L34"/>
    <mergeCell ref="M34:N34"/>
    <mergeCell ref="O34:Q34"/>
    <mergeCell ref="R34:U34"/>
    <mergeCell ref="Y34:AG34"/>
    <mergeCell ref="AH34:AI34"/>
    <mergeCell ref="AJ34:AL34"/>
    <mergeCell ref="AM34:AP34"/>
    <mergeCell ref="D33:L33"/>
    <mergeCell ref="M33:N33"/>
    <mergeCell ref="O33:Q33"/>
    <mergeCell ref="R33:U33"/>
    <mergeCell ref="Y33:AG33"/>
    <mergeCell ref="AH33:AI33"/>
    <mergeCell ref="D35:L35"/>
    <mergeCell ref="M35:N35"/>
    <mergeCell ref="O35:Q35"/>
    <mergeCell ref="R35:U35"/>
    <mergeCell ref="Y35:AG35"/>
    <mergeCell ref="AH35:AI35"/>
    <mergeCell ref="AJ35:AL35"/>
    <mergeCell ref="AM35:AP35"/>
    <mergeCell ref="D36:L36"/>
    <mergeCell ref="M36:N36"/>
    <mergeCell ref="O36:Q36"/>
    <mergeCell ref="R36:U36"/>
    <mergeCell ref="Y36:AG36"/>
    <mergeCell ref="AH36:AI36"/>
    <mergeCell ref="AJ36:AL36"/>
    <mergeCell ref="AM36:AP36"/>
    <mergeCell ref="Y37:AG37"/>
    <mergeCell ref="AH37:AI37"/>
    <mergeCell ref="AJ37:AL37"/>
    <mergeCell ref="AM37:AP37"/>
    <mergeCell ref="D38:L38"/>
    <mergeCell ref="M38:N38"/>
    <mergeCell ref="O38:Q38"/>
    <mergeCell ref="R38:U38"/>
    <mergeCell ref="Y38:AG38"/>
    <mergeCell ref="AH38:AI38"/>
    <mergeCell ref="AJ38:AL38"/>
    <mergeCell ref="AM38:AP38"/>
    <mergeCell ref="D37:L37"/>
    <mergeCell ref="M37:N37"/>
    <mergeCell ref="O37:Q37"/>
    <mergeCell ref="R37:U37"/>
    <mergeCell ref="AJ39:AL39"/>
    <mergeCell ref="AM39:AP39"/>
    <mergeCell ref="D40:L40"/>
    <mergeCell ref="M40:N40"/>
    <mergeCell ref="O40:Q40"/>
    <mergeCell ref="R40:U40"/>
    <mergeCell ref="Y40:AG40"/>
    <mergeCell ref="AH40:AI40"/>
    <mergeCell ref="AJ40:AL40"/>
    <mergeCell ref="AM40:AP40"/>
    <mergeCell ref="D39:L39"/>
    <mergeCell ref="M39:N39"/>
    <mergeCell ref="O39:Q39"/>
    <mergeCell ref="R39:U39"/>
    <mergeCell ref="Y39:AG39"/>
    <mergeCell ref="AH39:AI39"/>
    <mergeCell ref="D41:L41"/>
    <mergeCell ref="M41:N41"/>
    <mergeCell ref="O41:Q41"/>
    <mergeCell ref="R41:U41"/>
    <mergeCell ref="Y41:AG41"/>
    <mergeCell ref="AH41:AI41"/>
    <mergeCell ref="AJ41:AL41"/>
    <mergeCell ref="AM41:AP41"/>
    <mergeCell ref="D42:L42"/>
    <mergeCell ref="M42:N42"/>
    <mergeCell ref="O42:Q42"/>
    <mergeCell ref="R42:U42"/>
    <mergeCell ref="Y42:AG42"/>
    <mergeCell ref="AH42:AI42"/>
    <mergeCell ref="AJ42:AL42"/>
    <mergeCell ref="AM42:AP42"/>
    <mergeCell ref="Y43:AG43"/>
    <mergeCell ref="AH43:AI43"/>
    <mergeCell ref="AJ43:AL43"/>
    <mergeCell ref="AM43:AP43"/>
    <mergeCell ref="D44:L44"/>
    <mergeCell ref="M44:N44"/>
    <mergeCell ref="O44:Q44"/>
    <mergeCell ref="R44:U44"/>
    <mergeCell ref="Y44:AG44"/>
    <mergeCell ref="AH44:AI44"/>
    <mergeCell ref="AJ44:AL44"/>
    <mergeCell ref="AM44:AP44"/>
    <mergeCell ref="D43:L43"/>
    <mergeCell ref="M43:N43"/>
    <mergeCell ref="O43:Q43"/>
    <mergeCell ref="R43:U43"/>
    <mergeCell ref="AJ45:AL45"/>
    <mergeCell ref="AM45:AP45"/>
    <mergeCell ref="D46:L46"/>
    <mergeCell ref="M46:N46"/>
    <mergeCell ref="O46:Q46"/>
    <mergeCell ref="R46:U46"/>
    <mergeCell ref="Y46:AG46"/>
    <mergeCell ref="AH46:AI46"/>
    <mergeCell ref="AJ46:AL46"/>
    <mergeCell ref="AM46:AP46"/>
    <mergeCell ref="D45:L45"/>
    <mergeCell ref="M45:N45"/>
    <mergeCell ref="O45:Q45"/>
    <mergeCell ref="R45:U45"/>
    <mergeCell ref="Y45:AG45"/>
    <mergeCell ref="AH45:AI45"/>
    <mergeCell ref="D47:L47"/>
    <mergeCell ref="M47:N47"/>
    <mergeCell ref="O47:Q47"/>
    <mergeCell ref="R47:U47"/>
    <mergeCell ref="Y47:AG47"/>
    <mergeCell ref="AH47:AI47"/>
    <mergeCell ref="AJ47:AL47"/>
    <mergeCell ref="AM47:AP47"/>
    <mergeCell ref="D48:L48"/>
    <mergeCell ref="M48:N48"/>
    <mergeCell ref="O48:Q48"/>
    <mergeCell ref="R48:U48"/>
    <mergeCell ref="Y48:AG48"/>
    <mergeCell ref="AH48:AI48"/>
    <mergeCell ref="AJ48:AL48"/>
    <mergeCell ref="AM48:AP48"/>
    <mergeCell ref="Y49:AG49"/>
    <mergeCell ref="AH49:AI49"/>
    <mergeCell ref="AJ49:AL49"/>
    <mergeCell ref="AM49:AP49"/>
    <mergeCell ref="D50:L50"/>
    <mergeCell ref="M50:N50"/>
    <mergeCell ref="O50:Q50"/>
    <mergeCell ref="R50:U50"/>
    <mergeCell ref="Y50:AG50"/>
    <mergeCell ref="AH50:AI50"/>
    <mergeCell ref="AJ50:AL50"/>
    <mergeCell ref="AM50:AP50"/>
    <mergeCell ref="D49:L49"/>
    <mergeCell ref="M49:N49"/>
    <mergeCell ref="O49:Q49"/>
    <mergeCell ref="R49:U49"/>
    <mergeCell ref="D54:L54"/>
    <mergeCell ref="M54:N54"/>
    <mergeCell ref="O54:Q54"/>
    <mergeCell ref="R54:U54"/>
    <mergeCell ref="Y54:AG54"/>
    <mergeCell ref="AH54:AI54"/>
    <mergeCell ref="AJ54:AL54"/>
    <mergeCell ref="AM54:AP54"/>
    <mergeCell ref="D55:L55"/>
    <mergeCell ref="M55:N55"/>
    <mergeCell ref="O55:Q55"/>
    <mergeCell ref="R55:U55"/>
    <mergeCell ref="Y55:AG55"/>
    <mergeCell ref="AH55:AI55"/>
    <mergeCell ref="AJ55:AL55"/>
    <mergeCell ref="AM55:AP55"/>
    <mergeCell ref="D58:L58"/>
    <mergeCell ref="M58:N58"/>
    <mergeCell ref="O58:Q58"/>
    <mergeCell ref="R58:U58"/>
    <mergeCell ref="Y58:AG58"/>
    <mergeCell ref="AH58:AI58"/>
    <mergeCell ref="AJ58:AL58"/>
    <mergeCell ref="AM58:AP58"/>
    <mergeCell ref="D57:L57"/>
    <mergeCell ref="M57:N57"/>
    <mergeCell ref="O57:Q57"/>
    <mergeCell ref="R57:U57"/>
    <mergeCell ref="Y56:AG56"/>
    <mergeCell ref="AH56:AI56"/>
    <mergeCell ref="AJ56:AL56"/>
    <mergeCell ref="AM56:AP56"/>
    <mergeCell ref="O60:Q60"/>
    <mergeCell ref="R60:U60"/>
    <mergeCell ref="Y60:AG60"/>
    <mergeCell ref="AH60:AI60"/>
    <mergeCell ref="AJ60:AL60"/>
    <mergeCell ref="AM60:AP60"/>
    <mergeCell ref="D61:L61"/>
    <mergeCell ref="M61:N61"/>
    <mergeCell ref="O61:Q61"/>
    <mergeCell ref="R61:U61"/>
    <mergeCell ref="Y61:AG61"/>
    <mergeCell ref="AH61:AI61"/>
    <mergeCell ref="AJ61:AL61"/>
    <mergeCell ref="AM61:AP61"/>
    <mergeCell ref="D64:L64"/>
    <mergeCell ref="M64:N64"/>
    <mergeCell ref="O64:Q64"/>
    <mergeCell ref="R64:U64"/>
    <mergeCell ref="Y64:AG64"/>
    <mergeCell ref="AH64:AI64"/>
    <mergeCell ref="AJ64:AL64"/>
    <mergeCell ref="AM64:AP64"/>
    <mergeCell ref="D62:L62"/>
    <mergeCell ref="M62:N62"/>
    <mergeCell ref="O62:Q62"/>
    <mergeCell ref="R62:U62"/>
    <mergeCell ref="D63:L63"/>
    <mergeCell ref="M63:N63"/>
    <mergeCell ref="O63:Q63"/>
    <mergeCell ref="R63:U63"/>
    <mergeCell ref="D65:L65"/>
    <mergeCell ref="M65:N65"/>
    <mergeCell ref="O65:Q65"/>
    <mergeCell ref="R65:U65"/>
    <mergeCell ref="Y65:AG65"/>
    <mergeCell ref="AH65:AI65"/>
    <mergeCell ref="AJ65:AL65"/>
    <mergeCell ref="AM65:AP65"/>
    <mergeCell ref="R66:U66"/>
    <mergeCell ref="AM66:AP66"/>
    <mergeCell ref="D71:I71"/>
    <mergeCell ref="K71:P71"/>
    <mergeCell ref="Y71:AD71"/>
    <mergeCell ref="AF71:AK71"/>
    <mergeCell ref="D72:I72"/>
    <mergeCell ref="K72:P72"/>
    <mergeCell ref="Y72:AD72"/>
    <mergeCell ref="AF72:AK72"/>
    <mergeCell ref="D77:L77"/>
    <mergeCell ref="M77:N77"/>
    <mergeCell ref="O77:Q77"/>
    <mergeCell ref="R77:U77"/>
    <mergeCell ref="Y77:AG77"/>
    <mergeCell ref="AH77:AI77"/>
    <mergeCell ref="AJ77:AL77"/>
    <mergeCell ref="R71:U71"/>
    <mergeCell ref="R72:U72"/>
    <mergeCell ref="AM77:AP77"/>
    <mergeCell ref="D74:I74"/>
    <mergeCell ref="K74:P74"/>
    <mergeCell ref="R74:U74"/>
    <mergeCell ref="D75:I75"/>
    <mergeCell ref="K75:P75"/>
    <mergeCell ref="R75:U75"/>
    <mergeCell ref="Y74:AD74"/>
    <mergeCell ref="AF74:AK74"/>
    <mergeCell ref="AM74:AP74"/>
    <mergeCell ref="Y75:AD75"/>
    <mergeCell ref="AF75:AK75"/>
    <mergeCell ref="AM75:AP75"/>
    <mergeCell ref="D78:L78"/>
    <mergeCell ref="M78:N78"/>
    <mergeCell ref="O78:Q78"/>
    <mergeCell ref="R78:U78"/>
    <mergeCell ref="Y78:AG78"/>
    <mergeCell ref="AH78:AI78"/>
    <mergeCell ref="AJ78:AL78"/>
    <mergeCell ref="AM78:AP78"/>
    <mergeCell ref="D79:L79"/>
    <mergeCell ref="M79:N79"/>
    <mergeCell ref="O79:Q79"/>
    <mergeCell ref="R79:U79"/>
    <mergeCell ref="Y79:AG79"/>
    <mergeCell ref="AH79:AI79"/>
    <mergeCell ref="AJ79:AL79"/>
    <mergeCell ref="AM79:AP79"/>
    <mergeCell ref="D80:L80"/>
    <mergeCell ref="M80:N80"/>
    <mergeCell ref="O80:Q80"/>
    <mergeCell ref="R80:U80"/>
    <mergeCell ref="Y80:AG80"/>
    <mergeCell ref="AH80:AI80"/>
    <mergeCell ref="AJ80:AL80"/>
    <mergeCell ref="AM80:AP80"/>
    <mergeCell ref="D81:L81"/>
    <mergeCell ref="M81:N81"/>
    <mergeCell ref="O81:Q81"/>
    <mergeCell ref="R81:U81"/>
    <mergeCell ref="Y81:AG81"/>
    <mergeCell ref="AH81:AI81"/>
    <mergeCell ref="AJ81:AL81"/>
    <mergeCell ref="AM81:AP81"/>
    <mergeCell ref="D82:L82"/>
    <mergeCell ref="M82:N82"/>
    <mergeCell ref="O82:Q82"/>
    <mergeCell ref="R82:U82"/>
    <mergeCell ref="Y82:AG82"/>
    <mergeCell ref="AH82:AI82"/>
    <mergeCell ref="AJ82:AL82"/>
    <mergeCell ref="AM82:AP82"/>
    <mergeCell ref="D83:L83"/>
    <mergeCell ref="M83:N83"/>
    <mergeCell ref="O83:Q83"/>
    <mergeCell ref="R83:U83"/>
    <mergeCell ref="Y83:AG83"/>
    <mergeCell ref="AH83:AI83"/>
    <mergeCell ref="AJ83:AL83"/>
    <mergeCell ref="AM83:AP83"/>
    <mergeCell ref="D84:L84"/>
    <mergeCell ref="M84:N84"/>
    <mergeCell ref="O84:Q84"/>
    <mergeCell ref="R84:U84"/>
    <mergeCell ref="Y84:AG84"/>
    <mergeCell ref="AH84:AI84"/>
    <mergeCell ref="AJ84:AL84"/>
    <mergeCell ref="AM84:AP84"/>
    <mergeCell ref="D85:L85"/>
    <mergeCell ref="M85:N85"/>
    <mergeCell ref="O85:Q85"/>
    <mergeCell ref="R85:U85"/>
    <mergeCell ref="Y85:AG85"/>
    <mergeCell ref="AH85:AI85"/>
    <mergeCell ref="AJ85:AL85"/>
    <mergeCell ref="AM85:AP85"/>
    <mergeCell ref="D86:L86"/>
    <mergeCell ref="M86:N86"/>
    <mergeCell ref="O86:Q86"/>
    <mergeCell ref="R86:U86"/>
    <mergeCell ref="Y86:AG86"/>
    <mergeCell ref="AH86:AI86"/>
    <mergeCell ref="AJ86:AL86"/>
    <mergeCell ref="AM86:AP86"/>
    <mergeCell ref="D87:L87"/>
    <mergeCell ref="M87:N87"/>
    <mergeCell ref="O87:Q87"/>
    <mergeCell ref="R87:U87"/>
    <mergeCell ref="Y87:AG87"/>
    <mergeCell ref="AH87:AI87"/>
    <mergeCell ref="AJ87:AL87"/>
    <mergeCell ref="AM87:AP87"/>
    <mergeCell ref="D88:L88"/>
    <mergeCell ref="M88:N88"/>
    <mergeCell ref="O88:Q88"/>
    <mergeCell ref="R88:U88"/>
    <mergeCell ref="Y88:AG88"/>
    <mergeCell ref="AH88:AI88"/>
    <mergeCell ref="AJ88:AL88"/>
    <mergeCell ref="AM88:AP88"/>
    <mergeCell ref="D89:L89"/>
    <mergeCell ref="M89:N89"/>
    <mergeCell ref="O89:Q89"/>
    <mergeCell ref="R89:U89"/>
    <mergeCell ref="Y89:AG89"/>
    <mergeCell ref="AH89:AI89"/>
    <mergeCell ref="AJ89:AL89"/>
    <mergeCell ref="AM89:AP89"/>
    <mergeCell ref="D90:L90"/>
    <mergeCell ref="M90:N90"/>
    <mergeCell ref="O90:Q90"/>
    <mergeCell ref="R90:U90"/>
    <mergeCell ref="Y90:AG90"/>
    <mergeCell ref="AH90:AI90"/>
    <mergeCell ref="AJ90:AL90"/>
    <mergeCell ref="AM90:AP90"/>
    <mergeCell ref="D91:L91"/>
    <mergeCell ref="M91:N91"/>
    <mergeCell ref="O91:Q91"/>
    <mergeCell ref="R91:U91"/>
    <mergeCell ref="Y91:AG91"/>
    <mergeCell ref="AH91:AI91"/>
    <mergeCell ref="AJ91:AL91"/>
    <mergeCell ref="AM91:AP91"/>
    <mergeCell ref="D92:L92"/>
    <mergeCell ref="M92:N92"/>
    <mergeCell ref="O92:Q92"/>
    <mergeCell ref="R92:U92"/>
    <mergeCell ref="Y92:AG92"/>
    <mergeCell ref="AH92:AI92"/>
    <mergeCell ref="AJ92:AL92"/>
    <mergeCell ref="AM92:AP92"/>
    <mergeCell ref="D93:L93"/>
    <mergeCell ref="M93:N93"/>
    <mergeCell ref="O93:Q93"/>
    <mergeCell ref="R93:U93"/>
    <mergeCell ref="Y93:AG93"/>
    <mergeCell ref="AH93:AI93"/>
    <mergeCell ref="AJ93:AL93"/>
    <mergeCell ref="AM93:AP93"/>
    <mergeCell ref="D94:L94"/>
    <mergeCell ref="M94:N94"/>
    <mergeCell ref="O94:Q94"/>
    <mergeCell ref="R94:U94"/>
    <mergeCell ref="Y94:AG94"/>
    <mergeCell ref="AH94:AI94"/>
    <mergeCell ref="AJ94:AL94"/>
    <mergeCell ref="AM94:AP94"/>
    <mergeCell ref="D95:L95"/>
    <mergeCell ref="M95:N95"/>
    <mergeCell ref="O95:Q95"/>
    <mergeCell ref="R95:U95"/>
    <mergeCell ref="Y95:AG95"/>
    <mergeCell ref="AH95:AI95"/>
    <mergeCell ref="AJ95:AL95"/>
    <mergeCell ref="AM95:AP95"/>
    <mergeCell ref="D96:L96"/>
    <mergeCell ref="M96:N96"/>
    <mergeCell ref="O96:Q96"/>
    <mergeCell ref="R96:U96"/>
    <mergeCell ref="Y96:AG96"/>
    <mergeCell ref="AH96:AI96"/>
    <mergeCell ref="AJ96:AL96"/>
    <mergeCell ref="AM96:AP96"/>
    <mergeCell ref="D97:L97"/>
    <mergeCell ref="M97:N97"/>
    <mergeCell ref="O97:Q97"/>
    <mergeCell ref="R97:U97"/>
    <mergeCell ref="Y97:AG97"/>
    <mergeCell ref="AH97:AI97"/>
    <mergeCell ref="AJ97:AL97"/>
    <mergeCell ref="AM97:AP97"/>
    <mergeCell ref="D98:L98"/>
    <mergeCell ref="M98:N98"/>
    <mergeCell ref="O98:Q98"/>
    <mergeCell ref="R98:U98"/>
    <mergeCell ref="Y98:AG98"/>
    <mergeCell ref="AH98:AI98"/>
    <mergeCell ref="AJ98:AL98"/>
    <mergeCell ref="AM98:AP98"/>
    <mergeCell ref="D99:L99"/>
    <mergeCell ref="M99:N99"/>
    <mergeCell ref="O99:Q99"/>
    <mergeCell ref="R99:U99"/>
    <mergeCell ref="Y99:AG99"/>
    <mergeCell ref="AH99:AI99"/>
    <mergeCell ref="AJ99:AL99"/>
    <mergeCell ref="AM99:AP99"/>
    <mergeCell ref="D100:L100"/>
    <mergeCell ref="M100:N100"/>
    <mergeCell ref="O100:Q100"/>
    <mergeCell ref="R100:U100"/>
    <mergeCell ref="Y100:AG100"/>
    <mergeCell ref="AH100:AI100"/>
    <mergeCell ref="AJ100:AL100"/>
    <mergeCell ref="AM100:AP100"/>
    <mergeCell ref="D101:L101"/>
    <mergeCell ref="M101:N101"/>
    <mergeCell ref="O101:Q101"/>
    <mergeCell ref="R101:U101"/>
    <mergeCell ref="Y101:AG101"/>
    <mergeCell ref="AH101:AI101"/>
    <mergeCell ref="AJ101:AL101"/>
    <mergeCell ref="AM101:AP101"/>
    <mergeCell ref="D102:L102"/>
    <mergeCell ref="M102:N102"/>
    <mergeCell ref="O102:Q102"/>
    <mergeCell ref="R102:U102"/>
    <mergeCell ref="Y102:AG102"/>
    <mergeCell ref="AH102:AI102"/>
    <mergeCell ref="AJ102:AL102"/>
    <mergeCell ref="AM102:AP102"/>
    <mergeCell ref="D103:L103"/>
    <mergeCell ref="M103:N103"/>
    <mergeCell ref="O103:Q103"/>
    <mergeCell ref="R103:U103"/>
    <mergeCell ref="Y103:AG103"/>
    <mergeCell ref="AH103:AI103"/>
    <mergeCell ref="AJ103:AL103"/>
    <mergeCell ref="AM103:AP103"/>
    <mergeCell ref="D104:L104"/>
    <mergeCell ref="M104:N104"/>
    <mergeCell ref="O104:Q104"/>
    <mergeCell ref="R104:U104"/>
    <mergeCell ref="Y104:AG104"/>
    <mergeCell ref="AH104:AI104"/>
    <mergeCell ref="AJ104:AL104"/>
    <mergeCell ref="AM104:AP104"/>
    <mergeCell ref="D105:L105"/>
    <mergeCell ref="M105:N105"/>
    <mergeCell ref="O105:Q105"/>
    <mergeCell ref="R105:U105"/>
    <mergeCell ref="Y105:AG105"/>
    <mergeCell ref="AH105:AI105"/>
    <mergeCell ref="AJ105:AL105"/>
    <mergeCell ref="AM105:AP105"/>
    <mergeCell ref="D106:L106"/>
    <mergeCell ref="M106:N106"/>
    <mergeCell ref="O106:Q106"/>
    <mergeCell ref="R106:U106"/>
    <mergeCell ref="Y106:AG106"/>
    <mergeCell ref="AH106:AI106"/>
    <mergeCell ref="AJ106:AL106"/>
    <mergeCell ref="AM106:AP106"/>
    <mergeCell ref="D107:L107"/>
    <mergeCell ref="M107:N107"/>
    <mergeCell ref="O107:Q107"/>
    <mergeCell ref="R107:U107"/>
    <mergeCell ref="Y107:AG107"/>
    <mergeCell ref="AH107:AI107"/>
    <mergeCell ref="AJ107:AL107"/>
    <mergeCell ref="AM107:AP107"/>
    <mergeCell ref="D108:L108"/>
    <mergeCell ref="M108:N108"/>
    <mergeCell ref="O108:Q108"/>
    <mergeCell ref="R108:U108"/>
    <mergeCell ref="Y108:AG108"/>
    <mergeCell ref="AH108:AI108"/>
    <mergeCell ref="AJ108:AL108"/>
    <mergeCell ref="AM108:AP108"/>
    <mergeCell ref="D109:L109"/>
    <mergeCell ref="M109:N109"/>
    <mergeCell ref="O109:Q109"/>
    <mergeCell ref="R109:U109"/>
    <mergeCell ref="Y109:AG109"/>
    <mergeCell ref="AH109:AI109"/>
    <mergeCell ref="AJ109:AL109"/>
    <mergeCell ref="AM109:AP109"/>
    <mergeCell ref="D110:L110"/>
    <mergeCell ref="M110:N110"/>
    <mergeCell ref="O110:Q110"/>
    <mergeCell ref="R110:U110"/>
    <mergeCell ref="Y110:AG110"/>
    <mergeCell ref="AH110:AI110"/>
    <mergeCell ref="AJ110:AL110"/>
    <mergeCell ref="AM110:AP110"/>
    <mergeCell ref="D111:L111"/>
    <mergeCell ref="M111:N111"/>
    <mergeCell ref="O111:Q111"/>
    <mergeCell ref="R111:U111"/>
    <mergeCell ref="Y111:AG111"/>
    <mergeCell ref="AH111:AI111"/>
    <mergeCell ref="AJ111:AL111"/>
    <mergeCell ref="AM111:AP111"/>
    <mergeCell ref="D112:L112"/>
    <mergeCell ref="M112:N112"/>
    <mergeCell ref="O112:Q112"/>
    <mergeCell ref="R112:U112"/>
    <mergeCell ref="Y112:AG112"/>
    <mergeCell ref="AH112:AI112"/>
    <mergeCell ref="AJ112:AL112"/>
    <mergeCell ref="AM112:AP112"/>
    <mergeCell ref="D113:L113"/>
    <mergeCell ref="M113:N113"/>
    <mergeCell ref="O113:Q113"/>
    <mergeCell ref="R113:U113"/>
    <mergeCell ref="Y113:AG113"/>
    <mergeCell ref="AH113:AI113"/>
    <mergeCell ref="AJ113:AL113"/>
    <mergeCell ref="AM113:AP113"/>
    <mergeCell ref="AH114:AI114"/>
    <mergeCell ref="AJ114:AL114"/>
    <mergeCell ref="AM114:AP114"/>
    <mergeCell ref="D115:L115"/>
    <mergeCell ref="M115:N115"/>
    <mergeCell ref="O115:Q115"/>
    <mergeCell ref="R115:U115"/>
    <mergeCell ref="Y115:AG115"/>
    <mergeCell ref="AH115:AI115"/>
    <mergeCell ref="AJ115:AL115"/>
    <mergeCell ref="AM115:AP115"/>
    <mergeCell ref="C12:H12"/>
    <mergeCell ref="R118:U118"/>
    <mergeCell ref="AM118:AP118"/>
    <mergeCell ref="D116:L116"/>
    <mergeCell ref="M116:N116"/>
    <mergeCell ref="O116:Q116"/>
    <mergeCell ref="R116:U116"/>
    <mergeCell ref="Y116:AG116"/>
    <mergeCell ref="AH116:AI116"/>
    <mergeCell ref="AJ116:AL116"/>
    <mergeCell ref="AM116:AP116"/>
    <mergeCell ref="D117:L117"/>
    <mergeCell ref="M117:N117"/>
    <mergeCell ref="O117:Q117"/>
    <mergeCell ref="R117:U117"/>
    <mergeCell ref="Y117:AG117"/>
    <mergeCell ref="AH117:AI117"/>
    <mergeCell ref="AJ117:AL117"/>
    <mergeCell ref="AM117:AP117"/>
    <mergeCell ref="D114:L114"/>
    <mergeCell ref="M114:N114"/>
    <mergeCell ref="O114:Q114"/>
    <mergeCell ref="R114:U114"/>
    <mergeCell ref="Y114:AG114"/>
  </mergeCells>
  <conditionalFormatting sqref="AQ2:AR3">
    <cfRule type="cellIs" dxfId="241" priority="3" operator="equal">
      <formula>1</formula>
    </cfRule>
    <cfRule type="cellIs" dxfId="240" priority="4" operator="between">
      <formula>0.51</formula>
      <formula>0.99</formula>
    </cfRule>
    <cfRule type="cellIs" dxfId="239" priority="5" operator="lessThanOrEqual">
      <formula>0.5</formula>
    </cfRule>
  </conditionalFormatting>
  <conditionalFormatting sqref="AH2 AL2">
    <cfRule type="expression" dxfId="238" priority="1">
      <formula>OR(PROJSTATUS=PROJSTATELI,PROJSTATUS=PROJSTATEXP,PROJSTATUS=PROJSTATUNDER)</formula>
    </cfRule>
    <cfRule type="expression" dxfId="237" priority="2">
      <formula>PROJSTATUS=PROJSTATFILLINITIAL</formula>
    </cfRule>
    <cfRule type="expression" dxfId="236" priority="6">
      <formula>PROJSTATUS=PROJSTATPREAPPROVE</formula>
    </cfRule>
    <cfRule type="expression" dxfId="235" priority="7">
      <formula>OR(PROJSTATUS=PROJSTATSSUBMITINITIAL,PROJSTATUS=PROJSTATREVIEW)</formula>
    </cfRule>
  </conditionalFormatting>
  <dataValidations count="5">
    <dataValidation type="list" allowBlank="1" showInputMessage="1" sqref="Y72:AD72 D20:I20 Y20:AD20 D72:I72" xr:uid="{00000000-0002-0000-1600-000000000000}">
      <formula1>NCASHRAETYPE</formula1>
    </dataValidation>
    <dataValidation type="list" allowBlank="1" showInputMessage="1" sqref="C12:H12" xr:uid="{00000000-0002-0000-1600-000001000000}">
      <formula1>NCASHRAE90</formula1>
    </dataValidation>
    <dataValidation type="list" allowBlank="1" showInputMessage="1" showErrorMessage="1" sqref="AW16:AW17" xr:uid="{00000000-0002-0000-1600-000002000000}">
      <formula1>ENDUSECAT</formula1>
    </dataValidation>
    <dataValidation type="decimal" operator="greaterThan" allowBlank="1" showInputMessage="1" showErrorMessage="1" sqref="J15:O15 C15:H15" xr:uid="{00000000-0002-0000-1600-000003000000}">
      <formula1>0</formula1>
    </dataValidation>
    <dataValidation type="decimal" operator="lessThanOrEqual" allowBlank="1" showInputMessage="1" showErrorMessage="1" sqref="R20:U20 AM20:AP20 R72:U72 AM72:AP72" xr:uid="{00000000-0002-0000-1600-000004000000}">
      <formula1>8760</formula1>
    </dataValidation>
  </dataValidations>
  <hyperlinks>
    <hyperlink ref="B202" r:id="rId1" display="NIPSCO.Savings@LMCO.com" xr:uid="{00000000-0004-0000-1600-000000000000}"/>
  </hyperlinks>
  <pageMargins left="0.25" right="0.25" top="0.25" bottom="0.25" header="0.25" footer="0.25"/>
  <pageSetup scale="65" fitToHeight="0" orientation="landscape"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pageSetUpPr fitToPage="1"/>
  </sheetPr>
  <dimension ref="B1:BZ203"/>
  <sheetViews>
    <sheetView showGridLines="0" showRowColHeaders="0" zoomScale="85" zoomScaleNormal="85" workbookViewId="0">
      <selection activeCell="C16" sqref="C16:M17"/>
    </sheetView>
  </sheetViews>
  <sheetFormatPr defaultColWidth="9.140625" defaultRowHeight="0" customHeight="1" zeroHeight="1" x14ac:dyDescent="0.25"/>
  <cols>
    <col min="1" max="44" width="4.7109375" customWidth="1"/>
    <col min="45" max="45" width="4.7109375" style="135" customWidth="1"/>
    <col min="46" max="46" width="4.7109375" style="135" hidden="1" customWidth="1"/>
    <col min="47" max="71" width="9.140625" style="135" hidden="1" customWidth="1"/>
    <col min="72" max="78" width="9.140625" style="135" customWidth="1"/>
  </cols>
  <sheetData>
    <row r="1" spans="2:78" ht="15.95" customHeight="1" x14ac:dyDescent="0.3">
      <c r="AH1" s="711" t="s">
        <v>494</v>
      </c>
      <c r="AI1" s="712"/>
      <c r="AJ1" s="712"/>
      <c r="AK1" s="712"/>
      <c r="AL1" s="723" t="s">
        <v>911</v>
      </c>
      <c r="AM1" s="723"/>
      <c r="AN1" s="723"/>
      <c r="AO1" s="723"/>
      <c r="AP1" s="723"/>
      <c r="AQ1" s="717" t="s">
        <v>499</v>
      </c>
      <c r="AR1" s="718"/>
    </row>
    <row r="2" spans="2:78" ht="15.95" customHeight="1" x14ac:dyDescent="0.25">
      <c r="AH2" s="713" t="str">
        <f ca="1">INCENSTATUS</f>
        <v>---</v>
      </c>
      <c r="AI2" s="714"/>
      <c r="AJ2" s="714"/>
      <c r="AK2" s="714"/>
      <c r="AL2" s="724" t="str">
        <f ca="1">PROJSTATUS</f>
        <v>Please Complete Initial Application</v>
      </c>
      <c r="AM2" s="724"/>
      <c r="AN2" s="724"/>
      <c r="AO2" s="724"/>
      <c r="AP2" s="724"/>
      <c r="AQ2" s="719">
        <f ca="1">PROGRESSSTATUS</f>
        <v>0</v>
      </c>
      <c r="AR2" s="720"/>
    </row>
    <row r="3" spans="2:78" ht="15.95" customHeight="1" x14ac:dyDescent="0.25">
      <c r="AH3" s="715"/>
      <c r="AI3" s="716"/>
      <c r="AJ3" s="716"/>
      <c r="AK3" s="716"/>
      <c r="AL3" s="725"/>
      <c r="AM3" s="725"/>
      <c r="AN3" s="725"/>
      <c r="AO3" s="725"/>
      <c r="AP3" s="725"/>
      <c r="AQ3" s="721"/>
      <c r="AR3" s="722"/>
    </row>
    <row r="4" spans="2:78" ht="15.95" customHeight="1" x14ac:dyDescent="0.25"/>
    <row r="5" spans="2:78" ht="15.95" customHeight="1" x14ac:dyDescent="0.25"/>
    <row r="6" spans="2:78" ht="15.95" customHeight="1" x14ac:dyDescent="0.25">
      <c r="AU6" s="145" t="s">
        <v>1372</v>
      </c>
      <c r="AV6" s="145">
        <f>PROJID</f>
        <v>0</v>
      </c>
    </row>
    <row r="7" spans="2:78" ht="15.95" customHeight="1" x14ac:dyDescent="0.25"/>
    <row r="8" spans="2:78" ht="15.95" customHeight="1" x14ac:dyDescent="0.25"/>
    <row r="9" spans="2:78" s="63" customFormat="1" ht="15.95" customHeight="1" x14ac:dyDescent="0.25">
      <c r="B9" s="135"/>
      <c r="C9" s="135"/>
      <c r="D9" s="135"/>
      <c r="E9" s="135"/>
      <c r="F9" s="135"/>
      <c r="G9" s="135"/>
      <c r="H9" s="135"/>
      <c r="I9" s="135"/>
      <c r="J9" s="135"/>
      <c r="K9" s="135"/>
      <c r="L9" s="135"/>
      <c r="M9" s="135"/>
      <c r="N9" s="135"/>
      <c r="O9" s="135"/>
      <c r="P9" s="135"/>
      <c r="Q9" s="135"/>
      <c r="R9" s="971" t="str">
        <f>CONCATENATE(M3S4," ","Summary")</f>
        <v>M3S4 Summary</v>
      </c>
      <c r="S9" s="971"/>
      <c r="T9" s="971"/>
      <c r="U9" s="971"/>
      <c r="V9" s="971"/>
      <c r="W9" s="971"/>
      <c r="X9" s="971"/>
      <c r="Y9" s="971"/>
      <c r="Z9" s="971"/>
      <c r="AA9" s="971"/>
      <c r="AB9" s="971"/>
      <c r="AC9" s="971"/>
      <c r="AD9" s="135"/>
      <c r="AE9" s="135"/>
      <c r="AF9" s="135"/>
      <c r="AG9" s="135"/>
      <c r="AH9" s="135"/>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5"/>
      <c r="BG9" s="135"/>
      <c r="BH9" s="135"/>
      <c r="BI9" s="135"/>
      <c r="BJ9" s="135"/>
      <c r="BK9" s="135"/>
      <c r="BL9" s="135"/>
      <c r="BM9" s="135"/>
      <c r="BN9" s="135"/>
      <c r="BO9" s="135"/>
      <c r="BP9" s="135"/>
      <c r="BQ9" s="135"/>
      <c r="BR9" s="135"/>
      <c r="BS9" s="135"/>
      <c r="BT9" s="135"/>
      <c r="BU9" s="135"/>
      <c r="BV9" s="135"/>
      <c r="BW9" s="135"/>
      <c r="BX9" s="135"/>
      <c r="BY9" s="135"/>
      <c r="BZ9" s="135"/>
    </row>
    <row r="10" spans="2:78" ht="15.95" customHeight="1" x14ac:dyDescent="0.25">
      <c r="B10" s="135"/>
      <c r="C10" s="135"/>
      <c r="D10" s="135"/>
      <c r="E10" s="135"/>
      <c r="F10" s="135"/>
      <c r="G10" s="135"/>
      <c r="H10" s="135"/>
      <c r="I10" s="135"/>
      <c r="J10" s="135"/>
      <c r="K10" s="135"/>
      <c r="L10" s="135"/>
      <c r="M10" s="135"/>
      <c r="N10" s="135"/>
      <c r="O10" s="135"/>
      <c r="P10" s="135"/>
      <c r="Q10" s="135"/>
      <c r="R10" s="971"/>
      <c r="S10" s="971"/>
      <c r="T10" s="971"/>
      <c r="U10" s="971"/>
      <c r="V10" s="971"/>
      <c r="W10" s="971"/>
      <c r="X10" s="971"/>
      <c r="Y10" s="971"/>
      <c r="Z10" s="971"/>
      <c r="AA10" s="971"/>
      <c r="AB10" s="971"/>
      <c r="AC10" s="971"/>
      <c r="AD10" s="135"/>
      <c r="AE10" s="135"/>
      <c r="AF10" s="135"/>
      <c r="AG10" s="135"/>
      <c r="AH10" s="135"/>
      <c r="AI10" s="135"/>
      <c r="AJ10" s="135"/>
      <c r="AK10" s="135"/>
      <c r="AL10" s="135"/>
      <c r="AM10" s="135"/>
      <c r="AN10" s="135"/>
      <c r="AO10" s="135"/>
      <c r="AP10" s="135"/>
      <c r="AQ10" s="135"/>
      <c r="AR10" s="135"/>
    </row>
    <row r="11" spans="2:78" ht="15.95" customHeight="1" x14ac:dyDescent="0.3">
      <c r="B11" s="135"/>
      <c r="C11" s="135"/>
      <c r="D11" s="135"/>
      <c r="E11" s="135"/>
      <c r="F11" s="135"/>
      <c r="G11" s="135"/>
      <c r="H11" s="135"/>
      <c r="I11" s="135"/>
      <c r="J11" s="135"/>
      <c r="K11" s="135"/>
      <c r="L11" s="135"/>
      <c r="M11" s="135"/>
      <c r="N11" s="135"/>
      <c r="O11" s="135"/>
      <c r="P11" s="135"/>
      <c r="Q11" s="135"/>
      <c r="R11" s="974" t="s">
        <v>69</v>
      </c>
      <c r="S11" s="974"/>
      <c r="T11" s="974"/>
      <c r="U11" s="974"/>
      <c r="V11" s="974" t="s">
        <v>70</v>
      </c>
      <c r="W11" s="974"/>
      <c r="X11" s="974"/>
      <c r="Y11" s="974"/>
      <c r="Z11" s="974" t="s">
        <v>71</v>
      </c>
      <c r="AA11" s="974"/>
      <c r="AB11" s="974"/>
      <c r="AC11" s="974"/>
      <c r="AD11" s="135"/>
      <c r="AE11" s="135"/>
      <c r="AF11" s="135"/>
      <c r="AG11" s="135"/>
      <c r="AH11" s="135"/>
      <c r="AI11" s="135"/>
      <c r="AJ11" s="135"/>
      <c r="AK11" s="135"/>
      <c r="AL11" s="135"/>
      <c r="AM11" s="135"/>
      <c r="AN11" s="135"/>
      <c r="AO11" s="135"/>
      <c r="AP11" s="135"/>
      <c r="AQ11" s="135"/>
      <c r="AR11" s="135"/>
    </row>
    <row r="12" spans="2:78" ht="15.95" customHeight="1" x14ac:dyDescent="0.25">
      <c r="B12" s="135"/>
      <c r="C12" s="135"/>
      <c r="D12" s="135"/>
      <c r="E12" s="135"/>
      <c r="F12" s="135"/>
      <c r="G12" s="135"/>
      <c r="H12" s="135"/>
      <c r="I12" s="135"/>
      <c r="J12" s="135"/>
      <c r="K12" s="135"/>
      <c r="L12" s="135"/>
      <c r="M12" s="135"/>
      <c r="N12" s="135"/>
      <c r="O12" s="135"/>
      <c r="P12" s="135"/>
      <c r="Q12" s="135"/>
      <c r="R12" s="972">
        <f>SUM(AO16:AQ199)</f>
        <v>0</v>
      </c>
      <c r="S12" s="972"/>
      <c r="T12" s="972"/>
      <c r="U12" s="972"/>
      <c r="V12" s="972">
        <f>AU200</f>
        <v>0</v>
      </c>
      <c r="W12" s="972"/>
      <c r="X12" s="972"/>
      <c r="Y12" s="972"/>
      <c r="Z12" s="973">
        <f>SUM(AK16:AN199)</f>
        <v>0</v>
      </c>
      <c r="AA12" s="973"/>
      <c r="AB12" s="973"/>
      <c r="AC12" s="973"/>
      <c r="AD12" s="135"/>
      <c r="AE12" s="135"/>
      <c r="AF12" s="135"/>
      <c r="AG12" s="135"/>
      <c r="AH12" s="135"/>
      <c r="AI12" s="135"/>
      <c r="AJ12" s="135"/>
      <c r="AK12" s="135"/>
      <c r="AL12" s="135"/>
      <c r="AM12" s="135"/>
      <c r="AN12" s="135"/>
      <c r="AO12" s="135"/>
      <c r="AP12" s="135"/>
      <c r="AQ12" s="135"/>
      <c r="AR12" s="135"/>
    </row>
    <row r="13" spans="2:78" s="63" customFormat="1" ht="15.95" customHeight="1" x14ac:dyDescent="0.25">
      <c r="B13" s="135"/>
      <c r="C13" s="135"/>
      <c r="D13" s="135"/>
      <c r="E13" s="135"/>
      <c r="F13" s="135"/>
      <c r="G13" s="135"/>
      <c r="H13" s="135"/>
      <c r="I13" s="135"/>
      <c r="J13" s="135"/>
      <c r="K13" s="135"/>
      <c r="L13" s="135"/>
      <c r="M13" s="135"/>
      <c r="N13" s="135"/>
      <c r="O13" s="135"/>
      <c r="P13" s="135"/>
      <c r="Q13" s="135"/>
      <c r="R13" s="972"/>
      <c r="S13" s="972"/>
      <c r="T13" s="972"/>
      <c r="U13" s="972"/>
      <c r="V13" s="972"/>
      <c r="W13" s="972"/>
      <c r="X13" s="972"/>
      <c r="Y13" s="972"/>
      <c r="Z13" s="973"/>
      <c r="AA13" s="973"/>
      <c r="AB13" s="973"/>
      <c r="AC13" s="973"/>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row>
    <row r="14" spans="2:78" ht="15.95" customHeight="1" x14ac:dyDescent="0.25">
      <c r="B14" s="135"/>
      <c r="C14" s="1060" t="s">
        <v>1298</v>
      </c>
      <c r="D14" s="1060"/>
      <c r="E14" s="1060"/>
      <c r="F14" s="1060"/>
      <c r="G14" s="1060"/>
      <c r="H14" s="1060"/>
      <c r="I14" s="1060"/>
      <c r="J14" s="1060"/>
      <c r="K14" s="1060"/>
      <c r="L14" s="1060"/>
      <c r="M14" s="1060"/>
      <c r="N14" s="1060" t="s">
        <v>100</v>
      </c>
      <c r="O14" s="1060"/>
      <c r="P14" s="1060"/>
      <c r="Q14" s="1060"/>
      <c r="R14" s="1060"/>
      <c r="S14" s="1060"/>
      <c r="T14" s="1060" t="s">
        <v>99</v>
      </c>
      <c r="U14" s="1060"/>
      <c r="V14" s="1060" t="s">
        <v>91</v>
      </c>
      <c r="W14" s="1060"/>
      <c r="X14" s="1060" t="s">
        <v>108</v>
      </c>
      <c r="Y14" s="1060"/>
      <c r="Z14" s="1060"/>
      <c r="AA14" s="1060"/>
      <c r="AB14" s="1060" t="s">
        <v>101</v>
      </c>
      <c r="AC14" s="1060"/>
      <c r="AD14" s="1060"/>
      <c r="AE14" s="1060" t="s">
        <v>96</v>
      </c>
      <c r="AF14" s="1060"/>
      <c r="AG14" s="1060" t="s">
        <v>97</v>
      </c>
      <c r="AH14" s="1060"/>
      <c r="AI14" s="1060" t="s">
        <v>94</v>
      </c>
      <c r="AJ14" s="1060"/>
      <c r="AK14" s="1060" t="s">
        <v>93</v>
      </c>
      <c r="AL14" s="1060"/>
      <c r="AM14" s="1060"/>
      <c r="AN14" s="1060"/>
      <c r="AO14" s="1060" t="s">
        <v>92</v>
      </c>
      <c r="AP14" s="1060"/>
      <c r="AQ14" s="1060"/>
      <c r="AR14" s="135"/>
      <c r="AU14" s="1060" t="s">
        <v>216</v>
      </c>
      <c r="AV14" s="1060" t="s">
        <v>217</v>
      </c>
    </row>
    <row r="15" spans="2:78" ht="15.95" customHeight="1" thickBot="1" x14ac:dyDescent="0.3">
      <c r="B15" s="135"/>
      <c r="C15" s="1061"/>
      <c r="D15" s="1061"/>
      <c r="E15" s="1061"/>
      <c r="F15" s="1061"/>
      <c r="G15" s="1061"/>
      <c r="H15" s="1061"/>
      <c r="I15" s="1061"/>
      <c r="J15" s="1061"/>
      <c r="K15" s="1061"/>
      <c r="L15" s="1061"/>
      <c r="M15" s="1061"/>
      <c r="N15" s="1061"/>
      <c r="O15" s="1061"/>
      <c r="P15" s="1061"/>
      <c r="Q15" s="1061"/>
      <c r="R15" s="1061"/>
      <c r="S15" s="1061"/>
      <c r="T15" s="1061"/>
      <c r="U15" s="1061"/>
      <c r="V15" s="1061"/>
      <c r="W15" s="1061"/>
      <c r="X15" s="1061"/>
      <c r="Y15" s="1061"/>
      <c r="Z15" s="1061"/>
      <c r="AA15" s="1061"/>
      <c r="AB15" s="1061"/>
      <c r="AC15" s="1061"/>
      <c r="AD15" s="1061"/>
      <c r="AE15" s="1061"/>
      <c r="AF15" s="1061"/>
      <c r="AG15" s="1061"/>
      <c r="AH15" s="1061"/>
      <c r="AI15" s="1061"/>
      <c r="AJ15" s="1061"/>
      <c r="AK15" s="1061"/>
      <c r="AL15" s="1061"/>
      <c r="AM15" s="1061"/>
      <c r="AN15" s="1061"/>
      <c r="AO15" s="1061"/>
      <c r="AP15" s="1061"/>
      <c r="AQ15" s="1061"/>
      <c r="AR15" s="135"/>
      <c r="AU15" s="1061"/>
      <c r="AV15" s="1061"/>
    </row>
    <row r="16" spans="2:78" ht="15.95" customHeight="1" x14ac:dyDescent="0.25">
      <c r="B16" s="1064">
        <v>1</v>
      </c>
      <c r="C16" s="1028"/>
      <c r="D16" s="1029"/>
      <c r="E16" s="1029"/>
      <c r="F16" s="1029"/>
      <c r="G16" s="1029"/>
      <c r="H16" s="1029"/>
      <c r="I16" s="1029"/>
      <c r="J16" s="1029"/>
      <c r="K16" s="1029"/>
      <c r="L16" s="1029"/>
      <c r="M16" s="1030"/>
      <c r="N16" s="1034" t="str">
        <f>IF(C16="","",INDEX(PMEREFRI[Base Desc 1],MATCH(C16,PMEREFRI[Eff Desc 1],0)))</f>
        <v/>
      </c>
      <c r="O16" s="1035"/>
      <c r="P16" s="1035"/>
      <c r="Q16" s="1035"/>
      <c r="R16" s="1035"/>
      <c r="S16" s="1036"/>
      <c r="T16" s="1056" t="str">
        <f>IF(C16="","",INDEX(PMEREFRI[Unit of Measure],MATCH(C16,PMEREFRI[Eff Desc 1],0)))</f>
        <v/>
      </c>
      <c r="U16" s="1057"/>
      <c r="V16" s="1044"/>
      <c r="W16" s="1045"/>
      <c r="X16" s="1028"/>
      <c r="Y16" s="1029"/>
      <c r="Z16" s="1029"/>
      <c r="AA16" s="1030"/>
      <c r="AB16" s="1028"/>
      <c r="AC16" s="1029"/>
      <c r="AD16" s="1030"/>
      <c r="AE16" s="1048"/>
      <c r="AF16" s="1049"/>
      <c r="AG16" s="1048"/>
      <c r="AH16" s="1049"/>
      <c r="AI16" s="1022" t="str">
        <f>IF(C16="","",INDEX(PMEREFRI[Inc Rate Unit],MATCH(C16,PMEREFRI[Eff Desc 1],0)))</f>
        <v/>
      </c>
      <c r="AJ16" s="1024"/>
      <c r="AK16" s="1016" t="str">
        <f>IF(OR(C16="",V16="",X16="",AB16="",AE16="",AG16=""),"",ROUND(V16*INDEX(PMEREFRI[Savings per Unit kWh],MATCH(C16,PMEREFRI[Eff Desc 1],0)),0))</f>
        <v/>
      </c>
      <c r="AL16" s="1017"/>
      <c r="AM16" s="1017"/>
      <c r="AN16" s="1018"/>
      <c r="AO16" s="1022" t="str">
        <f>IF(OR(C16="",V16="",X16="",AB16="",AE16="",AG16=""),"",MIN(AU16,ROUND(V16*AI16,2)))</f>
        <v/>
      </c>
      <c r="AP16" s="1023"/>
      <c r="AQ16" s="1024"/>
      <c r="AR16" s="135"/>
      <c r="AU16" s="1003" t="str">
        <f>IF(OR(,V16="",X16="",AB16="",AE16="",AG16=""),"",ROUND((AE16+AG16)*V16,2))</f>
        <v/>
      </c>
      <c r="AV16" s="1065" t="str">
        <f>IF(OR(C16="",V16="",X16="",AB16="",AE16="",AG16=""),"",ROUND(V16*INDEX(PMEREFRI[Savings per Unit kW],MATCH(C16,PMEREFRI[Eff Desc 1],0)),4))</f>
        <v/>
      </c>
    </row>
    <row r="17" spans="2:48" ht="15.95" customHeight="1" x14ac:dyDescent="0.25">
      <c r="B17" s="1064"/>
      <c r="C17" s="1031"/>
      <c r="D17" s="1032"/>
      <c r="E17" s="1032"/>
      <c r="F17" s="1032"/>
      <c r="G17" s="1032"/>
      <c r="H17" s="1032"/>
      <c r="I17" s="1032"/>
      <c r="J17" s="1032"/>
      <c r="K17" s="1032"/>
      <c r="L17" s="1032"/>
      <c r="M17" s="1033"/>
      <c r="N17" s="1037"/>
      <c r="O17" s="1038"/>
      <c r="P17" s="1038"/>
      <c r="Q17" s="1038"/>
      <c r="R17" s="1038"/>
      <c r="S17" s="1039"/>
      <c r="T17" s="1058"/>
      <c r="U17" s="1059"/>
      <c r="V17" s="1046"/>
      <c r="W17" s="1047"/>
      <c r="X17" s="1031"/>
      <c r="Y17" s="1032"/>
      <c r="Z17" s="1032"/>
      <c r="AA17" s="1033"/>
      <c r="AB17" s="1031"/>
      <c r="AC17" s="1032"/>
      <c r="AD17" s="1033"/>
      <c r="AE17" s="1050"/>
      <c r="AF17" s="1051"/>
      <c r="AG17" s="1050"/>
      <c r="AH17" s="1051"/>
      <c r="AI17" s="1025"/>
      <c r="AJ17" s="1027"/>
      <c r="AK17" s="1019"/>
      <c r="AL17" s="1020"/>
      <c r="AM17" s="1020"/>
      <c r="AN17" s="1021"/>
      <c r="AO17" s="1025"/>
      <c r="AP17" s="1026"/>
      <c r="AQ17" s="1027"/>
      <c r="AR17" s="135"/>
      <c r="AU17" s="1004"/>
      <c r="AV17" s="1066"/>
    </row>
    <row r="18" spans="2:48" ht="15.95" customHeight="1" x14ac:dyDescent="0.25">
      <c r="B18" s="1063">
        <v>2</v>
      </c>
      <c r="C18" s="1028"/>
      <c r="D18" s="1029"/>
      <c r="E18" s="1029"/>
      <c r="F18" s="1029"/>
      <c r="G18" s="1029"/>
      <c r="H18" s="1029"/>
      <c r="I18" s="1029"/>
      <c r="J18" s="1029"/>
      <c r="K18" s="1029"/>
      <c r="L18" s="1029"/>
      <c r="M18" s="1030"/>
      <c r="N18" s="1034" t="str">
        <f>IF(C18="","",INDEX(PMEREFRI[Base Desc 1],MATCH(C18,PMEREFRI[Eff Desc 1],0)))</f>
        <v/>
      </c>
      <c r="O18" s="1035"/>
      <c r="P18" s="1035"/>
      <c r="Q18" s="1035"/>
      <c r="R18" s="1035"/>
      <c r="S18" s="1036"/>
      <c r="T18" s="1056" t="str">
        <f>IF(C18="","",INDEX(PMEREFRI[Unit of Measure],MATCH(C18,PMEREFRI[Eff Desc 1],0)))</f>
        <v/>
      </c>
      <c r="U18" s="1057"/>
      <c r="V18" s="1044"/>
      <c r="W18" s="1045"/>
      <c r="X18" s="1028"/>
      <c r="Y18" s="1029"/>
      <c r="Z18" s="1029"/>
      <c r="AA18" s="1030"/>
      <c r="AB18" s="1028"/>
      <c r="AC18" s="1029"/>
      <c r="AD18" s="1030"/>
      <c r="AE18" s="1048"/>
      <c r="AF18" s="1049"/>
      <c r="AG18" s="1048"/>
      <c r="AH18" s="1049"/>
      <c r="AI18" s="1022" t="str">
        <f>IF(C18="","",INDEX(PMEREFRI[Inc Rate Unit],MATCH(C18,PMEREFRI[Eff Desc 1],0)))</f>
        <v/>
      </c>
      <c r="AJ18" s="1024"/>
      <c r="AK18" s="1016" t="str">
        <f>IF(OR(C18="",V18="",X18="",AB18="",AE18="",AG18=""),"",ROUND(V18*INDEX(PMEREFRI[Savings per Unit kWh],MATCH(C18,PMEREFRI[Eff Desc 1],0)),0))</f>
        <v/>
      </c>
      <c r="AL18" s="1017"/>
      <c r="AM18" s="1017"/>
      <c r="AN18" s="1018"/>
      <c r="AO18" s="1022" t="str">
        <f>IF(OR(C18="",V18="",X18="",AB18="",AE18="",AG18=""),"",MIN(AU18,ROUND(V18*AI18,2)))</f>
        <v/>
      </c>
      <c r="AP18" s="1023"/>
      <c r="AQ18" s="1024"/>
      <c r="AR18" s="135"/>
      <c r="AU18" s="1003" t="str">
        <f t="shared" ref="AU18" si="0">IF(OR(,V18="",X18="",AB18="",AE18="",AG18=""),"",ROUND((AE18+AG18)*V18,2))</f>
        <v/>
      </c>
      <c r="AV18" s="1065" t="str">
        <f>IF(OR(C18="",V18="",X18="",AB18="",AE18="",AG18=""),"",ROUND(V18*INDEX(PMEREFRI[Savings per Unit kW],MATCH(C18,PMEREFRI[Eff Desc 1],0)),4))</f>
        <v/>
      </c>
    </row>
    <row r="19" spans="2:48" ht="15.95" customHeight="1" x14ac:dyDescent="0.25">
      <c r="B19" s="1063"/>
      <c r="C19" s="1031"/>
      <c r="D19" s="1032"/>
      <c r="E19" s="1032"/>
      <c r="F19" s="1032"/>
      <c r="G19" s="1032"/>
      <c r="H19" s="1032"/>
      <c r="I19" s="1032"/>
      <c r="J19" s="1032"/>
      <c r="K19" s="1032"/>
      <c r="L19" s="1032"/>
      <c r="M19" s="1033"/>
      <c r="N19" s="1037"/>
      <c r="O19" s="1038"/>
      <c r="P19" s="1038"/>
      <c r="Q19" s="1038"/>
      <c r="R19" s="1038"/>
      <c r="S19" s="1039"/>
      <c r="T19" s="1058"/>
      <c r="U19" s="1059"/>
      <c r="V19" s="1046"/>
      <c r="W19" s="1047"/>
      <c r="X19" s="1031"/>
      <c r="Y19" s="1032"/>
      <c r="Z19" s="1032"/>
      <c r="AA19" s="1033"/>
      <c r="AB19" s="1031"/>
      <c r="AC19" s="1032"/>
      <c r="AD19" s="1033"/>
      <c r="AE19" s="1050"/>
      <c r="AF19" s="1051"/>
      <c r="AG19" s="1050"/>
      <c r="AH19" s="1051"/>
      <c r="AI19" s="1025"/>
      <c r="AJ19" s="1027"/>
      <c r="AK19" s="1019"/>
      <c r="AL19" s="1020"/>
      <c r="AM19" s="1020"/>
      <c r="AN19" s="1021"/>
      <c r="AO19" s="1025"/>
      <c r="AP19" s="1026"/>
      <c r="AQ19" s="1027"/>
      <c r="AR19" s="135"/>
      <c r="AU19" s="1004"/>
      <c r="AV19" s="1066"/>
    </row>
    <row r="20" spans="2:48" ht="15.95" customHeight="1" x14ac:dyDescent="0.25">
      <c r="B20" s="1063">
        <v>3</v>
      </c>
      <c r="C20" s="1028"/>
      <c r="D20" s="1029"/>
      <c r="E20" s="1029"/>
      <c r="F20" s="1029"/>
      <c r="G20" s="1029"/>
      <c r="H20" s="1029"/>
      <c r="I20" s="1029"/>
      <c r="J20" s="1029"/>
      <c r="K20" s="1029"/>
      <c r="L20" s="1029"/>
      <c r="M20" s="1030"/>
      <c r="N20" s="1034" t="str">
        <f>IF(C20="","",INDEX(PMEREFRI[Base Desc 1],MATCH(C20,PMEREFRI[Eff Desc 1],0)))</f>
        <v/>
      </c>
      <c r="O20" s="1035"/>
      <c r="P20" s="1035"/>
      <c r="Q20" s="1035"/>
      <c r="R20" s="1035"/>
      <c r="S20" s="1036"/>
      <c r="T20" s="1056" t="str">
        <f>IF(C20="","",INDEX(PMEREFRI[Unit of Measure],MATCH(C20,PMEREFRI[Eff Desc 1],0)))</f>
        <v/>
      </c>
      <c r="U20" s="1057"/>
      <c r="V20" s="1044"/>
      <c r="W20" s="1045"/>
      <c r="X20" s="1028"/>
      <c r="Y20" s="1029"/>
      <c r="Z20" s="1029"/>
      <c r="AA20" s="1030"/>
      <c r="AB20" s="1028"/>
      <c r="AC20" s="1029"/>
      <c r="AD20" s="1030"/>
      <c r="AE20" s="1048"/>
      <c r="AF20" s="1049"/>
      <c r="AG20" s="1048"/>
      <c r="AH20" s="1049"/>
      <c r="AI20" s="1022" t="str">
        <f>IF(C20="","",INDEX(PMEREFRI[Inc Rate Unit],MATCH(C20,PMEREFRI[Eff Desc 1],0)))</f>
        <v/>
      </c>
      <c r="AJ20" s="1024"/>
      <c r="AK20" s="1016" t="str">
        <f>IF(OR(C20="",V20="",X20="",AB20="",AE20="",AG20=""),"",ROUND(V20*INDEX(PMEREFRI[Savings per Unit kWh],MATCH(C20,PMEREFRI[Eff Desc 1],0)),0))</f>
        <v/>
      </c>
      <c r="AL20" s="1017"/>
      <c r="AM20" s="1017"/>
      <c r="AN20" s="1018"/>
      <c r="AO20" s="1022" t="str">
        <f>IF(OR(C20="",V20="",X20="",AB20="",AE20="",AG20=""),"",MIN(AU20,ROUND(V20*AI20,2)))</f>
        <v/>
      </c>
      <c r="AP20" s="1023"/>
      <c r="AQ20" s="1024"/>
      <c r="AR20" s="135"/>
      <c r="AU20" s="1003" t="str">
        <f t="shared" ref="AU20" si="1">IF(OR(,V20="",X20="",AB20="",AE20="",AG20=""),"",ROUND((AE20+AG20)*V20,2))</f>
        <v/>
      </c>
      <c r="AV20" s="1065" t="str">
        <f>IF(OR(C20="",V20="",X20="",AB20="",AE20="",AG20=""),"",ROUND(V20*INDEX(PMEREFRI[Savings per Unit kW],MATCH(C20,PMEREFRI[Eff Desc 1],0)),4))</f>
        <v/>
      </c>
    </row>
    <row r="21" spans="2:48" ht="15.95" customHeight="1" x14ac:dyDescent="0.25">
      <c r="B21" s="1063"/>
      <c r="C21" s="1031"/>
      <c r="D21" s="1032"/>
      <c r="E21" s="1032"/>
      <c r="F21" s="1032"/>
      <c r="G21" s="1032"/>
      <c r="H21" s="1032"/>
      <c r="I21" s="1032"/>
      <c r="J21" s="1032"/>
      <c r="K21" s="1032"/>
      <c r="L21" s="1032"/>
      <c r="M21" s="1033"/>
      <c r="N21" s="1037"/>
      <c r="O21" s="1038"/>
      <c r="P21" s="1038"/>
      <c r="Q21" s="1038"/>
      <c r="R21" s="1038"/>
      <c r="S21" s="1039"/>
      <c r="T21" s="1058"/>
      <c r="U21" s="1059"/>
      <c r="V21" s="1046"/>
      <c r="W21" s="1047"/>
      <c r="X21" s="1031"/>
      <c r="Y21" s="1032"/>
      <c r="Z21" s="1032"/>
      <c r="AA21" s="1033"/>
      <c r="AB21" s="1031"/>
      <c r="AC21" s="1032"/>
      <c r="AD21" s="1033"/>
      <c r="AE21" s="1050"/>
      <c r="AF21" s="1051"/>
      <c r="AG21" s="1050"/>
      <c r="AH21" s="1051"/>
      <c r="AI21" s="1025"/>
      <c r="AJ21" s="1027"/>
      <c r="AK21" s="1019"/>
      <c r="AL21" s="1020"/>
      <c r="AM21" s="1020"/>
      <c r="AN21" s="1021"/>
      <c r="AO21" s="1025"/>
      <c r="AP21" s="1026"/>
      <c r="AQ21" s="1027"/>
      <c r="AR21" s="135"/>
      <c r="AU21" s="1004"/>
      <c r="AV21" s="1066"/>
    </row>
    <row r="22" spans="2:48" ht="15.95" customHeight="1" x14ac:dyDescent="0.25">
      <c r="B22" s="1063">
        <v>4</v>
      </c>
      <c r="C22" s="1028"/>
      <c r="D22" s="1029"/>
      <c r="E22" s="1029"/>
      <c r="F22" s="1029"/>
      <c r="G22" s="1029"/>
      <c r="H22" s="1029"/>
      <c r="I22" s="1029"/>
      <c r="J22" s="1029"/>
      <c r="K22" s="1029"/>
      <c r="L22" s="1029"/>
      <c r="M22" s="1030"/>
      <c r="N22" s="1034" t="str">
        <f>IF(C22="","",INDEX(PMEREFRI[Base Desc 1],MATCH(C22,PMEREFRI[Eff Desc 1],0)))</f>
        <v/>
      </c>
      <c r="O22" s="1035"/>
      <c r="P22" s="1035"/>
      <c r="Q22" s="1035"/>
      <c r="R22" s="1035"/>
      <c r="S22" s="1036"/>
      <c r="T22" s="1056" t="str">
        <f>IF(C22="","",INDEX(PMEREFRI[Unit of Measure],MATCH(C22,PMEREFRI[Eff Desc 1],0)))</f>
        <v/>
      </c>
      <c r="U22" s="1057"/>
      <c r="V22" s="1044"/>
      <c r="W22" s="1045"/>
      <c r="X22" s="1028"/>
      <c r="Y22" s="1029"/>
      <c r="Z22" s="1029"/>
      <c r="AA22" s="1030"/>
      <c r="AB22" s="1028"/>
      <c r="AC22" s="1029"/>
      <c r="AD22" s="1030"/>
      <c r="AE22" s="1048"/>
      <c r="AF22" s="1049"/>
      <c r="AG22" s="1048"/>
      <c r="AH22" s="1049"/>
      <c r="AI22" s="1022" t="str">
        <f>IF(C22="","",INDEX(PMEREFRI[Inc Rate Unit],MATCH(C22,PMEREFRI[Eff Desc 1],0)))</f>
        <v/>
      </c>
      <c r="AJ22" s="1024"/>
      <c r="AK22" s="1016" t="str">
        <f>IF(OR(C22="",V22="",X22="",AB22="",AE22="",AG22=""),"",ROUND(V22*INDEX(PMEREFRI[Savings per Unit kWh],MATCH(C22,PMEREFRI[Eff Desc 1],0)),0))</f>
        <v/>
      </c>
      <c r="AL22" s="1017"/>
      <c r="AM22" s="1017"/>
      <c r="AN22" s="1018"/>
      <c r="AO22" s="1022" t="str">
        <f>IF(OR(C22="",V22="",X22="",AB22="",AE22="",AG22=""),"",MIN(AU22,ROUND(V22*AI22,2)))</f>
        <v/>
      </c>
      <c r="AP22" s="1023"/>
      <c r="AQ22" s="1024"/>
      <c r="AR22" s="135"/>
      <c r="AU22" s="1003" t="str">
        <f t="shared" ref="AU22" si="2">IF(OR(,V22="",X22="",AB22="",AE22="",AG22=""),"",ROUND((AE22+AG22)*V22,2))</f>
        <v/>
      </c>
      <c r="AV22" s="1065" t="str">
        <f>IF(OR(C22="",V22="",X22="",AB22="",AE22="",AG22=""),"",ROUND(V22*INDEX(PMEREFRI[Savings per Unit kW],MATCH(C22,PMEREFRI[Eff Desc 1],0)),4))</f>
        <v/>
      </c>
    </row>
    <row r="23" spans="2:48" ht="15.95" customHeight="1" x14ac:dyDescent="0.25">
      <c r="B23" s="1063"/>
      <c r="C23" s="1031"/>
      <c r="D23" s="1032"/>
      <c r="E23" s="1032"/>
      <c r="F23" s="1032"/>
      <c r="G23" s="1032"/>
      <c r="H23" s="1032"/>
      <c r="I23" s="1032"/>
      <c r="J23" s="1032"/>
      <c r="K23" s="1032"/>
      <c r="L23" s="1032"/>
      <c r="M23" s="1033"/>
      <c r="N23" s="1037"/>
      <c r="O23" s="1038"/>
      <c r="P23" s="1038"/>
      <c r="Q23" s="1038"/>
      <c r="R23" s="1038"/>
      <c r="S23" s="1039"/>
      <c r="T23" s="1058"/>
      <c r="U23" s="1059"/>
      <c r="V23" s="1046"/>
      <c r="W23" s="1047"/>
      <c r="X23" s="1031"/>
      <c r="Y23" s="1032"/>
      <c r="Z23" s="1032"/>
      <c r="AA23" s="1033"/>
      <c r="AB23" s="1031"/>
      <c r="AC23" s="1032"/>
      <c r="AD23" s="1033"/>
      <c r="AE23" s="1050"/>
      <c r="AF23" s="1051"/>
      <c r="AG23" s="1050"/>
      <c r="AH23" s="1051"/>
      <c r="AI23" s="1025"/>
      <c r="AJ23" s="1027"/>
      <c r="AK23" s="1019"/>
      <c r="AL23" s="1020"/>
      <c r="AM23" s="1020"/>
      <c r="AN23" s="1021"/>
      <c r="AO23" s="1025"/>
      <c r="AP23" s="1026"/>
      <c r="AQ23" s="1027"/>
      <c r="AR23" s="135"/>
      <c r="AU23" s="1004"/>
      <c r="AV23" s="1066"/>
    </row>
    <row r="24" spans="2:48" ht="15.95" customHeight="1" x14ac:dyDescent="0.25">
      <c r="B24" s="1063">
        <v>5</v>
      </c>
      <c r="C24" s="1028"/>
      <c r="D24" s="1029"/>
      <c r="E24" s="1029"/>
      <c r="F24" s="1029"/>
      <c r="G24" s="1029"/>
      <c r="H24" s="1029"/>
      <c r="I24" s="1029"/>
      <c r="J24" s="1029"/>
      <c r="K24" s="1029"/>
      <c r="L24" s="1029"/>
      <c r="M24" s="1030"/>
      <c r="N24" s="1034" t="str">
        <f>IF(C24="","",INDEX(PMEREFRI[Base Desc 1],MATCH(C24,PMEREFRI[Eff Desc 1],0)))</f>
        <v/>
      </c>
      <c r="O24" s="1035"/>
      <c r="P24" s="1035"/>
      <c r="Q24" s="1035"/>
      <c r="R24" s="1035"/>
      <c r="S24" s="1036"/>
      <c r="T24" s="1056" t="str">
        <f>IF(C24="","",INDEX(PMEREFRI[Unit of Measure],MATCH(C24,PMEREFRI[Eff Desc 1],0)))</f>
        <v/>
      </c>
      <c r="U24" s="1057"/>
      <c r="V24" s="1044"/>
      <c r="W24" s="1045"/>
      <c r="X24" s="1028"/>
      <c r="Y24" s="1029"/>
      <c r="Z24" s="1029"/>
      <c r="AA24" s="1030"/>
      <c r="AB24" s="1028"/>
      <c r="AC24" s="1029"/>
      <c r="AD24" s="1030"/>
      <c r="AE24" s="1048"/>
      <c r="AF24" s="1049"/>
      <c r="AG24" s="1048"/>
      <c r="AH24" s="1049"/>
      <c r="AI24" s="1022" t="str">
        <f>IF(C24="","",INDEX(PMEREFRI[Inc Rate Unit],MATCH(C24,PMEREFRI[Eff Desc 1],0)))</f>
        <v/>
      </c>
      <c r="AJ24" s="1024"/>
      <c r="AK24" s="1016" t="str">
        <f>IF(OR(C24="",V24="",X24="",AB24="",AE24="",AG24=""),"",ROUND(V24*INDEX(PMEREFRI[Savings per Unit kWh],MATCH(C24,PMEREFRI[Eff Desc 1],0)),0))</f>
        <v/>
      </c>
      <c r="AL24" s="1017"/>
      <c r="AM24" s="1017"/>
      <c r="AN24" s="1018"/>
      <c r="AO24" s="1022" t="str">
        <f>IF(OR(C24="",V24="",X24="",AB24="",AE24="",AG24=""),"",MIN(AU24,ROUND(V24*AI24,2)))</f>
        <v/>
      </c>
      <c r="AP24" s="1023"/>
      <c r="AQ24" s="1024"/>
      <c r="AR24" s="135"/>
      <c r="AU24" s="1003" t="str">
        <f t="shared" ref="AU24" si="3">IF(OR(,V24="",X24="",AB24="",AE24="",AG24=""),"",ROUND((AE24+AG24)*V24,2))</f>
        <v/>
      </c>
      <c r="AV24" s="1065" t="str">
        <f>IF(OR(C24="",V24="",X24="",AB24="",AE24="",AG24=""),"",ROUND(V24*INDEX(PMEREFRI[Savings per Unit kW],MATCH(C24,PMEREFRI[Eff Desc 1],0)),4))</f>
        <v/>
      </c>
    </row>
    <row r="25" spans="2:48" ht="15.95" customHeight="1" x14ac:dyDescent="0.25">
      <c r="B25" s="1063"/>
      <c r="C25" s="1031"/>
      <c r="D25" s="1032"/>
      <c r="E25" s="1032"/>
      <c r="F25" s="1032"/>
      <c r="G25" s="1032"/>
      <c r="H25" s="1032"/>
      <c r="I25" s="1032"/>
      <c r="J25" s="1032"/>
      <c r="K25" s="1032"/>
      <c r="L25" s="1032"/>
      <c r="M25" s="1033"/>
      <c r="N25" s="1037"/>
      <c r="O25" s="1038"/>
      <c r="P25" s="1038"/>
      <c r="Q25" s="1038"/>
      <c r="R25" s="1038"/>
      <c r="S25" s="1039"/>
      <c r="T25" s="1058"/>
      <c r="U25" s="1059"/>
      <c r="V25" s="1046"/>
      <c r="W25" s="1047"/>
      <c r="X25" s="1031"/>
      <c r="Y25" s="1032"/>
      <c r="Z25" s="1032"/>
      <c r="AA25" s="1033"/>
      <c r="AB25" s="1031"/>
      <c r="AC25" s="1032"/>
      <c r="AD25" s="1033"/>
      <c r="AE25" s="1050"/>
      <c r="AF25" s="1051"/>
      <c r="AG25" s="1050"/>
      <c r="AH25" s="1051"/>
      <c r="AI25" s="1025"/>
      <c r="AJ25" s="1027"/>
      <c r="AK25" s="1019"/>
      <c r="AL25" s="1020"/>
      <c r="AM25" s="1020"/>
      <c r="AN25" s="1021"/>
      <c r="AO25" s="1025"/>
      <c r="AP25" s="1026"/>
      <c r="AQ25" s="1027"/>
      <c r="AR25" s="135"/>
      <c r="AU25" s="1004"/>
      <c r="AV25" s="1066"/>
    </row>
    <row r="26" spans="2:48" ht="15.95" customHeight="1" x14ac:dyDescent="0.25">
      <c r="B26" s="1063">
        <v>6</v>
      </c>
      <c r="C26" s="1028"/>
      <c r="D26" s="1029"/>
      <c r="E26" s="1029"/>
      <c r="F26" s="1029"/>
      <c r="G26" s="1029"/>
      <c r="H26" s="1029"/>
      <c r="I26" s="1029"/>
      <c r="J26" s="1029"/>
      <c r="K26" s="1029"/>
      <c r="L26" s="1029"/>
      <c r="M26" s="1030"/>
      <c r="N26" s="1034" t="str">
        <f>IF(C26="","",INDEX(PMEREFRI[Base Desc 1],MATCH(C26,PMEREFRI[Eff Desc 1],0)))</f>
        <v/>
      </c>
      <c r="O26" s="1035"/>
      <c r="P26" s="1035"/>
      <c r="Q26" s="1035"/>
      <c r="R26" s="1035"/>
      <c r="S26" s="1036"/>
      <c r="T26" s="1056" t="str">
        <f>IF(C26="","",INDEX(PMEREFRI[Unit of Measure],MATCH(C26,PMEREFRI[Eff Desc 1],0)))</f>
        <v/>
      </c>
      <c r="U26" s="1057"/>
      <c r="V26" s="1044"/>
      <c r="W26" s="1045"/>
      <c r="X26" s="1028"/>
      <c r="Y26" s="1029"/>
      <c r="Z26" s="1029"/>
      <c r="AA26" s="1030"/>
      <c r="AB26" s="1028"/>
      <c r="AC26" s="1029"/>
      <c r="AD26" s="1030"/>
      <c r="AE26" s="1048"/>
      <c r="AF26" s="1049"/>
      <c r="AG26" s="1048"/>
      <c r="AH26" s="1049"/>
      <c r="AI26" s="1022" t="str">
        <f>IF(C26="","",INDEX(PMEREFRI[Inc Rate Unit],MATCH(C26,PMEREFRI[Eff Desc 1],0)))</f>
        <v/>
      </c>
      <c r="AJ26" s="1024"/>
      <c r="AK26" s="1016" t="str">
        <f>IF(OR(C26="",V26="",X26="",AB26="",AE26="",AG26=""),"",ROUND(V26*INDEX(PMEREFRI[Savings per Unit kWh],MATCH(C26,PMEREFRI[Eff Desc 1],0)),0))</f>
        <v/>
      </c>
      <c r="AL26" s="1017"/>
      <c r="AM26" s="1017"/>
      <c r="AN26" s="1018"/>
      <c r="AO26" s="1022" t="str">
        <f>IF(OR(C26="",V26="",X26="",AB26="",AE26="",AG26=""),"",MIN(AU26,ROUND(V26*AI26,2)))</f>
        <v/>
      </c>
      <c r="AP26" s="1023"/>
      <c r="AQ26" s="1024"/>
      <c r="AR26" s="135"/>
      <c r="AU26" s="1003" t="str">
        <f t="shared" ref="AU26" si="4">IF(OR(,V26="",X26="",AB26="",AE26="",AG26=""),"",ROUND((AE26+AG26)*V26,2))</f>
        <v/>
      </c>
      <c r="AV26" s="1065" t="str">
        <f>IF(OR(C26="",V26="",X26="",AB26="",AE26="",AG26=""),"",ROUND(V26*INDEX(PMEREFRI[Savings per Unit kW],MATCH(C26,PMEREFRI[Eff Desc 1],0)),4))</f>
        <v/>
      </c>
    </row>
    <row r="27" spans="2:48" ht="15.95" customHeight="1" x14ac:dyDescent="0.25">
      <c r="B27" s="1063"/>
      <c r="C27" s="1031"/>
      <c r="D27" s="1032"/>
      <c r="E27" s="1032"/>
      <c r="F27" s="1032"/>
      <c r="G27" s="1032"/>
      <c r="H27" s="1032"/>
      <c r="I27" s="1032"/>
      <c r="J27" s="1032"/>
      <c r="K27" s="1032"/>
      <c r="L27" s="1032"/>
      <c r="M27" s="1033"/>
      <c r="N27" s="1037"/>
      <c r="O27" s="1038"/>
      <c r="P27" s="1038"/>
      <c r="Q27" s="1038"/>
      <c r="R27" s="1038"/>
      <c r="S27" s="1039"/>
      <c r="T27" s="1058"/>
      <c r="U27" s="1059"/>
      <c r="V27" s="1046"/>
      <c r="W27" s="1047"/>
      <c r="X27" s="1031"/>
      <c r="Y27" s="1032"/>
      <c r="Z27" s="1032"/>
      <c r="AA27" s="1033"/>
      <c r="AB27" s="1031"/>
      <c r="AC27" s="1032"/>
      <c r="AD27" s="1033"/>
      <c r="AE27" s="1050"/>
      <c r="AF27" s="1051"/>
      <c r="AG27" s="1050"/>
      <c r="AH27" s="1051"/>
      <c r="AI27" s="1025"/>
      <c r="AJ27" s="1027"/>
      <c r="AK27" s="1019"/>
      <c r="AL27" s="1020"/>
      <c r="AM27" s="1020"/>
      <c r="AN27" s="1021"/>
      <c r="AO27" s="1025"/>
      <c r="AP27" s="1026"/>
      <c r="AQ27" s="1027"/>
      <c r="AR27" s="135"/>
      <c r="AU27" s="1004"/>
      <c r="AV27" s="1066"/>
    </row>
    <row r="28" spans="2:48" ht="15.95" customHeight="1" x14ac:dyDescent="0.25">
      <c r="B28" s="1063">
        <v>7</v>
      </c>
      <c r="C28" s="1028"/>
      <c r="D28" s="1029"/>
      <c r="E28" s="1029"/>
      <c r="F28" s="1029"/>
      <c r="G28" s="1029"/>
      <c r="H28" s="1029"/>
      <c r="I28" s="1029"/>
      <c r="J28" s="1029"/>
      <c r="K28" s="1029"/>
      <c r="L28" s="1029"/>
      <c r="M28" s="1030"/>
      <c r="N28" s="1034" t="str">
        <f>IF(C28="","",INDEX(PMEREFRI[Base Desc 1],MATCH(C28,PMEREFRI[Eff Desc 1],0)))</f>
        <v/>
      </c>
      <c r="O28" s="1035"/>
      <c r="P28" s="1035"/>
      <c r="Q28" s="1035"/>
      <c r="R28" s="1035"/>
      <c r="S28" s="1036"/>
      <c r="T28" s="1056" t="str">
        <f>IF(C28="","",INDEX(PMEREFRI[Unit of Measure],MATCH(C28,PMEREFRI[Eff Desc 1],0)))</f>
        <v/>
      </c>
      <c r="U28" s="1057"/>
      <c r="V28" s="1044"/>
      <c r="W28" s="1045"/>
      <c r="X28" s="1028"/>
      <c r="Y28" s="1029"/>
      <c r="Z28" s="1029"/>
      <c r="AA28" s="1030"/>
      <c r="AB28" s="1028"/>
      <c r="AC28" s="1029"/>
      <c r="AD28" s="1030"/>
      <c r="AE28" s="1048"/>
      <c r="AF28" s="1049"/>
      <c r="AG28" s="1048"/>
      <c r="AH28" s="1049"/>
      <c r="AI28" s="1022" t="str">
        <f>IF(C28="","",INDEX(PMEREFRI[Inc Rate Unit],MATCH(C28,PMEREFRI[Eff Desc 1],0)))</f>
        <v/>
      </c>
      <c r="AJ28" s="1024"/>
      <c r="AK28" s="1016" t="str">
        <f>IF(OR(C28="",V28="",X28="",AB28="",AE28="",AG28=""),"",ROUND(V28*INDEX(PMEREFRI[Savings per Unit kWh],MATCH(C28,PMEREFRI[Eff Desc 1],0)),0))</f>
        <v/>
      </c>
      <c r="AL28" s="1017"/>
      <c r="AM28" s="1017"/>
      <c r="AN28" s="1018"/>
      <c r="AO28" s="1022" t="str">
        <f>IF(OR(C28="",V28="",X28="",AB28="",AE28="",AG28=""),"",MIN(AU28,ROUND(V28*AI28,2)))</f>
        <v/>
      </c>
      <c r="AP28" s="1023"/>
      <c r="AQ28" s="1024"/>
      <c r="AR28" s="135"/>
      <c r="AU28" s="1003" t="str">
        <f t="shared" ref="AU28" si="5">IF(OR(,V28="",X28="",AB28="",AE28="",AG28=""),"",ROUND((AE28+AG28)*V28,2))</f>
        <v/>
      </c>
      <c r="AV28" s="1065" t="str">
        <f>IF(OR(C28="",V28="",X28="",AB28="",AE28="",AG28=""),"",ROUND(V28*INDEX(PMEREFRI[Savings per Unit kW],MATCH(C28,PMEREFRI[Eff Desc 1],0)),4))</f>
        <v/>
      </c>
    </row>
    <row r="29" spans="2:48" ht="15.95" customHeight="1" x14ac:dyDescent="0.25">
      <c r="B29" s="1063"/>
      <c r="C29" s="1031"/>
      <c r="D29" s="1032"/>
      <c r="E29" s="1032"/>
      <c r="F29" s="1032"/>
      <c r="G29" s="1032"/>
      <c r="H29" s="1032"/>
      <c r="I29" s="1032"/>
      <c r="J29" s="1032"/>
      <c r="K29" s="1032"/>
      <c r="L29" s="1032"/>
      <c r="M29" s="1033"/>
      <c r="N29" s="1037"/>
      <c r="O29" s="1038"/>
      <c r="P29" s="1038"/>
      <c r="Q29" s="1038"/>
      <c r="R29" s="1038"/>
      <c r="S29" s="1039"/>
      <c r="T29" s="1058"/>
      <c r="U29" s="1059"/>
      <c r="V29" s="1046"/>
      <c r="W29" s="1047"/>
      <c r="X29" s="1031"/>
      <c r="Y29" s="1032"/>
      <c r="Z29" s="1032"/>
      <c r="AA29" s="1033"/>
      <c r="AB29" s="1031"/>
      <c r="AC29" s="1032"/>
      <c r="AD29" s="1033"/>
      <c r="AE29" s="1050"/>
      <c r="AF29" s="1051"/>
      <c r="AG29" s="1050"/>
      <c r="AH29" s="1051"/>
      <c r="AI29" s="1025"/>
      <c r="AJ29" s="1027"/>
      <c r="AK29" s="1019"/>
      <c r="AL29" s="1020"/>
      <c r="AM29" s="1020"/>
      <c r="AN29" s="1021"/>
      <c r="AO29" s="1025"/>
      <c r="AP29" s="1026"/>
      <c r="AQ29" s="1027"/>
      <c r="AR29" s="135"/>
      <c r="AU29" s="1004"/>
      <c r="AV29" s="1066"/>
    </row>
    <row r="30" spans="2:48" ht="15.95" customHeight="1" x14ac:dyDescent="0.25">
      <c r="B30" s="1063">
        <v>8</v>
      </c>
      <c r="C30" s="1028"/>
      <c r="D30" s="1029"/>
      <c r="E30" s="1029"/>
      <c r="F30" s="1029"/>
      <c r="G30" s="1029"/>
      <c r="H30" s="1029"/>
      <c r="I30" s="1029"/>
      <c r="J30" s="1029"/>
      <c r="K30" s="1029"/>
      <c r="L30" s="1029"/>
      <c r="M30" s="1030"/>
      <c r="N30" s="1034" t="str">
        <f>IF(C30="","",INDEX(PMEREFRI[Base Desc 1],MATCH(C30,PMEREFRI[Eff Desc 1],0)))</f>
        <v/>
      </c>
      <c r="O30" s="1035"/>
      <c r="P30" s="1035"/>
      <c r="Q30" s="1035"/>
      <c r="R30" s="1035"/>
      <c r="S30" s="1036"/>
      <c r="T30" s="1056" t="str">
        <f>IF(C30="","",INDEX(PMEREFRI[Unit of Measure],MATCH(C30,PMEREFRI[Eff Desc 1],0)))</f>
        <v/>
      </c>
      <c r="U30" s="1057"/>
      <c r="V30" s="1044"/>
      <c r="W30" s="1045"/>
      <c r="X30" s="1028"/>
      <c r="Y30" s="1029"/>
      <c r="Z30" s="1029"/>
      <c r="AA30" s="1030"/>
      <c r="AB30" s="1028"/>
      <c r="AC30" s="1029"/>
      <c r="AD30" s="1030"/>
      <c r="AE30" s="1048"/>
      <c r="AF30" s="1049"/>
      <c r="AG30" s="1048"/>
      <c r="AH30" s="1049"/>
      <c r="AI30" s="1022" t="str">
        <f>IF(C30="","",INDEX(PMEREFRI[Inc Rate Unit],MATCH(C30,PMEREFRI[Eff Desc 1],0)))</f>
        <v/>
      </c>
      <c r="AJ30" s="1024"/>
      <c r="AK30" s="1016" t="str">
        <f>IF(OR(C30="",V30="",X30="",AB30="",AE30="",AG30=""),"",ROUND(V30*INDEX(PMEREFRI[Savings per Unit kWh],MATCH(C30,PMEREFRI[Eff Desc 1],0)),0))</f>
        <v/>
      </c>
      <c r="AL30" s="1017"/>
      <c r="AM30" s="1017"/>
      <c r="AN30" s="1018"/>
      <c r="AO30" s="1022" t="str">
        <f>IF(OR(C30="",V30="",X30="",AB30="",AE30="",AG30=""),"",MIN(AU30,ROUND(V30*AI30,2)))</f>
        <v/>
      </c>
      <c r="AP30" s="1023"/>
      <c r="AQ30" s="1024"/>
      <c r="AR30" s="135"/>
      <c r="AU30" s="1003" t="str">
        <f t="shared" ref="AU30" si="6">IF(OR(,V30="",X30="",AB30="",AE30="",AG30=""),"",ROUND((AE30+AG30)*V30,2))</f>
        <v/>
      </c>
      <c r="AV30" s="1065" t="str">
        <f>IF(OR(C30="",V30="",X30="",AB30="",AE30="",AG30=""),"",ROUND(V30*INDEX(PMEREFRI[Savings per Unit kW],MATCH(C30,PMEREFRI[Eff Desc 1],0)),4))</f>
        <v/>
      </c>
    </row>
    <row r="31" spans="2:48" ht="15.95" customHeight="1" x14ac:dyDescent="0.25">
      <c r="B31" s="1063"/>
      <c r="C31" s="1031"/>
      <c r="D31" s="1032"/>
      <c r="E31" s="1032"/>
      <c r="F31" s="1032"/>
      <c r="G31" s="1032"/>
      <c r="H31" s="1032"/>
      <c r="I31" s="1032"/>
      <c r="J31" s="1032"/>
      <c r="K31" s="1032"/>
      <c r="L31" s="1032"/>
      <c r="M31" s="1033"/>
      <c r="N31" s="1037"/>
      <c r="O31" s="1038"/>
      <c r="P31" s="1038"/>
      <c r="Q31" s="1038"/>
      <c r="R31" s="1038"/>
      <c r="S31" s="1039"/>
      <c r="T31" s="1058"/>
      <c r="U31" s="1059"/>
      <c r="V31" s="1046"/>
      <c r="W31" s="1047"/>
      <c r="X31" s="1031"/>
      <c r="Y31" s="1032"/>
      <c r="Z31" s="1032"/>
      <c r="AA31" s="1033"/>
      <c r="AB31" s="1031"/>
      <c r="AC31" s="1032"/>
      <c r="AD31" s="1033"/>
      <c r="AE31" s="1050"/>
      <c r="AF31" s="1051"/>
      <c r="AG31" s="1050"/>
      <c r="AH31" s="1051"/>
      <c r="AI31" s="1025"/>
      <c r="AJ31" s="1027"/>
      <c r="AK31" s="1019"/>
      <c r="AL31" s="1020"/>
      <c r="AM31" s="1020"/>
      <c r="AN31" s="1021"/>
      <c r="AO31" s="1025"/>
      <c r="AP31" s="1026"/>
      <c r="AQ31" s="1027"/>
      <c r="AR31" s="135"/>
      <c r="AU31" s="1004"/>
      <c r="AV31" s="1066"/>
    </row>
    <row r="32" spans="2:48" ht="15.95" customHeight="1" x14ac:dyDescent="0.25">
      <c r="B32" s="1063">
        <v>9</v>
      </c>
      <c r="C32" s="1028"/>
      <c r="D32" s="1029"/>
      <c r="E32" s="1029"/>
      <c r="F32" s="1029"/>
      <c r="G32" s="1029"/>
      <c r="H32" s="1029"/>
      <c r="I32" s="1029"/>
      <c r="J32" s="1029"/>
      <c r="K32" s="1029"/>
      <c r="L32" s="1029"/>
      <c r="M32" s="1030"/>
      <c r="N32" s="1034" t="str">
        <f>IF(C32="","",INDEX(PMEREFRI[Base Desc 1],MATCH(C32,PMEREFRI[Eff Desc 1],0)))</f>
        <v/>
      </c>
      <c r="O32" s="1035"/>
      <c r="P32" s="1035"/>
      <c r="Q32" s="1035"/>
      <c r="R32" s="1035"/>
      <c r="S32" s="1036"/>
      <c r="T32" s="1056" t="str">
        <f>IF(C32="","",INDEX(PMEREFRI[Unit of Measure],MATCH(C32,PMEREFRI[Eff Desc 1],0)))</f>
        <v/>
      </c>
      <c r="U32" s="1057"/>
      <c r="V32" s="1044"/>
      <c r="W32" s="1045"/>
      <c r="X32" s="1028"/>
      <c r="Y32" s="1029"/>
      <c r="Z32" s="1029"/>
      <c r="AA32" s="1030"/>
      <c r="AB32" s="1028"/>
      <c r="AC32" s="1029"/>
      <c r="AD32" s="1030"/>
      <c r="AE32" s="1048"/>
      <c r="AF32" s="1049"/>
      <c r="AG32" s="1048"/>
      <c r="AH32" s="1049"/>
      <c r="AI32" s="1022" t="str">
        <f>IF(C32="","",INDEX(PMEREFRI[Inc Rate Unit],MATCH(C32,PMEREFRI[Eff Desc 1],0)))</f>
        <v/>
      </c>
      <c r="AJ32" s="1024"/>
      <c r="AK32" s="1016" t="str">
        <f>IF(OR(C32="",V32="",X32="",AB32="",AE32="",AG32=""),"",ROUND(V32*INDEX(PMEREFRI[Savings per Unit kWh],MATCH(C32,PMEREFRI[Eff Desc 1],0)),0))</f>
        <v/>
      </c>
      <c r="AL32" s="1017"/>
      <c r="AM32" s="1017"/>
      <c r="AN32" s="1018"/>
      <c r="AO32" s="1022" t="str">
        <f>IF(OR(C32="",V32="",X32="",AB32="",AE32="",AG32=""),"",MIN(AU32,ROUND(V32*AI32,2)))</f>
        <v/>
      </c>
      <c r="AP32" s="1023"/>
      <c r="AQ32" s="1024"/>
      <c r="AR32" s="135"/>
      <c r="AU32" s="1003" t="str">
        <f t="shared" ref="AU32" si="7">IF(OR(,V32="",X32="",AB32="",AE32="",AG32=""),"",ROUND((AE32+AG32)*V32,2))</f>
        <v/>
      </c>
      <c r="AV32" s="1065" t="str">
        <f>IF(OR(C32="",V32="",X32="",AB32="",AE32="",AG32=""),"",ROUND(V32*INDEX(PMEREFRI[Savings per Unit kW],MATCH(C32,PMEREFRI[Eff Desc 1],0)),4))</f>
        <v/>
      </c>
    </row>
    <row r="33" spans="2:48" ht="15.95" customHeight="1" x14ac:dyDescent="0.25">
      <c r="B33" s="1063"/>
      <c r="C33" s="1031"/>
      <c r="D33" s="1032"/>
      <c r="E33" s="1032"/>
      <c r="F33" s="1032"/>
      <c r="G33" s="1032"/>
      <c r="H33" s="1032"/>
      <c r="I33" s="1032"/>
      <c r="J33" s="1032"/>
      <c r="K33" s="1032"/>
      <c r="L33" s="1032"/>
      <c r="M33" s="1033"/>
      <c r="N33" s="1037"/>
      <c r="O33" s="1038"/>
      <c r="P33" s="1038"/>
      <c r="Q33" s="1038"/>
      <c r="R33" s="1038"/>
      <c r="S33" s="1039"/>
      <c r="T33" s="1058"/>
      <c r="U33" s="1059"/>
      <c r="V33" s="1046"/>
      <c r="W33" s="1047"/>
      <c r="X33" s="1031"/>
      <c r="Y33" s="1032"/>
      <c r="Z33" s="1032"/>
      <c r="AA33" s="1033"/>
      <c r="AB33" s="1031"/>
      <c r="AC33" s="1032"/>
      <c r="AD33" s="1033"/>
      <c r="AE33" s="1050"/>
      <c r="AF33" s="1051"/>
      <c r="AG33" s="1050"/>
      <c r="AH33" s="1051"/>
      <c r="AI33" s="1025"/>
      <c r="AJ33" s="1027"/>
      <c r="AK33" s="1019"/>
      <c r="AL33" s="1020"/>
      <c r="AM33" s="1020"/>
      <c r="AN33" s="1021"/>
      <c r="AO33" s="1025"/>
      <c r="AP33" s="1026"/>
      <c r="AQ33" s="1027"/>
      <c r="AR33" s="135"/>
      <c r="AU33" s="1004"/>
      <c r="AV33" s="1066"/>
    </row>
    <row r="34" spans="2:48" ht="15.95" customHeight="1" x14ac:dyDescent="0.25">
      <c r="B34" s="1063">
        <v>10</v>
      </c>
      <c r="C34" s="1028"/>
      <c r="D34" s="1029"/>
      <c r="E34" s="1029"/>
      <c r="F34" s="1029"/>
      <c r="G34" s="1029"/>
      <c r="H34" s="1029"/>
      <c r="I34" s="1029"/>
      <c r="J34" s="1029"/>
      <c r="K34" s="1029"/>
      <c r="L34" s="1029"/>
      <c r="M34" s="1030"/>
      <c r="N34" s="1034" t="str">
        <f>IF(C34="","",INDEX(PMEREFRI[Base Desc 1],MATCH(C34,PMEREFRI[Eff Desc 1],0)))</f>
        <v/>
      </c>
      <c r="O34" s="1035"/>
      <c r="P34" s="1035"/>
      <c r="Q34" s="1035"/>
      <c r="R34" s="1035"/>
      <c r="S34" s="1036"/>
      <c r="T34" s="1056" t="str">
        <f>IF(C34="","",INDEX(PMEREFRI[Unit of Measure],MATCH(C34,PMEREFRI[Eff Desc 1],0)))</f>
        <v/>
      </c>
      <c r="U34" s="1057"/>
      <c r="V34" s="1044"/>
      <c r="W34" s="1045"/>
      <c r="X34" s="1028"/>
      <c r="Y34" s="1029"/>
      <c r="Z34" s="1029"/>
      <c r="AA34" s="1030"/>
      <c r="AB34" s="1028"/>
      <c r="AC34" s="1029"/>
      <c r="AD34" s="1030"/>
      <c r="AE34" s="1048"/>
      <c r="AF34" s="1049"/>
      <c r="AG34" s="1048"/>
      <c r="AH34" s="1049"/>
      <c r="AI34" s="1022" t="str">
        <f>IF(C34="","",INDEX(PMEREFRI[Inc Rate Unit],MATCH(C34,PMEREFRI[Eff Desc 1],0)))</f>
        <v/>
      </c>
      <c r="AJ34" s="1024"/>
      <c r="AK34" s="1016" t="str">
        <f>IF(OR(C34="",V34="",X34="",AB34="",AE34="",AG34=""),"",ROUND(V34*INDEX(PMEREFRI[Savings per Unit kWh],MATCH(C34,PMEREFRI[Eff Desc 1],0)),0))</f>
        <v/>
      </c>
      <c r="AL34" s="1017"/>
      <c r="AM34" s="1017"/>
      <c r="AN34" s="1018"/>
      <c r="AO34" s="1022" t="str">
        <f>IF(OR(C34="",V34="",X34="",AB34="",AE34="",AG34=""),"",MIN(AU34,ROUND(V34*AI34,2)))</f>
        <v/>
      </c>
      <c r="AP34" s="1023"/>
      <c r="AQ34" s="1024"/>
      <c r="AR34" s="135"/>
      <c r="AU34" s="1003" t="str">
        <f t="shared" ref="AU34" si="8">IF(OR(,V34="",X34="",AB34="",AE34="",AG34=""),"",ROUND((AE34+AG34)*V34,2))</f>
        <v/>
      </c>
      <c r="AV34" s="1065" t="str">
        <f>IF(OR(C34="",V34="",X34="",AB34="",AE34="",AG34=""),"",ROUND(V34*INDEX(PMEREFRI[Savings per Unit kW],MATCH(C34,PMEREFRI[Eff Desc 1],0)),4))</f>
        <v/>
      </c>
    </row>
    <row r="35" spans="2:48" ht="15.95" customHeight="1" x14ac:dyDescent="0.25">
      <c r="B35" s="1063"/>
      <c r="C35" s="1031"/>
      <c r="D35" s="1032"/>
      <c r="E35" s="1032"/>
      <c r="F35" s="1032"/>
      <c r="G35" s="1032"/>
      <c r="H35" s="1032"/>
      <c r="I35" s="1032"/>
      <c r="J35" s="1032"/>
      <c r="K35" s="1032"/>
      <c r="L35" s="1032"/>
      <c r="M35" s="1033"/>
      <c r="N35" s="1037"/>
      <c r="O35" s="1038"/>
      <c r="P35" s="1038"/>
      <c r="Q35" s="1038"/>
      <c r="R35" s="1038"/>
      <c r="S35" s="1039"/>
      <c r="T35" s="1058"/>
      <c r="U35" s="1059"/>
      <c r="V35" s="1046"/>
      <c r="W35" s="1047"/>
      <c r="X35" s="1031"/>
      <c r="Y35" s="1032"/>
      <c r="Z35" s="1032"/>
      <c r="AA35" s="1033"/>
      <c r="AB35" s="1031"/>
      <c r="AC35" s="1032"/>
      <c r="AD35" s="1033"/>
      <c r="AE35" s="1050"/>
      <c r="AF35" s="1051"/>
      <c r="AG35" s="1050"/>
      <c r="AH35" s="1051"/>
      <c r="AI35" s="1025"/>
      <c r="AJ35" s="1027"/>
      <c r="AK35" s="1019"/>
      <c r="AL35" s="1020"/>
      <c r="AM35" s="1020"/>
      <c r="AN35" s="1021"/>
      <c r="AO35" s="1025"/>
      <c r="AP35" s="1026"/>
      <c r="AQ35" s="1027"/>
      <c r="AR35" s="135"/>
      <c r="AU35" s="1004"/>
      <c r="AV35" s="1066"/>
    </row>
    <row r="36" spans="2:48" ht="15.95" hidden="1" customHeight="1" x14ac:dyDescent="0.25">
      <c r="B36" s="1063">
        <v>11</v>
      </c>
      <c r="C36" s="1028"/>
      <c r="D36" s="1029"/>
      <c r="E36" s="1029"/>
      <c r="F36" s="1029"/>
      <c r="G36" s="1029"/>
      <c r="H36" s="1029"/>
      <c r="I36" s="1029"/>
      <c r="J36" s="1029"/>
      <c r="K36" s="1029"/>
      <c r="L36" s="1029"/>
      <c r="M36" s="1030"/>
      <c r="N36" s="1034" t="str">
        <f>IF(C36="","",INDEX(PMEKITCHEN[Base Desc 1],MATCH(C36,PMEKITCHEN[Eff Desc 1],0)))</f>
        <v/>
      </c>
      <c r="O36" s="1035"/>
      <c r="P36" s="1035"/>
      <c r="Q36" s="1035"/>
      <c r="R36" s="1035"/>
      <c r="S36" s="1036"/>
      <c r="T36" s="1040" t="str">
        <f>IF(C36="","",INDEX(PMEKITCHEN[Unit of Measure],MATCH(C36,PMEKITCHEN[Eff Desc 1],0)))</f>
        <v/>
      </c>
      <c r="U36" s="1041"/>
      <c r="V36" s="1044"/>
      <c r="W36" s="1045"/>
      <c r="X36" s="1028"/>
      <c r="Y36" s="1029"/>
      <c r="Z36" s="1029"/>
      <c r="AA36" s="1030"/>
      <c r="AB36" s="1028"/>
      <c r="AC36" s="1029"/>
      <c r="AD36" s="1030"/>
      <c r="AE36" s="1048"/>
      <c r="AF36" s="1049"/>
      <c r="AG36" s="1048"/>
      <c r="AH36" s="1049"/>
      <c r="AI36" s="1052" t="str">
        <f>IF(C36="","",INDEX(PMEKITCHEN[Inc Rate Unit],MATCH(C36,PMEKITCHEN[Eff Desc 1],0)))</f>
        <v/>
      </c>
      <c r="AJ36" s="1053"/>
      <c r="AK36" s="1016" t="str">
        <f>IF(OR(C36="",V36="",X36="",AB36="",AE36="",AG36=""),"",ROUND(V36*INDEX(PMEKITCHEN[Savings per Unit kWh],MATCH(C36,PMEKITCHEN[Eff Desc 1],0)),0))</f>
        <v/>
      </c>
      <c r="AL36" s="1017"/>
      <c r="AM36" s="1017"/>
      <c r="AN36" s="1018"/>
      <c r="AO36" s="1022" t="str">
        <f>IF(OR(C36="",V36="",X36="",AB36="",AE36="",AG36=""),"",MIN(AU36,ROUND(V36*AI36,2)))</f>
        <v/>
      </c>
      <c r="AP36" s="1023"/>
      <c r="AQ36" s="1024"/>
      <c r="AR36" s="135"/>
      <c r="AU36" s="1003" t="str">
        <f t="shared" ref="AU36" si="9">IF(OR(,V36="",X36="",AB36="",AE36="",AG36=""),"",ROUND((AE36+AG36)*V36,2))</f>
        <v/>
      </c>
      <c r="AV36" s="1005" t="str">
        <f>IF(OR(C36="",V36="",X36="",AB36="",AE36="",AG36=""),"",ROUND(V36*INDEX(PMEKITCHEN[Savings per Unit kW],MATCH(C36,PMEKITCHEN[Eff Desc 1],0)),10))</f>
        <v/>
      </c>
    </row>
    <row r="37" spans="2:48" ht="15.95" hidden="1" customHeight="1" x14ac:dyDescent="0.25">
      <c r="B37" s="1063"/>
      <c r="C37" s="1031"/>
      <c r="D37" s="1032"/>
      <c r="E37" s="1032"/>
      <c r="F37" s="1032"/>
      <c r="G37" s="1032"/>
      <c r="H37" s="1032"/>
      <c r="I37" s="1032"/>
      <c r="J37" s="1032"/>
      <c r="K37" s="1032"/>
      <c r="L37" s="1032"/>
      <c r="M37" s="1033"/>
      <c r="N37" s="1037"/>
      <c r="O37" s="1038"/>
      <c r="P37" s="1038"/>
      <c r="Q37" s="1038"/>
      <c r="R37" s="1038"/>
      <c r="S37" s="1039"/>
      <c r="T37" s="1042"/>
      <c r="U37" s="1043"/>
      <c r="V37" s="1046"/>
      <c r="W37" s="1047"/>
      <c r="X37" s="1031"/>
      <c r="Y37" s="1032"/>
      <c r="Z37" s="1032"/>
      <c r="AA37" s="1033"/>
      <c r="AB37" s="1031"/>
      <c r="AC37" s="1032"/>
      <c r="AD37" s="1033"/>
      <c r="AE37" s="1050"/>
      <c r="AF37" s="1051"/>
      <c r="AG37" s="1050"/>
      <c r="AH37" s="1051"/>
      <c r="AI37" s="1054"/>
      <c r="AJ37" s="1055"/>
      <c r="AK37" s="1019"/>
      <c r="AL37" s="1020"/>
      <c r="AM37" s="1020"/>
      <c r="AN37" s="1021"/>
      <c r="AO37" s="1025"/>
      <c r="AP37" s="1026"/>
      <c r="AQ37" s="1027"/>
      <c r="AR37" s="135"/>
      <c r="AU37" s="1004"/>
      <c r="AV37" s="1006"/>
    </row>
    <row r="38" spans="2:48" ht="15.95" hidden="1" customHeight="1" x14ac:dyDescent="0.25">
      <c r="B38" s="1063">
        <v>12</v>
      </c>
      <c r="C38" s="1028"/>
      <c r="D38" s="1029"/>
      <c r="E38" s="1029"/>
      <c r="F38" s="1029"/>
      <c r="G38" s="1029"/>
      <c r="H38" s="1029"/>
      <c r="I38" s="1029"/>
      <c r="J38" s="1029"/>
      <c r="K38" s="1029"/>
      <c r="L38" s="1029"/>
      <c r="M38" s="1030"/>
      <c r="N38" s="1034" t="str">
        <f>IF(C38="","",INDEX(PMEKITCHEN[Base Desc 1],MATCH(C38,PMEKITCHEN[Eff Desc 1],0)))</f>
        <v/>
      </c>
      <c r="O38" s="1035"/>
      <c r="P38" s="1035"/>
      <c r="Q38" s="1035"/>
      <c r="R38" s="1035"/>
      <c r="S38" s="1036"/>
      <c r="T38" s="1040" t="str">
        <f>IF(C38="","",INDEX(PMEKITCHEN[Unit of Measure],MATCH(C38,PMEKITCHEN[Eff Desc 1],0)))</f>
        <v/>
      </c>
      <c r="U38" s="1041"/>
      <c r="V38" s="1044"/>
      <c r="W38" s="1045"/>
      <c r="X38" s="1028"/>
      <c r="Y38" s="1029"/>
      <c r="Z38" s="1029"/>
      <c r="AA38" s="1030"/>
      <c r="AB38" s="1028"/>
      <c r="AC38" s="1029"/>
      <c r="AD38" s="1030"/>
      <c r="AE38" s="1048"/>
      <c r="AF38" s="1049"/>
      <c r="AG38" s="1048"/>
      <c r="AH38" s="1049"/>
      <c r="AI38" s="1052" t="str">
        <f>IF(C38="","",INDEX(PMEKITCHEN[Inc Rate Unit],MATCH(C38,PMEKITCHEN[Eff Desc 1],0)))</f>
        <v/>
      </c>
      <c r="AJ38" s="1053"/>
      <c r="AK38" s="1016" t="str">
        <f>IF(OR(C38="",V38="",X38="",AB38="",AE38="",AG38=""),"",ROUND(V38*INDEX(PMEKITCHEN[Savings per Unit kWh],MATCH(C38,PMEKITCHEN[Eff Desc 1],0)),0))</f>
        <v/>
      </c>
      <c r="AL38" s="1017"/>
      <c r="AM38" s="1017"/>
      <c r="AN38" s="1018"/>
      <c r="AO38" s="1022" t="str">
        <f>IF(OR(C38="",V38="",X38="",AB38="",AE38="",AG38=""),"",MIN(AU38,ROUND(V38*AI38,2)))</f>
        <v/>
      </c>
      <c r="AP38" s="1023"/>
      <c r="AQ38" s="1024"/>
      <c r="AR38" s="135"/>
      <c r="AU38" s="1003" t="str">
        <f t="shared" ref="AU38" si="10">IF(OR(,V38="",X38="",AB38="",AE38="",AG38=""),"",ROUND((AE38+AG38)*V38,2))</f>
        <v/>
      </c>
      <c r="AV38" s="1005" t="str">
        <f>IF(OR(C38="",V38="",X38="",AB38="",AE38="",AG38=""),"",ROUND(V38*INDEX(PMEKITCHEN[Savings per Unit kW],MATCH(C38,PMEKITCHEN[Eff Desc 1],0)),10))</f>
        <v/>
      </c>
    </row>
    <row r="39" spans="2:48" ht="15.95" hidden="1" customHeight="1" x14ac:dyDescent="0.25">
      <c r="B39" s="1063"/>
      <c r="C39" s="1031"/>
      <c r="D39" s="1032"/>
      <c r="E39" s="1032"/>
      <c r="F39" s="1032"/>
      <c r="G39" s="1032"/>
      <c r="H39" s="1032"/>
      <c r="I39" s="1032"/>
      <c r="J39" s="1032"/>
      <c r="K39" s="1032"/>
      <c r="L39" s="1032"/>
      <c r="M39" s="1033"/>
      <c r="N39" s="1037"/>
      <c r="O39" s="1038"/>
      <c r="P39" s="1038"/>
      <c r="Q39" s="1038"/>
      <c r="R39" s="1038"/>
      <c r="S39" s="1039"/>
      <c r="T39" s="1042"/>
      <c r="U39" s="1043"/>
      <c r="V39" s="1046"/>
      <c r="W39" s="1047"/>
      <c r="X39" s="1031"/>
      <c r="Y39" s="1032"/>
      <c r="Z39" s="1032"/>
      <c r="AA39" s="1033"/>
      <c r="AB39" s="1031"/>
      <c r="AC39" s="1032"/>
      <c r="AD39" s="1033"/>
      <c r="AE39" s="1050"/>
      <c r="AF39" s="1051"/>
      <c r="AG39" s="1050"/>
      <c r="AH39" s="1051"/>
      <c r="AI39" s="1054"/>
      <c r="AJ39" s="1055"/>
      <c r="AK39" s="1019"/>
      <c r="AL39" s="1020"/>
      <c r="AM39" s="1020"/>
      <c r="AN39" s="1021"/>
      <c r="AO39" s="1025"/>
      <c r="AP39" s="1026"/>
      <c r="AQ39" s="1027"/>
      <c r="AR39" s="135"/>
      <c r="AU39" s="1004"/>
      <c r="AV39" s="1006"/>
    </row>
    <row r="40" spans="2:48" ht="15.95" hidden="1" customHeight="1" x14ac:dyDescent="0.25">
      <c r="B40" s="1063">
        <v>13</v>
      </c>
      <c r="C40" s="1028"/>
      <c r="D40" s="1029"/>
      <c r="E40" s="1029"/>
      <c r="F40" s="1029"/>
      <c r="G40" s="1029"/>
      <c r="H40" s="1029"/>
      <c r="I40" s="1029"/>
      <c r="J40" s="1029"/>
      <c r="K40" s="1029"/>
      <c r="L40" s="1029"/>
      <c r="M40" s="1030"/>
      <c r="N40" s="1034" t="str">
        <f>IF(C40="","",INDEX(PMEKITCHEN[Base Desc 1],MATCH(C40,PMEKITCHEN[Eff Desc 1],0)))</f>
        <v/>
      </c>
      <c r="O40" s="1035"/>
      <c r="P40" s="1035"/>
      <c r="Q40" s="1035"/>
      <c r="R40" s="1035"/>
      <c r="S40" s="1036"/>
      <c r="T40" s="1040" t="str">
        <f>IF(C40="","",INDEX(PMEKITCHEN[Unit of Measure],MATCH(C40,PMEKITCHEN[Eff Desc 1],0)))</f>
        <v/>
      </c>
      <c r="U40" s="1041"/>
      <c r="V40" s="1044"/>
      <c r="W40" s="1045"/>
      <c r="X40" s="1028"/>
      <c r="Y40" s="1029"/>
      <c r="Z40" s="1029"/>
      <c r="AA40" s="1030"/>
      <c r="AB40" s="1028"/>
      <c r="AC40" s="1029"/>
      <c r="AD40" s="1030"/>
      <c r="AE40" s="1048"/>
      <c r="AF40" s="1049"/>
      <c r="AG40" s="1048"/>
      <c r="AH40" s="1049"/>
      <c r="AI40" s="1052" t="str">
        <f>IF(C40="","",INDEX(PMEKITCHEN[Inc Rate Unit],MATCH(C40,PMEKITCHEN[Eff Desc 1],0)))</f>
        <v/>
      </c>
      <c r="AJ40" s="1053"/>
      <c r="AK40" s="1016" t="str">
        <f>IF(OR(C40="",V40="",X40="",AB40="",AE40="",AG40=""),"",ROUND(V40*INDEX(PMEKITCHEN[Savings per Unit kWh],MATCH(C40,PMEKITCHEN[Eff Desc 1],0)),0))</f>
        <v/>
      </c>
      <c r="AL40" s="1017"/>
      <c r="AM40" s="1017"/>
      <c r="AN40" s="1018"/>
      <c r="AO40" s="1022" t="str">
        <f>IF(OR(C40="",V40="",X40="",AB40="",AE40="",AG40=""),"",MIN(AU40,ROUND(V40*AI40,2)))</f>
        <v/>
      </c>
      <c r="AP40" s="1023"/>
      <c r="AQ40" s="1024"/>
      <c r="AR40" s="135"/>
      <c r="AU40" s="1003" t="str">
        <f t="shared" ref="AU40" si="11">IF(OR(,V40="",X40="",AB40="",AE40="",AG40=""),"",ROUND((AE40+AG40)*V40,2))</f>
        <v/>
      </c>
      <c r="AV40" s="1005" t="str">
        <f>IF(OR(C40="",V40="",X40="",AB40="",AE40="",AG40=""),"",ROUND(V40*INDEX(PMEKITCHEN[Savings per Unit kW],MATCH(C40,PMEKITCHEN[Eff Desc 1],0)),10))</f>
        <v/>
      </c>
    </row>
    <row r="41" spans="2:48" ht="15.95" hidden="1" customHeight="1" x14ac:dyDescent="0.25">
      <c r="B41" s="1063"/>
      <c r="C41" s="1031"/>
      <c r="D41" s="1032"/>
      <c r="E41" s="1032"/>
      <c r="F41" s="1032"/>
      <c r="G41" s="1032"/>
      <c r="H41" s="1032"/>
      <c r="I41" s="1032"/>
      <c r="J41" s="1032"/>
      <c r="K41" s="1032"/>
      <c r="L41" s="1032"/>
      <c r="M41" s="1033"/>
      <c r="N41" s="1037"/>
      <c r="O41" s="1038"/>
      <c r="P41" s="1038"/>
      <c r="Q41" s="1038"/>
      <c r="R41" s="1038"/>
      <c r="S41" s="1039"/>
      <c r="T41" s="1042"/>
      <c r="U41" s="1043"/>
      <c r="V41" s="1046"/>
      <c r="W41" s="1047"/>
      <c r="X41" s="1031"/>
      <c r="Y41" s="1032"/>
      <c r="Z41" s="1032"/>
      <c r="AA41" s="1033"/>
      <c r="AB41" s="1031"/>
      <c r="AC41" s="1032"/>
      <c r="AD41" s="1033"/>
      <c r="AE41" s="1050"/>
      <c r="AF41" s="1051"/>
      <c r="AG41" s="1050"/>
      <c r="AH41" s="1051"/>
      <c r="AI41" s="1054"/>
      <c r="AJ41" s="1055"/>
      <c r="AK41" s="1019"/>
      <c r="AL41" s="1020"/>
      <c r="AM41" s="1020"/>
      <c r="AN41" s="1021"/>
      <c r="AO41" s="1025"/>
      <c r="AP41" s="1026"/>
      <c r="AQ41" s="1027"/>
      <c r="AR41" s="135"/>
      <c r="AU41" s="1004"/>
      <c r="AV41" s="1006"/>
    </row>
    <row r="42" spans="2:48" ht="15.95" hidden="1" customHeight="1" x14ac:dyDescent="0.25">
      <c r="B42" s="1063">
        <v>14</v>
      </c>
      <c r="C42" s="1028"/>
      <c r="D42" s="1029"/>
      <c r="E42" s="1029"/>
      <c r="F42" s="1029"/>
      <c r="G42" s="1029"/>
      <c r="H42" s="1029"/>
      <c r="I42" s="1029"/>
      <c r="J42" s="1029"/>
      <c r="K42" s="1029"/>
      <c r="L42" s="1029"/>
      <c r="M42" s="1030"/>
      <c r="N42" s="1034" t="str">
        <f>IF(C42="","",INDEX(PMEKITCHEN[Base Desc 1],MATCH(C42,PMEKITCHEN[Eff Desc 1],0)))</f>
        <v/>
      </c>
      <c r="O42" s="1035"/>
      <c r="P42" s="1035"/>
      <c r="Q42" s="1035"/>
      <c r="R42" s="1035"/>
      <c r="S42" s="1036"/>
      <c r="T42" s="1040" t="str">
        <f>IF(C42="","",INDEX(PMEKITCHEN[Unit of Measure],MATCH(C42,PMEKITCHEN[Eff Desc 1],0)))</f>
        <v/>
      </c>
      <c r="U42" s="1041"/>
      <c r="V42" s="1044"/>
      <c r="W42" s="1045"/>
      <c r="X42" s="1028"/>
      <c r="Y42" s="1029"/>
      <c r="Z42" s="1029"/>
      <c r="AA42" s="1030"/>
      <c r="AB42" s="1028"/>
      <c r="AC42" s="1029"/>
      <c r="AD42" s="1030"/>
      <c r="AE42" s="1048"/>
      <c r="AF42" s="1049"/>
      <c r="AG42" s="1048"/>
      <c r="AH42" s="1049"/>
      <c r="AI42" s="1052" t="str">
        <f>IF(C42="","",INDEX(PMEKITCHEN[Inc Rate Unit],MATCH(C42,PMEKITCHEN[Eff Desc 1],0)))</f>
        <v/>
      </c>
      <c r="AJ42" s="1053"/>
      <c r="AK42" s="1016" t="str">
        <f>IF(OR(C42="",V42="",X42="",AB42="",AE42="",AG42=""),"",ROUND(V42*INDEX(PMEKITCHEN[Savings per Unit kWh],MATCH(C42,PMEKITCHEN[Eff Desc 1],0)),0))</f>
        <v/>
      </c>
      <c r="AL42" s="1017"/>
      <c r="AM42" s="1017"/>
      <c r="AN42" s="1018"/>
      <c r="AO42" s="1022" t="str">
        <f>IF(OR(C42="",V42="",X42="",AB42="",AE42="",AG42=""),"",MIN(AU42,ROUND(V42*AI42,2)))</f>
        <v/>
      </c>
      <c r="AP42" s="1023"/>
      <c r="AQ42" s="1024"/>
      <c r="AR42" s="135"/>
      <c r="AU42" s="1003" t="str">
        <f t="shared" ref="AU42" si="12">IF(OR(,V42="",X42="",AB42="",AE42="",AG42=""),"",ROUND((AE42+AG42)*V42,2))</f>
        <v/>
      </c>
      <c r="AV42" s="1005" t="str">
        <f>IF(OR(C42="",V42="",X42="",AB42="",AE42="",AG42=""),"",ROUND(V42*INDEX(PMEKITCHEN[Savings per Unit kW],MATCH(C42,PMEKITCHEN[Eff Desc 1],0)),10))</f>
        <v/>
      </c>
    </row>
    <row r="43" spans="2:48" ht="15.95" hidden="1" customHeight="1" x14ac:dyDescent="0.25">
      <c r="B43" s="1063"/>
      <c r="C43" s="1031"/>
      <c r="D43" s="1032"/>
      <c r="E43" s="1032"/>
      <c r="F43" s="1032"/>
      <c r="G43" s="1032"/>
      <c r="H43" s="1032"/>
      <c r="I43" s="1032"/>
      <c r="J43" s="1032"/>
      <c r="K43" s="1032"/>
      <c r="L43" s="1032"/>
      <c r="M43" s="1033"/>
      <c r="N43" s="1037"/>
      <c r="O43" s="1038"/>
      <c r="P43" s="1038"/>
      <c r="Q43" s="1038"/>
      <c r="R43" s="1038"/>
      <c r="S43" s="1039"/>
      <c r="T43" s="1042"/>
      <c r="U43" s="1043"/>
      <c r="V43" s="1046"/>
      <c r="W43" s="1047"/>
      <c r="X43" s="1031"/>
      <c r="Y43" s="1032"/>
      <c r="Z43" s="1032"/>
      <c r="AA43" s="1033"/>
      <c r="AB43" s="1031"/>
      <c r="AC43" s="1032"/>
      <c r="AD43" s="1033"/>
      <c r="AE43" s="1050"/>
      <c r="AF43" s="1051"/>
      <c r="AG43" s="1050"/>
      <c r="AH43" s="1051"/>
      <c r="AI43" s="1054"/>
      <c r="AJ43" s="1055"/>
      <c r="AK43" s="1019"/>
      <c r="AL43" s="1020"/>
      <c r="AM43" s="1020"/>
      <c r="AN43" s="1021"/>
      <c r="AO43" s="1025"/>
      <c r="AP43" s="1026"/>
      <c r="AQ43" s="1027"/>
      <c r="AR43" s="135"/>
      <c r="AU43" s="1004"/>
      <c r="AV43" s="1006"/>
    </row>
    <row r="44" spans="2:48" ht="15.95" hidden="1" customHeight="1" x14ac:dyDescent="0.25">
      <c r="B44" s="1063">
        <v>15</v>
      </c>
      <c r="C44" s="1028"/>
      <c r="D44" s="1029"/>
      <c r="E44" s="1029"/>
      <c r="F44" s="1029"/>
      <c r="G44" s="1029"/>
      <c r="H44" s="1029"/>
      <c r="I44" s="1029"/>
      <c r="J44" s="1029"/>
      <c r="K44" s="1029"/>
      <c r="L44" s="1029"/>
      <c r="M44" s="1030"/>
      <c r="N44" s="1034" t="str">
        <f>IF(C44="","",INDEX(PMEKITCHEN[Base Desc 1],MATCH(C44,PMEKITCHEN[Eff Desc 1],0)))</f>
        <v/>
      </c>
      <c r="O44" s="1035"/>
      <c r="P44" s="1035"/>
      <c r="Q44" s="1035"/>
      <c r="R44" s="1035"/>
      <c r="S44" s="1036"/>
      <c r="T44" s="1040" t="str">
        <f>IF(C44="","",INDEX(PMEKITCHEN[Unit of Measure],MATCH(C44,PMEKITCHEN[Eff Desc 1],0)))</f>
        <v/>
      </c>
      <c r="U44" s="1041"/>
      <c r="V44" s="1044"/>
      <c r="W44" s="1045"/>
      <c r="X44" s="1028"/>
      <c r="Y44" s="1029"/>
      <c r="Z44" s="1029"/>
      <c r="AA44" s="1030"/>
      <c r="AB44" s="1028"/>
      <c r="AC44" s="1029"/>
      <c r="AD44" s="1030"/>
      <c r="AE44" s="1048"/>
      <c r="AF44" s="1049"/>
      <c r="AG44" s="1048"/>
      <c r="AH44" s="1049"/>
      <c r="AI44" s="1052" t="str">
        <f>IF(C44="","",INDEX(PMEKITCHEN[Inc Rate Unit],MATCH(C44,PMEKITCHEN[Eff Desc 1],0)))</f>
        <v/>
      </c>
      <c r="AJ44" s="1053"/>
      <c r="AK44" s="1016" t="str">
        <f>IF(OR(C44="",V44="",X44="",AB44="",AE44="",AG44=""),"",ROUND(V44*INDEX(PMEKITCHEN[Savings per Unit kWh],MATCH(C44,PMEKITCHEN[Eff Desc 1],0)),0))</f>
        <v/>
      </c>
      <c r="AL44" s="1017"/>
      <c r="AM44" s="1017"/>
      <c r="AN44" s="1018"/>
      <c r="AO44" s="1022" t="str">
        <f>IF(OR(C44="",V44="",X44="",AB44="",AE44="",AG44=""),"",MIN(AU44,ROUND(V44*AI44,2)))</f>
        <v/>
      </c>
      <c r="AP44" s="1023"/>
      <c r="AQ44" s="1024"/>
      <c r="AR44" s="135"/>
      <c r="AU44" s="1003" t="str">
        <f t="shared" ref="AU44" si="13">IF(OR(,V44="",X44="",AB44="",AE44="",AG44=""),"",ROUND((AE44+AG44)*V44,2))</f>
        <v/>
      </c>
      <c r="AV44" s="1005" t="str">
        <f>IF(OR(C44="",V44="",X44="",AB44="",AE44="",AG44=""),"",ROUND(V44*INDEX(PMEKITCHEN[Savings per Unit kW],MATCH(C44,PMEKITCHEN[Eff Desc 1],0)),10))</f>
        <v/>
      </c>
    </row>
    <row r="45" spans="2:48" ht="15.95" hidden="1" customHeight="1" x14ac:dyDescent="0.25">
      <c r="B45" s="1063"/>
      <c r="C45" s="1031"/>
      <c r="D45" s="1032"/>
      <c r="E45" s="1032"/>
      <c r="F45" s="1032"/>
      <c r="G45" s="1032"/>
      <c r="H45" s="1032"/>
      <c r="I45" s="1032"/>
      <c r="J45" s="1032"/>
      <c r="K45" s="1032"/>
      <c r="L45" s="1032"/>
      <c r="M45" s="1033"/>
      <c r="N45" s="1037"/>
      <c r="O45" s="1038"/>
      <c r="P45" s="1038"/>
      <c r="Q45" s="1038"/>
      <c r="R45" s="1038"/>
      <c r="S45" s="1039"/>
      <c r="T45" s="1042"/>
      <c r="U45" s="1043"/>
      <c r="V45" s="1046"/>
      <c r="W45" s="1047"/>
      <c r="X45" s="1031"/>
      <c r="Y45" s="1032"/>
      <c r="Z45" s="1032"/>
      <c r="AA45" s="1033"/>
      <c r="AB45" s="1031"/>
      <c r="AC45" s="1032"/>
      <c r="AD45" s="1033"/>
      <c r="AE45" s="1050"/>
      <c r="AF45" s="1051"/>
      <c r="AG45" s="1050"/>
      <c r="AH45" s="1051"/>
      <c r="AI45" s="1054"/>
      <c r="AJ45" s="1055"/>
      <c r="AK45" s="1019"/>
      <c r="AL45" s="1020"/>
      <c r="AM45" s="1020"/>
      <c r="AN45" s="1021"/>
      <c r="AO45" s="1025"/>
      <c r="AP45" s="1026"/>
      <c r="AQ45" s="1027"/>
      <c r="AR45" s="135"/>
      <c r="AU45" s="1004"/>
      <c r="AV45" s="1006"/>
    </row>
    <row r="46" spans="2:48" ht="15.95" hidden="1" customHeight="1" x14ac:dyDescent="0.25">
      <c r="B46" s="1062">
        <v>16</v>
      </c>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row>
    <row r="47" spans="2:48" ht="15.95" hidden="1" customHeight="1" x14ac:dyDescent="0.25">
      <c r="B47" s="1062"/>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row>
    <row r="48" spans="2:48" ht="15.95" hidden="1" customHeight="1" x14ac:dyDescent="0.25">
      <c r="B48" s="1062">
        <v>17</v>
      </c>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row>
    <row r="49" spans="2:43" ht="15.95" hidden="1" customHeight="1" x14ac:dyDescent="0.25">
      <c r="B49" s="1062"/>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row>
    <row r="50" spans="2:43" ht="15.95" hidden="1" customHeight="1" x14ac:dyDescent="0.25">
      <c r="B50" s="1062">
        <v>18</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row>
    <row r="51" spans="2:43" ht="15.95" hidden="1" customHeight="1" x14ac:dyDescent="0.25">
      <c r="B51" s="1062"/>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row>
    <row r="52" spans="2:43" ht="15.95" hidden="1" customHeight="1" x14ac:dyDescent="0.25">
      <c r="B52" s="1062">
        <v>19</v>
      </c>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row>
    <row r="53" spans="2:43" ht="15.95" hidden="1" customHeight="1" x14ac:dyDescent="0.25">
      <c r="B53" s="1062"/>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row>
    <row r="54" spans="2:43" ht="15.95" hidden="1" customHeight="1" x14ac:dyDescent="0.25">
      <c r="B54" s="1062">
        <v>20</v>
      </c>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row>
    <row r="55" spans="2:43" ht="15.95" hidden="1" customHeight="1" x14ac:dyDescent="0.25">
      <c r="B55" s="1062"/>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row>
    <row r="56" spans="2:43" ht="15.95" hidden="1" customHeight="1" x14ac:dyDescent="0.25">
      <c r="B56" s="1062">
        <v>21</v>
      </c>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row>
    <row r="57" spans="2:43" ht="15.95" hidden="1" customHeight="1" x14ac:dyDescent="0.25">
      <c r="B57" s="1062"/>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row>
    <row r="58" spans="2:43" ht="15.95" hidden="1" customHeight="1" x14ac:dyDescent="0.25">
      <c r="B58" s="1062">
        <v>22</v>
      </c>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row>
    <row r="59" spans="2:43" ht="15.95" hidden="1" customHeight="1" x14ac:dyDescent="0.25">
      <c r="B59" s="1062"/>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row>
    <row r="60" spans="2:43" ht="15.95" hidden="1" customHeight="1" x14ac:dyDescent="0.25">
      <c r="B60" s="1062">
        <v>23</v>
      </c>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row>
    <row r="61" spans="2:43" ht="15.95" hidden="1" customHeight="1" x14ac:dyDescent="0.25">
      <c r="B61" s="1062"/>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row>
    <row r="62" spans="2:43" ht="15.95" hidden="1" customHeight="1" x14ac:dyDescent="0.25">
      <c r="B62" s="1062">
        <v>24</v>
      </c>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row>
    <row r="63" spans="2:43" ht="15.95" hidden="1" customHeight="1" x14ac:dyDescent="0.25">
      <c r="B63" s="1062"/>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row>
    <row r="64" spans="2:43" ht="15.95" hidden="1" customHeight="1" x14ac:dyDescent="0.25">
      <c r="B64" s="1062">
        <v>25</v>
      </c>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row>
    <row r="65" spans="2:43" ht="15.95" hidden="1" customHeight="1" x14ac:dyDescent="0.25">
      <c r="B65" s="1062"/>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row>
    <row r="66" spans="2:43" ht="15.95" hidden="1" customHeight="1" x14ac:dyDescent="0.25">
      <c r="B66" s="1062">
        <v>26</v>
      </c>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row>
    <row r="67" spans="2:43" ht="15.95" hidden="1" customHeight="1" x14ac:dyDescent="0.25">
      <c r="B67" s="1062"/>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row>
    <row r="68" spans="2:43" ht="15.95" hidden="1" customHeight="1" x14ac:dyDescent="0.25">
      <c r="B68" s="1062">
        <v>27</v>
      </c>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row>
    <row r="69" spans="2:43" ht="15.95" hidden="1" customHeight="1" x14ac:dyDescent="0.25">
      <c r="B69" s="1062"/>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row>
    <row r="70" spans="2:43" ht="15.95" hidden="1" customHeight="1" x14ac:dyDescent="0.25">
      <c r="B70" s="1062">
        <v>28</v>
      </c>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row>
    <row r="71" spans="2:43" ht="15.95" hidden="1" customHeight="1" x14ac:dyDescent="0.25">
      <c r="B71" s="1062"/>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row>
    <row r="72" spans="2:43" ht="15.95" hidden="1" customHeight="1" x14ac:dyDescent="0.25">
      <c r="B72" s="1062">
        <v>29</v>
      </c>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row>
    <row r="73" spans="2:43" ht="15.95" hidden="1" customHeight="1" x14ac:dyDescent="0.25">
      <c r="B73" s="1062"/>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row>
    <row r="74" spans="2:43" ht="15.95" hidden="1" customHeight="1" x14ac:dyDescent="0.25">
      <c r="B74" s="1062">
        <v>30</v>
      </c>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row>
    <row r="75" spans="2:43" ht="15.95" hidden="1" customHeight="1" x14ac:dyDescent="0.25">
      <c r="B75" s="1062"/>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row>
    <row r="76" spans="2:43" ht="15.95" hidden="1" customHeight="1" x14ac:dyDescent="0.25">
      <c r="B76" s="1062">
        <v>31</v>
      </c>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row>
    <row r="77" spans="2:43" ht="15.95" hidden="1" customHeight="1" x14ac:dyDescent="0.25">
      <c r="B77" s="1062"/>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row>
    <row r="78" spans="2:43" ht="15.95" hidden="1" customHeight="1" x14ac:dyDescent="0.25">
      <c r="B78" s="1062">
        <v>32</v>
      </c>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row>
    <row r="79" spans="2:43" ht="15.95" hidden="1" customHeight="1" x14ac:dyDescent="0.25">
      <c r="B79" s="1062"/>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row>
    <row r="80" spans="2:43" ht="15.95" hidden="1" customHeight="1" x14ac:dyDescent="0.25">
      <c r="B80" s="1062">
        <v>33</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row>
    <row r="81" spans="2:43" ht="15.95" hidden="1" customHeight="1" x14ac:dyDescent="0.25">
      <c r="B81" s="1062"/>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row>
    <row r="82" spans="2:43" ht="15.95" hidden="1" customHeight="1" x14ac:dyDescent="0.25">
      <c r="B82" s="1062">
        <v>34</v>
      </c>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row>
    <row r="83" spans="2:43" ht="15.95" hidden="1" customHeight="1" x14ac:dyDescent="0.25">
      <c r="B83" s="1062"/>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row>
    <row r="84" spans="2:43" ht="15.95" hidden="1" customHeight="1" x14ac:dyDescent="0.25">
      <c r="B84" s="1062">
        <v>35</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row>
    <row r="85" spans="2:43" ht="15.95" hidden="1" customHeight="1" x14ac:dyDescent="0.25">
      <c r="B85" s="1062"/>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row>
    <row r="86" spans="2:43" ht="15.95" hidden="1" customHeight="1" x14ac:dyDescent="0.25">
      <c r="B86" s="1062">
        <v>36</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row>
    <row r="87" spans="2:43" ht="15.95" hidden="1" customHeight="1" x14ac:dyDescent="0.25">
      <c r="B87" s="1062"/>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row>
    <row r="88" spans="2:43" ht="15.95" hidden="1" customHeight="1" x14ac:dyDescent="0.25">
      <c r="B88" s="1062">
        <v>37</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row>
    <row r="89" spans="2:43" ht="15.95" hidden="1" customHeight="1" x14ac:dyDescent="0.25">
      <c r="B89" s="1062"/>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row>
    <row r="90" spans="2:43" ht="15.95" hidden="1" customHeight="1" x14ac:dyDescent="0.25">
      <c r="B90" s="1062">
        <v>38</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row>
    <row r="91" spans="2:43" ht="15.95" hidden="1" customHeight="1" x14ac:dyDescent="0.25">
      <c r="B91" s="1062"/>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row>
    <row r="92" spans="2:43" ht="15.95" hidden="1" customHeight="1" x14ac:dyDescent="0.25">
      <c r="B92" s="1062">
        <v>39</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row>
    <row r="93" spans="2:43" ht="15.95" hidden="1" customHeight="1" x14ac:dyDescent="0.25">
      <c r="B93" s="1062"/>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row>
    <row r="94" spans="2:43" ht="15.95" hidden="1" customHeight="1" x14ac:dyDescent="0.25">
      <c r="B94" s="1062">
        <v>40</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row>
    <row r="95" spans="2:43" ht="15.95" hidden="1" customHeight="1" x14ac:dyDescent="0.25">
      <c r="B95" s="1062"/>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row>
    <row r="96" spans="2:43" ht="15.95" hidden="1" customHeight="1" x14ac:dyDescent="0.25">
      <c r="B96" s="1062">
        <v>41</v>
      </c>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row>
    <row r="97" spans="2:43" ht="15.95" hidden="1" customHeight="1" x14ac:dyDescent="0.25">
      <c r="B97" s="1062"/>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row>
    <row r="98" spans="2:43" ht="15.95" hidden="1" customHeight="1" x14ac:dyDescent="0.25">
      <c r="B98" s="1062">
        <v>42</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row>
    <row r="99" spans="2:43" ht="15.95" hidden="1" customHeight="1" x14ac:dyDescent="0.25">
      <c r="B99" s="1062"/>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row>
    <row r="100" spans="2:43" ht="15.95" hidden="1" customHeight="1" x14ac:dyDescent="0.25">
      <c r="B100" s="1062">
        <v>43</v>
      </c>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row>
    <row r="101" spans="2:43" ht="15.95" hidden="1" customHeight="1" x14ac:dyDescent="0.25">
      <c r="B101" s="1062"/>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row>
    <row r="102" spans="2:43" ht="15.95" hidden="1" customHeight="1" x14ac:dyDescent="0.25">
      <c r="B102" s="1062">
        <v>44</v>
      </c>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row>
    <row r="103" spans="2:43" ht="15.95" hidden="1" customHeight="1" x14ac:dyDescent="0.25">
      <c r="B103" s="1062"/>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row>
    <row r="104" spans="2:43" ht="15.95" hidden="1" customHeight="1" x14ac:dyDescent="0.25">
      <c r="B104" s="1062">
        <v>45</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row>
    <row r="105" spans="2:43" ht="15.95" hidden="1" customHeight="1" x14ac:dyDescent="0.25">
      <c r="B105" s="1062"/>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row>
    <row r="106" spans="2:43" ht="15.95" hidden="1" customHeight="1" x14ac:dyDescent="0.25">
      <c r="B106" s="1062">
        <v>46</v>
      </c>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row>
    <row r="107" spans="2:43" ht="15.95" hidden="1" customHeight="1" x14ac:dyDescent="0.25">
      <c r="B107" s="1062"/>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row>
    <row r="108" spans="2:43" ht="15.95" hidden="1" customHeight="1" x14ac:dyDescent="0.25">
      <c r="B108" s="1062">
        <v>47</v>
      </c>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row>
    <row r="109" spans="2:43" ht="15.95" hidden="1" customHeight="1" x14ac:dyDescent="0.25">
      <c r="B109" s="1062"/>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row>
    <row r="110" spans="2:43" ht="15.95" hidden="1" customHeight="1" x14ac:dyDescent="0.25">
      <c r="B110" s="1062">
        <v>48</v>
      </c>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row>
    <row r="111" spans="2:43" ht="15.95" hidden="1" customHeight="1" x14ac:dyDescent="0.25">
      <c r="B111" s="1062"/>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row>
    <row r="112" spans="2:43" ht="15.95" hidden="1" customHeight="1" x14ac:dyDescent="0.25">
      <c r="B112" s="1062">
        <v>49</v>
      </c>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row>
    <row r="113" spans="2:43" ht="15.95" hidden="1" customHeight="1" x14ac:dyDescent="0.25">
      <c r="B113" s="1062"/>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row>
    <row r="114" spans="2:43" ht="15.95" hidden="1" customHeight="1" x14ac:dyDescent="0.25">
      <c r="B114" s="1062">
        <v>50</v>
      </c>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row>
    <row r="115" spans="2:43" ht="15.95" hidden="1" customHeight="1" x14ac:dyDescent="0.25">
      <c r="B115" s="1062"/>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row>
    <row r="116" spans="2:43" ht="15.95" hidden="1" customHeight="1" x14ac:dyDescent="0.25">
      <c r="B116" s="1062">
        <v>51</v>
      </c>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row>
    <row r="117" spans="2:43" ht="15.95" hidden="1" customHeight="1" x14ac:dyDescent="0.25">
      <c r="B117" s="1062"/>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row>
    <row r="118" spans="2:43" ht="15.95" hidden="1" customHeight="1" x14ac:dyDescent="0.25">
      <c r="B118" s="1062">
        <v>52</v>
      </c>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row>
    <row r="119" spans="2:43" ht="15.95" hidden="1" customHeight="1" x14ac:dyDescent="0.25">
      <c r="B119" s="1062"/>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row>
    <row r="120" spans="2:43" ht="15.95" hidden="1" customHeight="1" x14ac:dyDescent="0.25">
      <c r="B120" s="1062">
        <v>53</v>
      </c>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row>
    <row r="121" spans="2:43" ht="15.95" hidden="1" customHeight="1" x14ac:dyDescent="0.25">
      <c r="B121" s="1062"/>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row>
    <row r="122" spans="2:43" ht="15.95" hidden="1" customHeight="1" x14ac:dyDescent="0.25">
      <c r="B122" s="1062">
        <v>54</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row>
    <row r="123" spans="2:43" ht="15.95" hidden="1" customHeight="1" x14ac:dyDescent="0.25">
      <c r="B123" s="1062"/>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row>
    <row r="124" spans="2:43" ht="15.95" hidden="1" customHeight="1" x14ac:dyDescent="0.25">
      <c r="B124" s="1062">
        <v>55</v>
      </c>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row>
    <row r="125" spans="2:43" ht="15.95" hidden="1" customHeight="1" x14ac:dyDescent="0.25">
      <c r="B125" s="1062"/>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row>
    <row r="126" spans="2:43" ht="15.95" hidden="1" customHeight="1" x14ac:dyDescent="0.25">
      <c r="B126" s="1062">
        <v>56</v>
      </c>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row>
    <row r="127" spans="2:43" ht="15.95" hidden="1" customHeight="1" x14ac:dyDescent="0.25">
      <c r="B127" s="1062"/>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row>
    <row r="128" spans="2:43" ht="15.95" hidden="1" customHeight="1" x14ac:dyDescent="0.25">
      <c r="B128" s="1062">
        <v>57</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row>
    <row r="129" spans="2:43" ht="15.95" hidden="1" customHeight="1" x14ac:dyDescent="0.25">
      <c r="B129" s="1062"/>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row>
    <row r="130" spans="2:43" ht="15.95" hidden="1" customHeight="1" x14ac:dyDescent="0.25">
      <c r="B130" s="1062">
        <v>58</v>
      </c>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row>
    <row r="131" spans="2:43" ht="15.95" hidden="1" customHeight="1" x14ac:dyDescent="0.25">
      <c r="B131" s="1062"/>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row>
    <row r="132" spans="2:43" ht="15.95" hidden="1" customHeight="1" x14ac:dyDescent="0.25">
      <c r="B132" s="1062">
        <v>59</v>
      </c>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row>
    <row r="133" spans="2:43" ht="15.95" hidden="1" customHeight="1" x14ac:dyDescent="0.25">
      <c r="B133" s="1062"/>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row>
    <row r="134" spans="2:43" ht="15.95" hidden="1" customHeight="1" x14ac:dyDescent="0.25">
      <c r="B134" s="1062">
        <v>60</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row>
    <row r="135" spans="2:43" ht="15.95" hidden="1" customHeight="1" x14ac:dyDescent="0.25">
      <c r="B135" s="1062"/>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row>
    <row r="136" spans="2:43" ht="15.95" hidden="1" customHeight="1" x14ac:dyDescent="0.25">
      <c r="B136" s="1062">
        <v>61</v>
      </c>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row>
    <row r="137" spans="2:43" ht="15.95" hidden="1" customHeight="1" x14ac:dyDescent="0.25">
      <c r="B137" s="1062"/>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row>
    <row r="138" spans="2:43" ht="15.95" hidden="1" customHeight="1" x14ac:dyDescent="0.25">
      <c r="B138" s="1062">
        <v>62</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row>
    <row r="139" spans="2:43" ht="15.95" hidden="1" customHeight="1" x14ac:dyDescent="0.25">
      <c r="B139" s="1062"/>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row>
    <row r="140" spans="2:43" ht="15.95" hidden="1" customHeight="1" x14ac:dyDescent="0.25">
      <c r="B140" s="1062">
        <v>63</v>
      </c>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row>
    <row r="141" spans="2:43" ht="15.95" hidden="1" customHeight="1" x14ac:dyDescent="0.25">
      <c r="B141" s="1062"/>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row>
    <row r="142" spans="2:43" ht="15.95" hidden="1" customHeight="1" x14ac:dyDescent="0.25">
      <c r="B142" s="1062">
        <v>64</v>
      </c>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row>
    <row r="143" spans="2:43" ht="15.95" hidden="1" customHeight="1" x14ac:dyDescent="0.25">
      <c r="B143" s="1062"/>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row>
    <row r="144" spans="2:43" ht="15.95" hidden="1" customHeight="1" x14ac:dyDescent="0.25">
      <c r="B144" s="1062">
        <v>65</v>
      </c>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row>
    <row r="145" spans="2:43" ht="15.95" hidden="1" customHeight="1" x14ac:dyDescent="0.25">
      <c r="B145" s="1062"/>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row>
    <row r="146" spans="2:43" ht="15.95" hidden="1" customHeight="1" x14ac:dyDescent="0.25">
      <c r="B146" s="1062">
        <v>66</v>
      </c>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row>
    <row r="147" spans="2:43" ht="15.95" hidden="1" customHeight="1" x14ac:dyDescent="0.25">
      <c r="B147" s="1062"/>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row>
    <row r="148" spans="2:43" ht="15.95" hidden="1" customHeight="1" x14ac:dyDescent="0.25">
      <c r="B148" s="1062">
        <v>67</v>
      </c>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row>
    <row r="149" spans="2:43" ht="15.95" hidden="1" customHeight="1" x14ac:dyDescent="0.25">
      <c r="B149" s="1062"/>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row>
    <row r="150" spans="2:43" ht="15.95" hidden="1" customHeight="1" x14ac:dyDescent="0.25">
      <c r="B150" s="1062">
        <v>68</v>
      </c>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row>
    <row r="151" spans="2:43" ht="15.95" hidden="1" customHeight="1" x14ac:dyDescent="0.25">
      <c r="B151" s="1062"/>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row>
    <row r="152" spans="2:43" ht="15.95" hidden="1" customHeight="1" x14ac:dyDescent="0.25">
      <c r="B152" s="1062">
        <v>69</v>
      </c>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row>
    <row r="153" spans="2:43" ht="15.95" hidden="1" customHeight="1" x14ac:dyDescent="0.25">
      <c r="B153" s="1062"/>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row>
    <row r="154" spans="2:43" ht="15.95" hidden="1" customHeight="1" x14ac:dyDescent="0.25">
      <c r="B154" s="1062">
        <v>70</v>
      </c>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row>
    <row r="155" spans="2:43" ht="15.95" hidden="1" customHeight="1" x14ac:dyDescent="0.25">
      <c r="B155" s="1062"/>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row>
    <row r="156" spans="2:43" ht="15.95" hidden="1" customHeight="1" x14ac:dyDescent="0.25">
      <c r="B156" s="1062">
        <v>71</v>
      </c>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row>
    <row r="157" spans="2:43" ht="15.95" hidden="1" customHeight="1" x14ac:dyDescent="0.25">
      <c r="B157" s="1062"/>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row>
    <row r="158" spans="2:43" ht="15.95" hidden="1" customHeight="1" x14ac:dyDescent="0.25">
      <c r="B158" s="1062">
        <v>72</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3" ht="15.95" hidden="1" customHeight="1" x14ac:dyDescent="0.25">
      <c r="B159" s="1062"/>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3" ht="15.95" hidden="1" customHeight="1" x14ac:dyDescent="0.25">
      <c r="B160" s="1062">
        <v>73</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hidden="1" customHeight="1" x14ac:dyDescent="0.25">
      <c r="B161" s="1062"/>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hidden="1" customHeight="1" x14ac:dyDescent="0.25">
      <c r="B162" s="1062">
        <v>74</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hidden="1" customHeight="1" x14ac:dyDescent="0.25">
      <c r="B163" s="1062"/>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hidden="1" customHeight="1" x14ac:dyDescent="0.25">
      <c r="B164" s="1062">
        <v>75</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hidden="1" customHeight="1" x14ac:dyDescent="0.25">
      <c r="B165" s="1062"/>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hidden="1" customHeight="1" x14ac:dyDescent="0.25">
      <c r="B166" s="1062">
        <v>76</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hidden="1" customHeight="1" x14ac:dyDescent="0.25">
      <c r="B167" s="1062"/>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hidden="1" customHeight="1" x14ac:dyDescent="0.25">
      <c r="B168" s="1062">
        <v>77</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hidden="1" customHeight="1" x14ac:dyDescent="0.25">
      <c r="B169" s="1062"/>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hidden="1" customHeight="1" x14ac:dyDescent="0.25">
      <c r="B170" s="1062">
        <v>78</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hidden="1" customHeight="1" x14ac:dyDescent="0.25">
      <c r="B171" s="1062"/>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hidden="1" customHeight="1" x14ac:dyDescent="0.25">
      <c r="B172" s="1062">
        <v>79</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hidden="1" customHeight="1" x14ac:dyDescent="0.25">
      <c r="B173" s="1062"/>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hidden="1" customHeight="1" x14ac:dyDescent="0.25">
      <c r="B174" s="1062">
        <v>80</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hidden="1" customHeight="1" x14ac:dyDescent="0.25">
      <c r="B175" s="1062"/>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hidden="1" customHeight="1" x14ac:dyDescent="0.25">
      <c r="B176" s="1062">
        <v>81</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hidden="1" customHeight="1" x14ac:dyDescent="0.25">
      <c r="B177" s="1062"/>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hidden="1" customHeight="1" x14ac:dyDescent="0.25">
      <c r="B178" s="1062">
        <v>82</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hidden="1" customHeight="1" x14ac:dyDescent="0.25">
      <c r="B179" s="1062"/>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hidden="1" customHeight="1" x14ac:dyDescent="0.25">
      <c r="B180" s="1062">
        <v>83</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hidden="1" customHeight="1" x14ac:dyDescent="0.25">
      <c r="B181" s="1062"/>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hidden="1" customHeight="1" x14ac:dyDescent="0.25">
      <c r="B182" s="1062">
        <v>84</v>
      </c>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hidden="1" customHeight="1" x14ac:dyDescent="0.25">
      <c r="B183" s="1062"/>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hidden="1" customHeight="1" x14ac:dyDescent="0.25">
      <c r="B184" s="1062">
        <v>85</v>
      </c>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hidden="1" customHeight="1" x14ac:dyDescent="0.25">
      <c r="B185" s="1062"/>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hidden="1" customHeight="1" x14ac:dyDescent="0.25">
      <c r="B186" s="1062">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hidden="1" customHeight="1" x14ac:dyDescent="0.25">
      <c r="B187" s="1062"/>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hidden="1" customHeight="1" x14ac:dyDescent="0.25">
      <c r="B188" s="1062">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hidden="1" customHeight="1" x14ac:dyDescent="0.25">
      <c r="B189" s="1062"/>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hidden="1" customHeight="1" x14ac:dyDescent="0.25">
      <c r="B190" s="1062">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hidden="1" customHeight="1" x14ac:dyDescent="0.25">
      <c r="B191" s="1062"/>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hidden="1" customHeight="1" x14ac:dyDescent="0.25">
      <c r="B192" s="1062">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8" ht="15.95" hidden="1" customHeight="1" x14ac:dyDescent="0.25">
      <c r="B193" s="1062"/>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8" ht="15.95" hidden="1" customHeight="1" x14ac:dyDescent="0.25">
      <c r="B194" s="1062">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8" ht="15.95" hidden="1" customHeight="1" x14ac:dyDescent="0.25">
      <c r="B195" s="1062"/>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8" ht="15.95" hidden="1" customHeight="1" x14ac:dyDescent="0.25">
      <c r="B196" s="1062">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8" ht="15.95" hidden="1" customHeight="1" x14ac:dyDescent="0.25">
      <c r="B197" s="1062"/>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8" ht="15.95" hidden="1" customHeight="1" x14ac:dyDescent="0.25">
      <c r="B198" s="1062">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8" ht="15.95" hidden="1" customHeight="1" x14ac:dyDescent="0.25">
      <c r="B199" s="1062"/>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8" ht="15.95" customHeight="1" x14ac:dyDescent="0.25">
      <c r="B200" s="136" t="str">
        <f>FOOT1</f>
        <v>Ameren Missouri BizSavers program</v>
      </c>
      <c r="C200" s="136"/>
      <c r="D200" s="136"/>
      <c r="E200" s="136"/>
      <c r="F200" s="136"/>
      <c r="G200" s="136"/>
      <c r="H200" s="136"/>
      <c r="I200" s="136"/>
      <c r="J200" s="136"/>
      <c r="K200" s="136"/>
      <c r="L200" s="136"/>
      <c r="M200" s="729" t="str">
        <f>FOOTDISCLAIM</f>
        <v/>
      </c>
      <c r="N200" s="729"/>
      <c r="O200" s="729"/>
      <c r="P200" s="729"/>
      <c r="Q200" s="729"/>
      <c r="R200" s="729"/>
      <c r="S200" s="729"/>
      <c r="T200" s="729"/>
      <c r="U200" s="729"/>
      <c r="V200" s="729"/>
      <c r="W200" s="729"/>
      <c r="X200" s="729"/>
      <c r="Y200" s="729"/>
      <c r="Z200" s="729"/>
      <c r="AA200" s="729"/>
      <c r="AB200" s="729"/>
      <c r="AC200" s="729"/>
      <c r="AD200" s="729"/>
      <c r="AE200" s="729"/>
      <c r="AF200" s="729"/>
      <c r="AG200" s="729"/>
      <c r="AH200" s="136"/>
      <c r="AI200" s="136"/>
      <c r="AJ200" s="136"/>
      <c r="AK200" s="136"/>
      <c r="AL200" s="136"/>
      <c r="AM200" s="136"/>
      <c r="AN200" s="136"/>
      <c r="AO200" s="136"/>
      <c r="AP200" s="136"/>
      <c r="AQ200" s="136"/>
      <c r="AR200" s="300" t="str">
        <f>FOOT4</f>
        <v/>
      </c>
      <c r="AU200" s="1003">
        <f>SUM(AU16:AU199)</f>
        <v>0</v>
      </c>
      <c r="AV200" s="1005">
        <f>SUM(AV16:AV199)</f>
        <v>0</v>
      </c>
    </row>
    <row r="201" spans="2:48" ht="15.95" customHeight="1" x14ac:dyDescent="0.25">
      <c r="B201" s="136" t="str">
        <f>FOOT2</f>
        <v>Toll-Free 866-941-7299</v>
      </c>
      <c r="C201" s="136"/>
      <c r="D201" s="136"/>
      <c r="E201" s="136"/>
      <c r="F201" s="136"/>
      <c r="G201" s="136"/>
      <c r="H201" s="136"/>
      <c r="I201" s="136"/>
      <c r="J201" s="136"/>
      <c r="K201" s="136"/>
      <c r="L201" s="136"/>
      <c r="M201" s="729"/>
      <c r="N201" s="729"/>
      <c r="O201" s="729"/>
      <c r="P201" s="729"/>
      <c r="Q201" s="729"/>
      <c r="R201" s="729"/>
      <c r="S201" s="729"/>
      <c r="T201" s="729"/>
      <c r="U201" s="729"/>
      <c r="V201" s="729"/>
      <c r="W201" s="729"/>
      <c r="X201" s="729"/>
      <c r="Y201" s="729"/>
      <c r="Z201" s="729"/>
      <c r="AA201" s="729"/>
      <c r="AB201" s="729"/>
      <c r="AC201" s="729"/>
      <c r="AD201" s="729"/>
      <c r="AE201" s="729"/>
      <c r="AF201" s="729"/>
      <c r="AG201" s="729"/>
      <c r="AH201" s="136"/>
      <c r="AI201" s="136"/>
      <c r="AJ201" s="136"/>
      <c r="AK201" s="136"/>
      <c r="AL201" s="136"/>
      <c r="AM201" s="136"/>
      <c r="AN201" s="136"/>
      <c r="AO201" s="136"/>
      <c r="AP201" s="136"/>
      <c r="AQ201" s="136"/>
      <c r="AR201" s="300" t="str">
        <f>FOOT5</f>
        <v/>
      </c>
      <c r="AU201" s="1004"/>
      <c r="AV201" s="1006"/>
    </row>
    <row r="202" spans="2:48" ht="15.95" customHeight="1" x14ac:dyDescent="0.25">
      <c r="B202" s="138" t="str">
        <f>FOOT3</f>
        <v>BizSavers@ameren.com</v>
      </c>
      <c r="C202" s="136"/>
      <c r="D202" s="136"/>
      <c r="E202" s="136"/>
      <c r="F202" s="136"/>
      <c r="G202" s="136"/>
      <c r="H202" s="136"/>
      <c r="I202" s="136"/>
      <c r="J202" s="136"/>
      <c r="K202" s="136"/>
      <c r="L202" s="136"/>
      <c r="M202" s="139"/>
      <c r="N202" s="136"/>
      <c r="O202" s="136"/>
      <c r="P202" s="139"/>
      <c r="Q202" s="139"/>
      <c r="R202" s="139"/>
      <c r="S202" s="139"/>
      <c r="T202" s="139"/>
      <c r="U202" s="139"/>
      <c r="V202" s="139"/>
      <c r="W202" s="140" t="str">
        <f>VERSION</f>
        <v>New Construction v3.8.0</v>
      </c>
      <c r="X202" s="139"/>
      <c r="Y202" s="139"/>
      <c r="Z202" s="139"/>
      <c r="AA202" s="139"/>
      <c r="AB202" s="139"/>
      <c r="AC202" s="139"/>
      <c r="AD202" s="139"/>
      <c r="AE202" s="136"/>
      <c r="AF202" s="136"/>
      <c r="AG202" s="136"/>
      <c r="AH202" s="136"/>
      <c r="AI202" s="136"/>
      <c r="AJ202" s="136"/>
      <c r="AK202" s="136"/>
      <c r="AL202" s="136"/>
      <c r="AM202" s="136"/>
      <c r="AN202" s="136"/>
      <c r="AO202" s="136"/>
      <c r="AP202" s="136"/>
      <c r="AQ202" s="136"/>
      <c r="AR202" s="300" t="str">
        <f>FOOT6</f>
        <v>Product of TRC Companies</v>
      </c>
    </row>
    <row r="203" spans="2:48" ht="15" hidden="1" customHeight="1" x14ac:dyDescent="0.25"/>
  </sheetData>
  <sheetProtection algorithmName="SHA-512" hashValue="a68OPxLmFiwR4TShbKHDrYIBZWVMeA1Yga89C5WRuhD+maUSn9SMNgHohk4dIzBLslFcxoSFyhyisrC4fecL6g==" saltValue="NtOz2pBx2xUcOKoL81o8aA==" spinCount="100000" sheet="1" objects="1" scenarios="1" selectLockedCells="1"/>
  <mergeCells count="316">
    <mergeCell ref="AU44:AU45"/>
    <mergeCell ref="AV44:AV45"/>
    <mergeCell ref="AU200:AU201"/>
    <mergeCell ref="AV200:AV201"/>
    <mergeCell ref="AU34:AU35"/>
    <mergeCell ref="AV34:AV35"/>
    <mergeCell ref="AU36:AU37"/>
    <mergeCell ref="AV36:AV37"/>
    <mergeCell ref="AU38:AU39"/>
    <mergeCell ref="AV38:AV39"/>
    <mergeCell ref="AU40:AU41"/>
    <mergeCell ref="AV40:AV41"/>
    <mergeCell ref="AU42:AU43"/>
    <mergeCell ref="AV42:AV43"/>
    <mergeCell ref="AU24:AU25"/>
    <mergeCell ref="AV24:AV25"/>
    <mergeCell ref="AU26:AU27"/>
    <mergeCell ref="AV26:AV27"/>
    <mergeCell ref="AU28:AU29"/>
    <mergeCell ref="AV28:AV29"/>
    <mergeCell ref="AU30:AU31"/>
    <mergeCell ref="AV30:AV31"/>
    <mergeCell ref="AU32:AU33"/>
    <mergeCell ref="AV32:AV33"/>
    <mergeCell ref="AU14:AU15"/>
    <mergeCell ref="AV14:AV15"/>
    <mergeCell ref="AU16:AU17"/>
    <mergeCell ref="AV16:AV17"/>
    <mergeCell ref="AU18:AU19"/>
    <mergeCell ref="AV18:AV19"/>
    <mergeCell ref="AU20:AU21"/>
    <mergeCell ref="AV20:AV21"/>
    <mergeCell ref="AU22:AU23"/>
    <mergeCell ref="AV22:AV23"/>
    <mergeCell ref="B16:B17"/>
    <mergeCell ref="R11:U11"/>
    <mergeCell ref="V11:Y11"/>
    <mergeCell ref="Z11:AC11"/>
    <mergeCell ref="C14:M15"/>
    <mergeCell ref="N14:S15"/>
    <mergeCell ref="T14:U15"/>
    <mergeCell ref="V14:W15"/>
    <mergeCell ref="X14:AA15"/>
    <mergeCell ref="AB14:AD15"/>
    <mergeCell ref="C16:M17"/>
    <mergeCell ref="N16:S17"/>
    <mergeCell ref="T16:U17"/>
    <mergeCell ref="V16:W17"/>
    <mergeCell ref="X16:AA17"/>
    <mergeCell ref="AB16:AD17"/>
    <mergeCell ref="R12:U13"/>
    <mergeCell ref="V12:Y13"/>
    <mergeCell ref="Z12:AC13"/>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AE14:AF15"/>
    <mergeCell ref="AG14:AH15"/>
    <mergeCell ref="AI14:AJ15"/>
    <mergeCell ref="AK14:AN15"/>
    <mergeCell ref="AO14:AQ15"/>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AE16:AF17"/>
    <mergeCell ref="AG16:AH17"/>
    <mergeCell ref="AI16:AJ17"/>
    <mergeCell ref="AK16:AN17"/>
    <mergeCell ref="AO16:AQ17"/>
    <mergeCell ref="C18:M19"/>
    <mergeCell ref="N18:S19"/>
    <mergeCell ref="T18:U19"/>
    <mergeCell ref="V18:W19"/>
    <mergeCell ref="X18:AA19"/>
    <mergeCell ref="AB18:AD19"/>
    <mergeCell ref="AE18:AF19"/>
    <mergeCell ref="AG18:AH19"/>
    <mergeCell ref="AI18:AJ19"/>
    <mergeCell ref="AK18:AN19"/>
    <mergeCell ref="AO18:AQ19"/>
    <mergeCell ref="AK20:AN21"/>
    <mergeCell ref="AO20:AQ21"/>
    <mergeCell ref="C22:M23"/>
    <mergeCell ref="N22:S23"/>
    <mergeCell ref="T22:U23"/>
    <mergeCell ref="V22:W23"/>
    <mergeCell ref="X22:AA23"/>
    <mergeCell ref="AB22:AD23"/>
    <mergeCell ref="AE22:AF23"/>
    <mergeCell ref="AG22:AH23"/>
    <mergeCell ref="AI22:AJ23"/>
    <mergeCell ref="AK22:AN23"/>
    <mergeCell ref="AO22:AQ23"/>
    <mergeCell ref="C20:M21"/>
    <mergeCell ref="N20:S21"/>
    <mergeCell ref="T20:U21"/>
    <mergeCell ref="V20:W21"/>
    <mergeCell ref="X20:AA21"/>
    <mergeCell ref="AB20:AD21"/>
    <mergeCell ref="AE20:AF21"/>
    <mergeCell ref="AG20:AH21"/>
    <mergeCell ref="AI20:AJ21"/>
    <mergeCell ref="AK24:AN25"/>
    <mergeCell ref="AO24:AQ25"/>
    <mergeCell ref="C26:M27"/>
    <mergeCell ref="N26:S27"/>
    <mergeCell ref="T26:U27"/>
    <mergeCell ref="V26:W27"/>
    <mergeCell ref="X26:AA27"/>
    <mergeCell ref="AB26:AD27"/>
    <mergeCell ref="AE26:AF27"/>
    <mergeCell ref="AG26:AH27"/>
    <mergeCell ref="AI26:AJ27"/>
    <mergeCell ref="AK26:AN27"/>
    <mergeCell ref="AO26:AQ27"/>
    <mergeCell ref="C24:M25"/>
    <mergeCell ref="N24:S25"/>
    <mergeCell ref="T24:U25"/>
    <mergeCell ref="V24:W25"/>
    <mergeCell ref="X24:AA25"/>
    <mergeCell ref="AB24:AD25"/>
    <mergeCell ref="AE24:AF25"/>
    <mergeCell ref="AG24:AH25"/>
    <mergeCell ref="AI24:AJ25"/>
    <mergeCell ref="AO30:AQ31"/>
    <mergeCell ref="C28:M29"/>
    <mergeCell ref="N28:S29"/>
    <mergeCell ref="T28:U29"/>
    <mergeCell ref="V28:W29"/>
    <mergeCell ref="X28:AA29"/>
    <mergeCell ref="AB28:AD29"/>
    <mergeCell ref="AE28:AF29"/>
    <mergeCell ref="AG28:AH29"/>
    <mergeCell ref="AI28:AJ29"/>
    <mergeCell ref="C30:M31"/>
    <mergeCell ref="N30:S31"/>
    <mergeCell ref="T30:U31"/>
    <mergeCell ref="V30:W31"/>
    <mergeCell ref="X30:AA31"/>
    <mergeCell ref="AB30:AD31"/>
    <mergeCell ref="AE30:AF31"/>
    <mergeCell ref="AG30:AH31"/>
    <mergeCell ref="AI30:AJ31"/>
    <mergeCell ref="C32:M33"/>
    <mergeCell ref="N32:S33"/>
    <mergeCell ref="T32:U33"/>
    <mergeCell ref="V32:W33"/>
    <mergeCell ref="X32:AA33"/>
    <mergeCell ref="AB32:AD33"/>
    <mergeCell ref="AE32:AF33"/>
    <mergeCell ref="AG32:AH33"/>
    <mergeCell ref="AI32:AJ33"/>
    <mergeCell ref="C34:M35"/>
    <mergeCell ref="N34:S35"/>
    <mergeCell ref="T34:U35"/>
    <mergeCell ref="V34:W35"/>
    <mergeCell ref="X34:AA35"/>
    <mergeCell ref="AB34:AD35"/>
    <mergeCell ref="AE34:AF35"/>
    <mergeCell ref="AG34:AH35"/>
    <mergeCell ref="AI34:AJ35"/>
    <mergeCell ref="C36:M37"/>
    <mergeCell ref="N36:S37"/>
    <mergeCell ref="T36:U37"/>
    <mergeCell ref="V36:W37"/>
    <mergeCell ref="X36:AA37"/>
    <mergeCell ref="AB36:AD37"/>
    <mergeCell ref="AE36:AF37"/>
    <mergeCell ref="AG36:AH37"/>
    <mergeCell ref="AI36:AJ37"/>
    <mergeCell ref="C38:M39"/>
    <mergeCell ref="N38:S39"/>
    <mergeCell ref="T38:U39"/>
    <mergeCell ref="V38:W39"/>
    <mergeCell ref="X38:AA39"/>
    <mergeCell ref="AB38:AD39"/>
    <mergeCell ref="AE38:AF39"/>
    <mergeCell ref="AG38:AH39"/>
    <mergeCell ref="AI38:AJ39"/>
    <mergeCell ref="C40:M41"/>
    <mergeCell ref="N40:S41"/>
    <mergeCell ref="T40:U41"/>
    <mergeCell ref="V40:W41"/>
    <mergeCell ref="X40:AA41"/>
    <mergeCell ref="AB40:AD41"/>
    <mergeCell ref="AE40:AF41"/>
    <mergeCell ref="AG40:AH41"/>
    <mergeCell ref="AI40:AJ41"/>
    <mergeCell ref="C42:M43"/>
    <mergeCell ref="N42:S43"/>
    <mergeCell ref="T42:U43"/>
    <mergeCell ref="V42:W43"/>
    <mergeCell ref="X42:AA43"/>
    <mergeCell ref="AB42:AD43"/>
    <mergeCell ref="AE42:AF43"/>
    <mergeCell ref="AG42:AH43"/>
    <mergeCell ref="AI42:AJ43"/>
    <mergeCell ref="C44:M45"/>
    <mergeCell ref="N44:S45"/>
    <mergeCell ref="T44:U45"/>
    <mergeCell ref="V44:W45"/>
    <mergeCell ref="X44:AA45"/>
    <mergeCell ref="AB44:AD45"/>
    <mergeCell ref="AE44:AF45"/>
    <mergeCell ref="AG44:AH45"/>
    <mergeCell ref="AI44:AJ45"/>
    <mergeCell ref="AH1:AK1"/>
    <mergeCell ref="AL1:AP1"/>
    <mergeCell ref="AH2:AK3"/>
    <mergeCell ref="AL2:AP3"/>
    <mergeCell ref="AQ1:AR1"/>
    <mergeCell ref="AQ2:AR3"/>
    <mergeCell ref="R9:AC10"/>
    <mergeCell ref="AK44:AN45"/>
    <mergeCell ref="AO44:AQ45"/>
    <mergeCell ref="AK40:AN41"/>
    <mergeCell ref="AO40:AQ41"/>
    <mergeCell ref="AK42:AN43"/>
    <mergeCell ref="AO42:AQ43"/>
    <mergeCell ref="AK36:AN37"/>
    <mergeCell ref="AO36:AQ37"/>
    <mergeCell ref="AK38:AN39"/>
    <mergeCell ref="AO38:AQ39"/>
    <mergeCell ref="AK32:AN33"/>
    <mergeCell ref="AO32:AQ33"/>
    <mergeCell ref="AK34:AN35"/>
    <mergeCell ref="AO34:AQ35"/>
    <mergeCell ref="AK28:AN29"/>
    <mergeCell ref="AO28:AQ29"/>
    <mergeCell ref="AK30:AN31"/>
  </mergeCells>
  <conditionalFormatting sqref="AQ2:AR3">
    <cfRule type="cellIs" dxfId="234" priority="3" operator="equal">
      <formula>1</formula>
    </cfRule>
    <cfRule type="cellIs" dxfId="233" priority="4" operator="between">
      <formula>0.51</formula>
      <formula>0.99</formula>
    </cfRule>
    <cfRule type="cellIs" dxfId="232" priority="5" operator="lessThanOrEqual">
      <formula>0.5</formula>
    </cfRule>
  </conditionalFormatting>
  <conditionalFormatting sqref="AH2 AL2">
    <cfRule type="expression" dxfId="231" priority="1">
      <formula>OR(PROJSTATUS=PROJSTATELI,PROJSTATUS=PROJSTATEXP,PROJSTATUS=PROJSTATUNDER)</formula>
    </cfRule>
    <cfRule type="expression" dxfId="230" priority="2">
      <formula>PROJSTATUS=PROJSTATFILLINITIAL</formula>
    </cfRule>
    <cfRule type="expression" dxfId="229" priority="6">
      <formula>PROJSTATUS=PROJSTATPREAPPROVE</formula>
    </cfRule>
    <cfRule type="expression" dxfId="228" priority="7">
      <formula>OR(PROJSTATUS=PROJSTATSSUBMITINITIAL,PROJSTATUS=PROJSTATREVIEW)</formula>
    </cfRule>
  </conditionalFormatting>
  <dataValidations count="4">
    <dataValidation type="list" allowBlank="1" showInputMessage="1" showErrorMessage="1" sqref="C36:M45" xr:uid="{00000000-0002-0000-1800-000000000000}">
      <formula1>PMEKITCHENEFF1</formula1>
    </dataValidation>
    <dataValidation type="whole" allowBlank="1" showInputMessage="1" showErrorMessage="1" error="Please enter a numerical value" prompt="Reference the &quot;Unit of Measure&quot; column to ensure you enter the correct value based on unit type." sqref="V16:W45" xr:uid="{00000000-0002-0000-1800-000001000000}">
      <formula1>0</formula1>
      <formula2>99999</formula2>
    </dataValidation>
    <dataValidation type="decimal" allowBlank="1" showInputMessage="1" showErrorMessage="1" error="Please enter a numerical value" sqref="AE16:AH45" xr:uid="{00000000-0002-0000-1800-000002000000}">
      <formula1>0</formula1>
      <formula2>999999</formula2>
    </dataValidation>
    <dataValidation type="list" allowBlank="1" showInputMessage="1" showErrorMessage="1" sqref="C16:M35" xr:uid="{00000000-0002-0000-1800-000003000000}">
      <formula1>PMEREFRIEFF1</formula1>
    </dataValidation>
  </dataValidations>
  <hyperlinks>
    <hyperlink ref="B202" r:id="rId1" display="NIPSCO.Savings@LMCO.com" xr:uid="{00000000-0004-0000-1800-000000000000}"/>
  </hyperlinks>
  <pageMargins left="0.25" right="0.25" top="0.25" bottom="0.25" header="0.25" footer="0.25"/>
  <pageSetup scale="64" fitToHeight="0" orientation="landscape"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pageSetUpPr fitToPage="1"/>
  </sheetPr>
  <dimension ref="B1:BZ203"/>
  <sheetViews>
    <sheetView showGridLines="0" showRowColHeaders="0" zoomScale="85" zoomScaleNormal="85" workbookViewId="0">
      <selection activeCell="C16" sqref="C16:M17"/>
    </sheetView>
  </sheetViews>
  <sheetFormatPr defaultColWidth="9.140625" defaultRowHeight="0" customHeight="1" zeroHeight="1" x14ac:dyDescent="0.25"/>
  <cols>
    <col min="1" max="44" width="4.7109375" customWidth="1"/>
    <col min="45" max="45" width="4.7109375" style="135" customWidth="1"/>
    <col min="46" max="46" width="4.7109375" style="135" hidden="1" customWidth="1"/>
    <col min="47" max="71" width="9.140625" style="135" hidden="1" customWidth="1"/>
    <col min="72" max="78" width="9.140625" style="135" customWidth="1"/>
  </cols>
  <sheetData>
    <row r="1" spans="2:78" ht="15.95" customHeight="1" x14ac:dyDescent="0.3">
      <c r="AH1" s="711" t="s">
        <v>494</v>
      </c>
      <c r="AI1" s="712"/>
      <c r="AJ1" s="712"/>
      <c r="AK1" s="712"/>
      <c r="AL1" s="723" t="s">
        <v>911</v>
      </c>
      <c r="AM1" s="723"/>
      <c r="AN1" s="723"/>
      <c r="AO1" s="723"/>
      <c r="AP1" s="723"/>
      <c r="AQ1" s="717" t="s">
        <v>499</v>
      </c>
      <c r="AR1" s="718"/>
    </row>
    <row r="2" spans="2:78" ht="15.95" customHeight="1" x14ac:dyDescent="0.25">
      <c r="AH2" s="713" t="str">
        <f ca="1">INCENSTATUS</f>
        <v>---</v>
      </c>
      <c r="AI2" s="714"/>
      <c r="AJ2" s="714"/>
      <c r="AK2" s="714"/>
      <c r="AL2" s="724" t="str">
        <f ca="1">PROJSTATUS</f>
        <v>Please Complete Initial Application</v>
      </c>
      <c r="AM2" s="724"/>
      <c r="AN2" s="724"/>
      <c r="AO2" s="724"/>
      <c r="AP2" s="724"/>
      <c r="AQ2" s="719">
        <f ca="1">PROGRESSSTATUS</f>
        <v>0</v>
      </c>
      <c r="AR2" s="720"/>
    </row>
    <row r="3" spans="2:78" ht="15.95" customHeight="1" x14ac:dyDescent="0.25">
      <c r="AH3" s="715"/>
      <c r="AI3" s="716"/>
      <c r="AJ3" s="716"/>
      <c r="AK3" s="716"/>
      <c r="AL3" s="725"/>
      <c r="AM3" s="725"/>
      <c r="AN3" s="725"/>
      <c r="AO3" s="725"/>
      <c r="AP3" s="725"/>
      <c r="AQ3" s="721"/>
      <c r="AR3" s="722"/>
    </row>
    <row r="4" spans="2:78" ht="15.95" customHeight="1" x14ac:dyDescent="0.25"/>
    <row r="5" spans="2:78" ht="15.95" customHeight="1" x14ac:dyDescent="0.25"/>
    <row r="6" spans="2:78" ht="15.95" customHeight="1" x14ac:dyDescent="0.25">
      <c r="AU6" s="145" t="s">
        <v>1372</v>
      </c>
      <c r="AV6" s="145">
        <f>PROJID</f>
        <v>0</v>
      </c>
    </row>
    <row r="7" spans="2:78" ht="15.95" customHeight="1" x14ac:dyDescent="0.25"/>
    <row r="8" spans="2:78" ht="15.95" customHeight="1" x14ac:dyDescent="0.25"/>
    <row r="9" spans="2:78" s="63" customFormat="1" ht="15.95" customHeight="1" x14ac:dyDescent="0.25">
      <c r="B9" s="135"/>
      <c r="C9" s="135"/>
      <c r="D9" s="135"/>
      <c r="E9" s="135"/>
      <c r="F9" s="135"/>
      <c r="G9" s="135"/>
      <c r="H9" s="135"/>
      <c r="I9" s="135"/>
      <c r="J9" s="135"/>
      <c r="K9" s="135"/>
      <c r="L9" s="135"/>
      <c r="M9" s="135"/>
      <c r="N9" s="135"/>
      <c r="O9" s="135"/>
      <c r="P9" s="135"/>
      <c r="Q9" s="135"/>
      <c r="R9" s="971" t="str">
        <f>CONCATENATE(M3S5," ","Summary")</f>
        <v>M3S5 Summary</v>
      </c>
      <c r="S9" s="971"/>
      <c r="T9" s="971"/>
      <c r="U9" s="971"/>
      <c r="V9" s="971"/>
      <c r="W9" s="971"/>
      <c r="X9" s="971"/>
      <c r="Y9" s="971"/>
      <c r="Z9" s="971"/>
      <c r="AA9" s="971"/>
      <c r="AB9" s="971"/>
      <c r="AC9" s="971"/>
      <c r="AD9" s="135"/>
      <c r="AE9" s="135"/>
      <c r="AF9" s="135"/>
      <c r="AG9" s="135"/>
      <c r="AH9" s="135"/>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5"/>
      <c r="BG9" s="135"/>
      <c r="BH9" s="135"/>
      <c r="BI9" s="135"/>
      <c r="BJ9" s="135"/>
      <c r="BK9" s="135"/>
      <c r="BL9" s="135"/>
      <c r="BM9" s="135"/>
      <c r="BN9" s="135"/>
      <c r="BO9" s="135"/>
      <c r="BP9" s="135"/>
      <c r="BQ9" s="135"/>
      <c r="BR9" s="135"/>
      <c r="BS9" s="135"/>
      <c r="BT9" s="135"/>
      <c r="BU9" s="135"/>
      <c r="BV9" s="135"/>
      <c r="BW9" s="135"/>
      <c r="BX9" s="135"/>
      <c r="BY9" s="135"/>
      <c r="BZ9" s="135"/>
    </row>
    <row r="10" spans="2:78" ht="15.95" customHeight="1" x14ac:dyDescent="0.25">
      <c r="B10" s="135"/>
      <c r="C10" s="135"/>
      <c r="D10" s="135"/>
      <c r="E10" s="135"/>
      <c r="F10" s="135"/>
      <c r="G10" s="135"/>
      <c r="H10" s="135"/>
      <c r="I10" s="135"/>
      <c r="J10" s="135"/>
      <c r="K10" s="135"/>
      <c r="L10" s="135"/>
      <c r="M10" s="135"/>
      <c r="N10" s="135"/>
      <c r="O10" s="135"/>
      <c r="P10" s="135"/>
      <c r="Q10" s="135"/>
      <c r="R10" s="971"/>
      <c r="S10" s="971"/>
      <c r="T10" s="971"/>
      <c r="U10" s="971"/>
      <c r="V10" s="971"/>
      <c r="W10" s="971"/>
      <c r="X10" s="971"/>
      <c r="Y10" s="971"/>
      <c r="Z10" s="971"/>
      <c r="AA10" s="971"/>
      <c r="AB10" s="971"/>
      <c r="AC10" s="971"/>
      <c r="AD10" s="135"/>
      <c r="AE10" s="135"/>
      <c r="AF10" s="135"/>
      <c r="AG10" s="135"/>
      <c r="AH10" s="135"/>
      <c r="AI10" s="135"/>
      <c r="AJ10" s="135"/>
      <c r="AK10" s="135"/>
      <c r="AL10" s="135"/>
      <c r="AM10" s="135"/>
      <c r="AN10" s="135"/>
      <c r="AO10" s="135"/>
      <c r="AP10" s="135"/>
      <c r="AQ10" s="135"/>
      <c r="AR10" s="135"/>
    </row>
    <row r="11" spans="2:78" ht="15.95" customHeight="1" x14ac:dyDescent="0.3">
      <c r="B11" s="135"/>
      <c r="C11" s="135"/>
      <c r="D11" s="135"/>
      <c r="E11" s="135"/>
      <c r="F11" s="135"/>
      <c r="G11" s="135"/>
      <c r="H11" s="135"/>
      <c r="I11" s="135"/>
      <c r="J11" s="135"/>
      <c r="K11" s="135"/>
      <c r="L11" s="135"/>
      <c r="M11" s="135"/>
      <c r="N11" s="135"/>
      <c r="O11" s="135"/>
      <c r="P11" s="135"/>
      <c r="Q11" s="135"/>
      <c r="R11" s="974" t="s">
        <v>69</v>
      </c>
      <c r="S11" s="974"/>
      <c r="T11" s="974"/>
      <c r="U11" s="974"/>
      <c r="V11" s="974" t="s">
        <v>70</v>
      </c>
      <c r="W11" s="974"/>
      <c r="X11" s="974"/>
      <c r="Y11" s="974"/>
      <c r="Z11" s="974" t="s">
        <v>71</v>
      </c>
      <c r="AA11" s="974"/>
      <c r="AB11" s="974"/>
      <c r="AC11" s="974"/>
      <c r="AD11" s="135"/>
      <c r="AE11" s="135"/>
      <c r="AF11" s="135"/>
      <c r="AG11" s="135"/>
      <c r="AH11" s="135"/>
      <c r="AI11" s="135"/>
      <c r="AJ11" s="135"/>
      <c r="AK11" s="135"/>
      <c r="AL11" s="135"/>
      <c r="AM11" s="135"/>
      <c r="AN11" s="135"/>
      <c r="AO11" s="135"/>
      <c r="AP11" s="135"/>
      <c r="AQ11" s="135"/>
      <c r="AR11" s="135"/>
    </row>
    <row r="12" spans="2:78" ht="15.95" customHeight="1" x14ac:dyDescent="0.25">
      <c r="B12" s="135"/>
      <c r="C12" s="135"/>
      <c r="D12" s="135"/>
      <c r="E12" s="135"/>
      <c r="F12" s="135"/>
      <c r="G12" s="135"/>
      <c r="H12" s="135"/>
      <c r="I12" s="135"/>
      <c r="J12" s="135"/>
      <c r="K12" s="135"/>
      <c r="L12" s="135"/>
      <c r="M12" s="135"/>
      <c r="N12" s="135"/>
      <c r="O12" s="135"/>
      <c r="P12" s="135"/>
      <c r="Q12" s="135"/>
      <c r="R12" s="972">
        <f>SUM(AO16:AQ199)</f>
        <v>0</v>
      </c>
      <c r="S12" s="972"/>
      <c r="T12" s="972"/>
      <c r="U12" s="972"/>
      <c r="V12" s="972">
        <f>AU200</f>
        <v>0</v>
      </c>
      <c r="W12" s="972"/>
      <c r="X12" s="972"/>
      <c r="Y12" s="972"/>
      <c r="Z12" s="973">
        <f>SUM(AK16:AN199)</f>
        <v>0</v>
      </c>
      <c r="AA12" s="973"/>
      <c r="AB12" s="973"/>
      <c r="AC12" s="973"/>
      <c r="AD12" s="135"/>
      <c r="AE12" s="135"/>
      <c r="AF12" s="135"/>
      <c r="AG12" s="135"/>
      <c r="AH12" s="135"/>
      <c r="AI12" s="135"/>
      <c r="AJ12" s="135"/>
      <c r="AK12" s="135"/>
      <c r="AL12" s="135"/>
      <c r="AM12" s="135"/>
      <c r="AN12" s="135"/>
      <c r="AO12" s="135"/>
      <c r="AP12" s="135"/>
      <c r="AQ12" s="135"/>
      <c r="AR12" s="135"/>
    </row>
    <row r="13" spans="2:78" s="63" customFormat="1" ht="15.95" customHeight="1" x14ac:dyDescent="0.25">
      <c r="B13" s="135"/>
      <c r="C13" s="135"/>
      <c r="D13" s="135"/>
      <c r="E13" s="135"/>
      <c r="F13" s="135"/>
      <c r="G13" s="135"/>
      <c r="H13" s="135"/>
      <c r="I13" s="135"/>
      <c r="J13" s="135"/>
      <c r="K13" s="135"/>
      <c r="L13" s="135"/>
      <c r="M13" s="135"/>
      <c r="N13" s="135"/>
      <c r="O13" s="135"/>
      <c r="P13" s="135"/>
      <c r="Q13" s="135"/>
      <c r="R13" s="972"/>
      <c r="S13" s="972"/>
      <c r="T13" s="972"/>
      <c r="U13" s="972"/>
      <c r="V13" s="972"/>
      <c r="W13" s="972"/>
      <c r="X13" s="972"/>
      <c r="Y13" s="972"/>
      <c r="Z13" s="973"/>
      <c r="AA13" s="973"/>
      <c r="AB13" s="973"/>
      <c r="AC13" s="973"/>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row>
    <row r="14" spans="2:78" ht="15.95" customHeight="1" x14ac:dyDescent="0.25">
      <c r="B14" s="135"/>
      <c r="C14" s="1060" t="s">
        <v>1298</v>
      </c>
      <c r="D14" s="1060"/>
      <c r="E14" s="1060"/>
      <c r="F14" s="1060"/>
      <c r="G14" s="1060"/>
      <c r="H14" s="1060"/>
      <c r="I14" s="1060"/>
      <c r="J14" s="1060"/>
      <c r="K14" s="1060"/>
      <c r="L14" s="1060"/>
      <c r="M14" s="1060"/>
      <c r="N14" s="1060" t="s">
        <v>100</v>
      </c>
      <c r="O14" s="1060"/>
      <c r="P14" s="1060"/>
      <c r="Q14" s="1060"/>
      <c r="R14" s="1060"/>
      <c r="S14" s="1060"/>
      <c r="T14" s="1060" t="s">
        <v>99</v>
      </c>
      <c r="U14" s="1060"/>
      <c r="V14" s="1060" t="s">
        <v>91</v>
      </c>
      <c r="W14" s="1060"/>
      <c r="X14" s="1060" t="s">
        <v>108</v>
      </c>
      <c r="Y14" s="1060"/>
      <c r="Z14" s="1060"/>
      <c r="AA14" s="1060"/>
      <c r="AB14" s="1060" t="s">
        <v>101</v>
      </c>
      <c r="AC14" s="1060"/>
      <c r="AD14" s="1060"/>
      <c r="AE14" s="1060" t="s">
        <v>96</v>
      </c>
      <c r="AF14" s="1060"/>
      <c r="AG14" s="1060" t="s">
        <v>97</v>
      </c>
      <c r="AH14" s="1060"/>
      <c r="AI14" s="1060" t="s">
        <v>94</v>
      </c>
      <c r="AJ14" s="1060"/>
      <c r="AK14" s="1060" t="s">
        <v>93</v>
      </c>
      <c r="AL14" s="1060"/>
      <c r="AM14" s="1060"/>
      <c r="AN14" s="1060"/>
      <c r="AO14" s="1060" t="s">
        <v>92</v>
      </c>
      <c r="AP14" s="1060"/>
      <c r="AQ14" s="1060"/>
      <c r="AR14" s="135"/>
      <c r="AU14" s="1060" t="s">
        <v>216</v>
      </c>
      <c r="AV14" s="1060" t="s">
        <v>217</v>
      </c>
    </row>
    <row r="15" spans="2:78" ht="15.95" customHeight="1" thickBot="1" x14ac:dyDescent="0.3">
      <c r="B15" s="135"/>
      <c r="C15" s="1061"/>
      <c r="D15" s="1061"/>
      <c r="E15" s="1061"/>
      <c r="F15" s="1061"/>
      <c r="G15" s="1061"/>
      <c r="H15" s="1061"/>
      <c r="I15" s="1061"/>
      <c r="J15" s="1061"/>
      <c r="K15" s="1061"/>
      <c r="L15" s="1061"/>
      <c r="M15" s="1061"/>
      <c r="N15" s="1061"/>
      <c r="O15" s="1061"/>
      <c r="P15" s="1061"/>
      <c r="Q15" s="1061"/>
      <c r="R15" s="1061"/>
      <c r="S15" s="1061"/>
      <c r="T15" s="1061"/>
      <c r="U15" s="1061"/>
      <c r="V15" s="1061"/>
      <c r="W15" s="1061"/>
      <c r="X15" s="1061"/>
      <c r="Y15" s="1061"/>
      <c r="Z15" s="1061"/>
      <c r="AA15" s="1061"/>
      <c r="AB15" s="1061"/>
      <c r="AC15" s="1061"/>
      <c r="AD15" s="1061"/>
      <c r="AE15" s="1061"/>
      <c r="AF15" s="1061"/>
      <c r="AG15" s="1061"/>
      <c r="AH15" s="1061"/>
      <c r="AI15" s="1061"/>
      <c r="AJ15" s="1061"/>
      <c r="AK15" s="1061"/>
      <c r="AL15" s="1061"/>
      <c r="AM15" s="1061"/>
      <c r="AN15" s="1061"/>
      <c r="AO15" s="1061"/>
      <c r="AP15" s="1061"/>
      <c r="AQ15" s="1061"/>
      <c r="AR15" s="135"/>
      <c r="AU15" s="1061"/>
      <c r="AV15" s="1061"/>
    </row>
    <row r="16" spans="2:78" ht="15.95" customHeight="1" x14ac:dyDescent="0.25">
      <c r="B16" s="1064">
        <v>1</v>
      </c>
      <c r="C16" s="1028"/>
      <c r="D16" s="1029"/>
      <c r="E16" s="1029"/>
      <c r="F16" s="1029"/>
      <c r="G16" s="1029"/>
      <c r="H16" s="1029"/>
      <c r="I16" s="1029"/>
      <c r="J16" s="1029"/>
      <c r="K16" s="1029"/>
      <c r="L16" s="1029"/>
      <c r="M16" s="1030"/>
      <c r="N16" s="1034" t="str">
        <f>IF(C16="","",INDEX(PMEKITCHEN[Base Desc 1],MATCH(C16,PMEKITCHEN[Eff Desc 1],0)))</f>
        <v/>
      </c>
      <c r="O16" s="1035"/>
      <c r="P16" s="1035"/>
      <c r="Q16" s="1035"/>
      <c r="R16" s="1035"/>
      <c r="S16" s="1036"/>
      <c r="T16" s="1040" t="str">
        <f>IF(C16="","",INDEX(PMEKITCHEN[Unit of Measure],MATCH(C16,PMEKITCHEN[Eff Desc 1],0)))</f>
        <v/>
      </c>
      <c r="U16" s="1041"/>
      <c r="V16" s="1044"/>
      <c r="W16" s="1045"/>
      <c r="X16" s="1028"/>
      <c r="Y16" s="1029"/>
      <c r="Z16" s="1029"/>
      <c r="AA16" s="1030"/>
      <c r="AB16" s="1028"/>
      <c r="AC16" s="1029"/>
      <c r="AD16" s="1030"/>
      <c r="AE16" s="1048"/>
      <c r="AF16" s="1049"/>
      <c r="AG16" s="1048"/>
      <c r="AH16" s="1049"/>
      <c r="AI16" s="1052" t="str">
        <f>IF(C16="","",INDEX(PMEKITCHEN[Inc Rate Unit],MATCH(C16,PMEKITCHEN[Eff Desc 1],0)))</f>
        <v/>
      </c>
      <c r="AJ16" s="1053"/>
      <c r="AK16" s="1016" t="str">
        <f>IF(OR(C16="",V16="",X16="",AB16="",AE16="",AG16=""),"",ROUND(V16*INDEX(PMEKITCHEN[Savings per Unit kWh],MATCH(C16,PMEKITCHEN[Eff Desc 1],0)),0))</f>
        <v/>
      </c>
      <c r="AL16" s="1017"/>
      <c r="AM16" s="1017"/>
      <c r="AN16" s="1018"/>
      <c r="AO16" s="1022" t="str">
        <f>IF(OR(C16="",V16="",X16="",AB16="",AE16="",AG16=""),"",MIN(AU16,ROUND(V16*AI16,2)))</f>
        <v/>
      </c>
      <c r="AP16" s="1023"/>
      <c r="AQ16" s="1024"/>
      <c r="AR16" s="135"/>
      <c r="AU16" s="1003" t="str">
        <f>IF(OR(,V16="",X16="",AB16="",AE16="",AG16=""),"",ROUND((AE16+AG16)*V16,2))</f>
        <v/>
      </c>
      <c r="AV16" s="1065" t="str">
        <f>IF(OR(C16="",V16="",X16="",AB16="",AE16="",AG16=""),"",ROUND(V16*INDEX(PMEKITCHEN[Savings per Unit kW],MATCH(C16,PMEKITCHEN[Eff Desc 1],0)),4))</f>
        <v/>
      </c>
    </row>
    <row r="17" spans="2:48" ht="15.95" customHeight="1" x14ac:dyDescent="0.25">
      <c r="B17" s="1064"/>
      <c r="C17" s="1031"/>
      <c r="D17" s="1032"/>
      <c r="E17" s="1032"/>
      <c r="F17" s="1032"/>
      <c r="G17" s="1032"/>
      <c r="H17" s="1032"/>
      <c r="I17" s="1032"/>
      <c r="J17" s="1032"/>
      <c r="K17" s="1032"/>
      <c r="L17" s="1032"/>
      <c r="M17" s="1033"/>
      <c r="N17" s="1037"/>
      <c r="O17" s="1038"/>
      <c r="P17" s="1038"/>
      <c r="Q17" s="1038"/>
      <c r="R17" s="1038"/>
      <c r="S17" s="1039"/>
      <c r="T17" s="1042"/>
      <c r="U17" s="1043"/>
      <c r="V17" s="1046"/>
      <c r="W17" s="1047"/>
      <c r="X17" s="1031"/>
      <c r="Y17" s="1032"/>
      <c r="Z17" s="1032"/>
      <c r="AA17" s="1033"/>
      <c r="AB17" s="1031"/>
      <c r="AC17" s="1032"/>
      <c r="AD17" s="1033"/>
      <c r="AE17" s="1050"/>
      <c r="AF17" s="1051"/>
      <c r="AG17" s="1050"/>
      <c r="AH17" s="1051"/>
      <c r="AI17" s="1054"/>
      <c r="AJ17" s="1055"/>
      <c r="AK17" s="1019"/>
      <c r="AL17" s="1020"/>
      <c r="AM17" s="1020"/>
      <c r="AN17" s="1021"/>
      <c r="AO17" s="1025"/>
      <c r="AP17" s="1026"/>
      <c r="AQ17" s="1027"/>
      <c r="AR17" s="135"/>
      <c r="AU17" s="1004"/>
      <c r="AV17" s="1066"/>
    </row>
    <row r="18" spans="2:48" ht="15.95" customHeight="1" x14ac:dyDescent="0.25">
      <c r="B18" s="1063">
        <v>2</v>
      </c>
      <c r="C18" s="1028"/>
      <c r="D18" s="1029"/>
      <c r="E18" s="1029"/>
      <c r="F18" s="1029"/>
      <c r="G18" s="1029"/>
      <c r="H18" s="1029"/>
      <c r="I18" s="1029"/>
      <c r="J18" s="1029"/>
      <c r="K18" s="1029"/>
      <c r="L18" s="1029"/>
      <c r="M18" s="1030"/>
      <c r="N18" s="1034" t="str">
        <f>IF(C18="","",INDEX(PMEKITCHEN[Base Desc 1],MATCH(C18,PMEKITCHEN[Eff Desc 1],0)))</f>
        <v/>
      </c>
      <c r="O18" s="1035"/>
      <c r="P18" s="1035"/>
      <c r="Q18" s="1035"/>
      <c r="R18" s="1035"/>
      <c r="S18" s="1036"/>
      <c r="T18" s="1040" t="str">
        <f>IF(C18="","",INDEX(PMEKITCHEN[Unit of Measure],MATCH(C18,PMEKITCHEN[Eff Desc 1],0)))</f>
        <v/>
      </c>
      <c r="U18" s="1041"/>
      <c r="V18" s="1044"/>
      <c r="W18" s="1045"/>
      <c r="X18" s="1028"/>
      <c r="Y18" s="1029"/>
      <c r="Z18" s="1029"/>
      <c r="AA18" s="1030"/>
      <c r="AB18" s="1028"/>
      <c r="AC18" s="1029"/>
      <c r="AD18" s="1030"/>
      <c r="AE18" s="1048"/>
      <c r="AF18" s="1049"/>
      <c r="AG18" s="1048"/>
      <c r="AH18" s="1049"/>
      <c r="AI18" s="1052" t="str">
        <f>IF(C18="","",INDEX(PMEKITCHEN[Inc Rate Unit],MATCH(C18,PMEKITCHEN[Eff Desc 1],0)))</f>
        <v/>
      </c>
      <c r="AJ18" s="1053"/>
      <c r="AK18" s="1016" t="str">
        <f>IF(OR(C18="",V18="",X18="",AB18="",AE18="",AG18=""),"",ROUND(V18*INDEX(PMEKITCHEN[Savings per Unit kWh],MATCH(C18,PMEKITCHEN[Eff Desc 1],0)),0))</f>
        <v/>
      </c>
      <c r="AL18" s="1017"/>
      <c r="AM18" s="1017"/>
      <c r="AN18" s="1018"/>
      <c r="AO18" s="1022" t="str">
        <f>IF(OR(C18="",V18="",X18="",AB18="",AE18="",AG18=""),"",MIN(AU18,ROUND(V18*AI18,2)))</f>
        <v/>
      </c>
      <c r="AP18" s="1023"/>
      <c r="AQ18" s="1024"/>
      <c r="AR18" s="135"/>
      <c r="AU18" s="1003" t="str">
        <f t="shared" ref="AU18" si="0">IF(OR(,V18="",X18="",AB18="",AE18="",AG18=""),"",ROUND((AE18+AG18)*V18,2))</f>
        <v/>
      </c>
      <c r="AV18" s="1065" t="str">
        <f>IF(OR(C18="",V18="",X18="",AB18="",AE18="",AG18=""),"",ROUND(V18*INDEX(PMEKITCHEN[Savings per Unit kW],MATCH(C18,PMEKITCHEN[Eff Desc 1],0)),4))</f>
        <v/>
      </c>
    </row>
    <row r="19" spans="2:48" ht="15.95" customHeight="1" x14ac:dyDescent="0.25">
      <c r="B19" s="1063"/>
      <c r="C19" s="1031"/>
      <c r="D19" s="1032"/>
      <c r="E19" s="1032"/>
      <c r="F19" s="1032"/>
      <c r="G19" s="1032"/>
      <c r="H19" s="1032"/>
      <c r="I19" s="1032"/>
      <c r="J19" s="1032"/>
      <c r="K19" s="1032"/>
      <c r="L19" s="1032"/>
      <c r="M19" s="1033"/>
      <c r="N19" s="1037"/>
      <c r="O19" s="1038"/>
      <c r="P19" s="1038"/>
      <c r="Q19" s="1038"/>
      <c r="R19" s="1038"/>
      <c r="S19" s="1039"/>
      <c r="T19" s="1042"/>
      <c r="U19" s="1043"/>
      <c r="V19" s="1046"/>
      <c r="W19" s="1047"/>
      <c r="X19" s="1031"/>
      <c r="Y19" s="1032"/>
      <c r="Z19" s="1032"/>
      <c r="AA19" s="1033"/>
      <c r="AB19" s="1031"/>
      <c r="AC19" s="1032"/>
      <c r="AD19" s="1033"/>
      <c r="AE19" s="1050"/>
      <c r="AF19" s="1051"/>
      <c r="AG19" s="1050"/>
      <c r="AH19" s="1051"/>
      <c r="AI19" s="1054"/>
      <c r="AJ19" s="1055"/>
      <c r="AK19" s="1019"/>
      <c r="AL19" s="1020"/>
      <c r="AM19" s="1020"/>
      <c r="AN19" s="1021"/>
      <c r="AO19" s="1025"/>
      <c r="AP19" s="1026"/>
      <c r="AQ19" s="1027"/>
      <c r="AR19" s="135"/>
      <c r="AU19" s="1004"/>
      <c r="AV19" s="1066"/>
    </row>
    <row r="20" spans="2:48" ht="15.95" customHeight="1" x14ac:dyDescent="0.25">
      <c r="B20" s="1063">
        <v>3</v>
      </c>
      <c r="C20" s="1028"/>
      <c r="D20" s="1029"/>
      <c r="E20" s="1029"/>
      <c r="F20" s="1029"/>
      <c r="G20" s="1029"/>
      <c r="H20" s="1029"/>
      <c r="I20" s="1029"/>
      <c r="J20" s="1029"/>
      <c r="K20" s="1029"/>
      <c r="L20" s="1029"/>
      <c r="M20" s="1030"/>
      <c r="N20" s="1034" t="str">
        <f>IF(C20="","",INDEX(PMEKITCHEN[Base Desc 1],MATCH(C20,PMEKITCHEN[Eff Desc 1],0)))</f>
        <v/>
      </c>
      <c r="O20" s="1035"/>
      <c r="P20" s="1035"/>
      <c r="Q20" s="1035"/>
      <c r="R20" s="1035"/>
      <c r="S20" s="1036"/>
      <c r="T20" s="1040" t="str">
        <f>IF(C20="","",INDEX(PMEKITCHEN[Unit of Measure],MATCH(C20,PMEKITCHEN[Eff Desc 1],0)))</f>
        <v/>
      </c>
      <c r="U20" s="1041"/>
      <c r="V20" s="1044"/>
      <c r="W20" s="1045"/>
      <c r="X20" s="1028"/>
      <c r="Y20" s="1029"/>
      <c r="Z20" s="1029"/>
      <c r="AA20" s="1030"/>
      <c r="AB20" s="1028"/>
      <c r="AC20" s="1029"/>
      <c r="AD20" s="1030"/>
      <c r="AE20" s="1048"/>
      <c r="AF20" s="1049"/>
      <c r="AG20" s="1048"/>
      <c r="AH20" s="1049"/>
      <c r="AI20" s="1052" t="str">
        <f>IF(C20="","",INDEX(PMEKITCHEN[Inc Rate Unit],MATCH(C20,PMEKITCHEN[Eff Desc 1],0)))</f>
        <v/>
      </c>
      <c r="AJ20" s="1053"/>
      <c r="AK20" s="1016" t="str">
        <f>IF(OR(C20="",V20="",X20="",AB20="",AE20="",AG20=""),"",ROUND(V20*INDEX(PMEKITCHEN[Savings per Unit kWh],MATCH(C20,PMEKITCHEN[Eff Desc 1],0)),0))</f>
        <v/>
      </c>
      <c r="AL20" s="1017"/>
      <c r="AM20" s="1017"/>
      <c r="AN20" s="1018"/>
      <c r="AO20" s="1022" t="str">
        <f>IF(OR(C20="",V20="",X20="",AB20="",AE20="",AG20=""),"",MIN(AU20,ROUND(V20*AI20,2)))</f>
        <v/>
      </c>
      <c r="AP20" s="1023"/>
      <c r="AQ20" s="1024"/>
      <c r="AR20" s="135"/>
      <c r="AU20" s="1003" t="str">
        <f t="shared" ref="AU20" si="1">IF(OR(,V20="",X20="",AB20="",AE20="",AG20=""),"",ROUND((AE20+AG20)*V20,2))</f>
        <v/>
      </c>
      <c r="AV20" s="1065" t="str">
        <f>IF(OR(C20="",V20="",X20="",AB20="",AE20="",AG20=""),"",ROUND(V20*INDEX(PMEKITCHEN[Savings per Unit kW],MATCH(C20,PMEKITCHEN[Eff Desc 1],0)),4))</f>
        <v/>
      </c>
    </row>
    <row r="21" spans="2:48" ht="15.95" customHeight="1" x14ac:dyDescent="0.25">
      <c r="B21" s="1063"/>
      <c r="C21" s="1031"/>
      <c r="D21" s="1032"/>
      <c r="E21" s="1032"/>
      <c r="F21" s="1032"/>
      <c r="G21" s="1032"/>
      <c r="H21" s="1032"/>
      <c r="I21" s="1032"/>
      <c r="J21" s="1032"/>
      <c r="K21" s="1032"/>
      <c r="L21" s="1032"/>
      <c r="M21" s="1033"/>
      <c r="N21" s="1037"/>
      <c r="O21" s="1038"/>
      <c r="P21" s="1038"/>
      <c r="Q21" s="1038"/>
      <c r="R21" s="1038"/>
      <c r="S21" s="1039"/>
      <c r="T21" s="1042"/>
      <c r="U21" s="1043"/>
      <c r="V21" s="1046"/>
      <c r="W21" s="1047"/>
      <c r="X21" s="1031"/>
      <c r="Y21" s="1032"/>
      <c r="Z21" s="1032"/>
      <c r="AA21" s="1033"/>
      <c r="AB21" s="1031"/>
      <c r="AC21" s="1032"/>
      <c r="AD21" s="1033"/>
      <c r="AE21" s="1050"/>
      <c r="AF21" s="1051"/>
      <c r="AG21" s="1050"/>
      <c r="AH21" s="1051"/>
      <c r="AI21" s="1054"/>
      <c r="AJ21" s="1055"/>
      <c r="AK21" s="1019"/>
      <c r="AL21" s="1020"/>
      <c r="AM21" s="1020"/>
      <c r="AN21" s="1021"/>
      <c r="AO21" s="1025"/>
      <c r="AP21" s="1026"/>
      <c r="AQ21" s="1027"/>
      <c r="AR21" s="135"/>
      <c r="AU21" s="1004"/>
      <c r="AV21" s="1066"/>
    </row>
    <row r="22" spans="2:48" ht="15.95" customHeight="1" x14ac:dyDescent="0.25">
      <c r="B22" s="1063">
        <v>4</v>
      </c>
      <c r="C22" s="1028"/>
      <c r="D22" s="1029"/>
      <c r="E22" s="1029"/>
      <c r="F22" s="1029"/>
      <c r="G22" s="1029"/>
      <c r="H22" s="1029"/>
      <c r="I22" s="1029"/>
      <c r="J22" s="1029"/>
      <c r="K22" s="1029"/>
      <c r="L22" s="1029"/>
      <c r="M22" s="1030"/>
      <c r="N22" s="1034" t="str">
        <f>IF(C22="","",INDEX(PMEKITCHEN[Base Desc 1],MATCH(C22,PMEKITCHEN[Eff Desc 1],0)))</f>
        <v/>
      </c>
      <c r="O22" s="1035"/>
      <c r="P22" s="1035"/>
      <c r="Q22" s="1035"/>
      <c r="R22" s="1035"/>
      <c r="S22" s="1036"/>
      <c r="T22" s="1040" t="str">
        <f>IF(C22="","",INDEX(PMEKITCHEN[Unit of Measure],MATCH(C22,PMEKITCHEN[Eff Desc 1],0)))</f>
        <v/>
      </c>
      <c r="U22" s="1041"/>
      <c r="V22" s="1044"/>
      <c r="W22" s="1045"/>
      <c r="X22" s="1028"/>
      <c r="Y22" s="1029"/>
      <c r="Z22" s="1029"/>
      <c r="AA22" s="1030"/>
      <c r="AB22" s="1028"/>
      <c r="AC22" s="1029"/>
      <c r="AD22" s="1030"/>
      <c r="AE22" s="1048"/>
      <c r="AF22" s="1049"/>
      <c r="AG22" s="1048"/>
      <c r="AH22" s="1049"/>
      <c r="AI22" s="1052" t="str">
        <f>IF(C22="","",INDEX(PMEKITCHEN[Inc Rate Unit],MATCH(C22,PMEKITCHEN[Eff Desc 1],0)))</f>
        <v/>
      </c>
      <c r="AJ22" s="1053"/>
      <c r="AK22" s="1016" t="str">
        <f>IF(OR(C22="",V22="",X22="",AB22="",AE22="",AG22=""),"",ROUND(V22*INDEX(PMEKITCHEN[Savings per Unit kWh],MATCH(C22,PMEKITCHEN[Eff Desc 1],0)),0))</f>
        <v/>
      </c>
      <c r="AL22" s="1017"/>
      <c r="AM22" s="1017"/>
      <c r="AN22" s="1018"/>
      <c r="AO22" s="1022" t="str">
        <f>IF(OR(C22="",V22="",X22="",AB22="",AE22="",AG22=""),"",MIN(AU22,ROUND(V22*AI22,2)))</f>
        <v/>
      </c>
      <c r="AP22" s="1023"/>
      <c r="AQ22" s="1024"/>
      <c r="AR22" s="135"/>
      <c r="AU22" s="1003" t="str">
        <f t="shared" ref="AU22" si="2">IF(OR(,V22="",X22="",AB22="",AE22="",AG22=""),"",ROUND((AE22+AG22)*V22,2))</f>
        <v/>
      </c>
      <c r="AV22" s="1065" t="str">
        <f>IF(OR(C22="",V22="",X22="",AB22="",AE22="",AG22=""),"",ROUND(V22*INDEX(PMEKITCHEN[Savings per Unit kW],MATCH(C22,PMEKITCHEN[Eff Desc 1],0)),4))</f>
        <v/>
      </c>
    </row>
    <row r="23" spans="2:48" ht="15.95" customHeight="1" x14ac:dyDescent="0.25">
      <c r="B23" s="1063"/>
      <c r="C23" s="1031"/>
      <c r="D23" s="1032"/>
      <c r="E23" s="1032"/>
      <c r="F23" s="1032"/>
      <c r="G23" s="1032"/>
      <c r="H23" s="1032"/>
      <c r="I23" s="1032"/>
      <c r="J23" s="1032"/>
      <c r="K23" s="1032"/>
      <c r="L23" s="1032"/>
      <c r="M23" s="1033"/>
      <c r="N23" s="1037"/>
      <c r="O23" s="1038"/>
      <c r="P23" s="1038"/>
      <c r="Q23" s="1038"/>
      <c r="R23" s="1038"/>
      <c r="S23" s="1039"/>
      <c r="T23" s="1042"/>
      <c r="U23" s="1043"/>
      <c r="V23" s="1046"/>
      <c r="W23" s="1047"/>
      <c r="X23" s="1031"/>
      <c r="Y23" s="1032"/>
      <c r="Z23" s="1032"/>
      <c r="AA23" s="1033"/>
      <c r="AB23" s="1031"/>
      <c r="AC23" s="1032"/>
      <c r="AD23" s="1033"/>
      <c r="AE23" s="1050"/>
      <c r="AF23" s="1051"/>
      <c r="AG23" s="1050"/>
      <c r="AH23" s="1051"/>
      <c r="AI23" s="1054"/>
      <c r="AJ23" s="1055"/>
      <c r="AK23" s="1019"/>
      <c r="AL23" s="1020"/>
      <c r="AM23" s="1020"/>
      <c r="AN23" s="1021"/>
      <c r="AO23" s="1025"/>
      <c r="AP23" s="1026"/>
      <c r="AQ23" s="1027"/>
      <c r="AR23" s="135"/>
      <c r="AU23" s="1004"/>
      <c r="AV23" s="1066"/>
    </row>
    <row r="24" spans="2:48" ht="15.95" customHeight="1" x14ac:dyDescent="0.25">
      <c r="B24" s="1063">
        <v>5</v>
      </c>
      <c r="C24" s="1028"/>
      <c r="D24" s="1029"/>
      <c r="E24" s="1029"/>
      <c r="F24" s="1029"/>
      <c r="G24" s="1029"/>
      <c r="H24" s="1029"/>
      <c r="I24" s="1029"/>
      <c r="J24" s="1029"/>
      <c r="K24" s="1029"/>
      <c r="L24" s="1029"/>
      <c r="M24" s="1030"/>
      <c r="N24" s="1034" t="str">
        <f>IF(C24="","",INDEX(PMEKITCHEN[Base Desc 1],MATCH(C24,PMEKITCHEN[Eff Desc 1],0)))</f>
        <v/>
      </c>
      <c r="O24" s="1035"/>
      <c r="P24" s="1035"/>
      <c r="Q24" s="1035"/>
      <c r="R24" s="1035"/>
      <c r="S24" s="1036"/>
      <c r="T24" s="1040" t="str">
        <f>IF(C24="","",INDEX(PMEKITCHEN[Unit of Measure],MATCH(C24,PMEKITCHEN[Eff Desc 1],0)))</f>
        <v/>
      </c>
      <c r="U24" s="1041"/>
      <c r="V24" s="1044"/>
      <c r="W24" s="1045"/>
      <c r="X24" s="1028"/>
      <c r="Y24" s="1029"/>
      <c r="Z24" s="1029"/>
      <c r="AA24" s="1030"/>
      <c r="AB24" s="1028"/>
      <c r="AC24" s="1029"/>
      <c r="AD24" s="1030"/>
      <c r="AE24" s="1048"/>
      <c r="AF24" s="1049"/>
      <c r="AG24" s="1048"/>
      <c r="AH24" s="1049"/>
      <c r="AI24" s="1052" t="str">
        <f>IF(C24="","",INDEX(PMEKITCHEN[Inc Rate Unit],MATCH(C24,PMEKITCHEN[Eff Desc 1],0)))</f>
        <v/>
      </c>
      <c r="AJ24" s="1053"/>
      <c r="AK24" s="1016" t="str">
        <f>IF(OR(C24="",V24="",X24="",AB24="",AE24="",AG24=""),"",ROUND(V24*INDEX(PMEKITCHEN[Savings per Unit kWh],MATCH(C24,PMEKITCHEN[Eff Desc 1],0)),0))</f>
        <v/>
      </c>
      <c r="AL24" s="1017"/>
      <c r="AM24" s="1017"/>
      <c r="AN24" s="1018"/>
      <c r="AO24" s="1022" t="str">
        <f>IF(OR(C24="",V24="",X24="",AB24="",AE24="",AG24=""),"",MIN(AU24,ROUND(V24*AI24,2)))</f>
        <v/>
      </c>
      <c r="AP24" s="1023"/>
      <c r="AQ24" s="1024"/>
      <c r="AR24" s="135"/>
      <c r="AU24" s="1003" t="str">
        <f t="shared" ref="AU24" si="3">IF(OR(,V24="",X24="",AB24="",AE24="",AG24=""),"",ROUND((AE24+AG24)*V24,2))</f>
        <v/>
      </c>
      <c r="AV24" s="1065" t="str">
        <f>IF(OR(C24="",V24="",X24="",AB24="",AE24="",AG24=""),"",ROUND(V24*INDEX(PMEKITCHEN[Savings per Unit kW],MATCH(C24,PMEKITCHEN[Eff Desc 1],0)),4))</f>
        <v/>
      </c>
    </row>
    <row r="25" spans="2:48" ht="15.95" customHeight="1" x14ac:dyDescent="0.25">
      <c r="B25" s="1063"/>
      <c r="C25" s="1031"/>
      <c r="D25" s="1032"/>
      <c r="E25" s="1032"/>
      <c r="F25" s="1032"/>
      <c r="G25" s="1032"/>
      <c r="H25" s="1032"/>
      <c r="I25" s="1032"/>
      <c r="J25" s="1032"/>
      <c r="K25" s="1032"/>
      <c r="L25" s="1032"/>
      <c r="M25" s="1033"/>
      <c r="N25" s="1037"/>
      <c r="O25" s="1038"/>
      <c r="P25" s="1038"/>
      <c r="Q25" s="1038"/>
      <c r="R25" s="1038"/>
      <c r="S25" s="1039"/>
      <c r="T25" s="1042"/>
      <c r="U25" s="1043"/>
      <c r="V25" s="1046"/>
      <c r="W25" s="1047"/>
      <c r="X25" s="1031"/>
      <c r="Y25" s="1032"/>
      <c r="Z25" s="1032"/>
      <c r="AA25" s="1033"/>
      <c r="AB25" s="1031"/>
      <c r="AC25" s="1032"/>
      <c r="AD25" s="1033"/>
      <c r="AE25" s="1050"/>
      <c r="AF25" s="1051"/>
      <c r="AG25" s="1050"/>
      <c r="AH25" s="1051"/>
      <c r="AI25" s="1054"/>
      <c r="AJ25" s="1055"/>
      <c r="AK25" s="1019"/>
      <c r="AL25" s="1020"/>
      <c r="AM25" s="1020"/>
      <c r="AN25" s="1021"/>
      <c r="AO25" s="1025"/>
      <c r="AP25" s="1026"/>
      <c r="AQ25" s="1027"/>
      <c r="AR25" s="135"/>
      <c r="AU25" s="1004"/>
      <c r="AV25" s="1066"/>
    </row>
    <row r="26" spans="2:48" ht="15.95" customHeight="1" x14ac:dyDescent="0.25">
      <c r="B26" s="1063">
        <v>6</v>
      </c>
      <c r="C26" s="1028"/>
      <c r="D26" s="1029"/>
      <c r="E26" s="1029"/>
      <c r="F26" s="1029"/>
      <c r="G26" s="1029"/>
      <c r="H26" s="1029"/>
      <c r="I26" s="1029"/>
      <c r="J26" s="1029"/>
      <c r="K26" s="1029"/>
      <c r="L26" s="1029"/>
      <c r="M26" s="1030"/>
      <c r="N26" s="1034" t="str">
        <f>IF(C26="","",INDEX(PMEKITCHEN[Base Desc 1],MATCH(C26,PMEKITCHEN[Eff Desc 1],0)))</f>
        <v/>
      </c>
      <c r="O26" s="1035"/>
      <c r="P26" s="1035"/>
      <c r="Q26" s="1035"/>
      <c r="R26" s="1035"/>
      <c r="S26" s="1036"/>
      <c r="T26" s="1040" t="str">
        <f>IF(C26="","",INDEX(PMEKITCHEN[Unit of Measure],MATCH(C26,PMEKITCHEN[Eff Desc 1],0)))</f>
        <v/>
      </c>
      <c r="U26" s="1041"/>
      <c r="V26" s="1044"/>
      <c r="W26" s="1045"/>
      <c r="X26" s="1028"/>
      <c r="Y26" s="1029"/>
      <c r="Z26" s="1029"/>
      <c r="AA26" s="1030"/>
      <c r="AB26" s="1028"/>
      <c r="AC26" s="1029"/>
      <c r="AD26" s="1030"/>
      <c r="AE26" s="1048"/>
      <c r="AF26" s="1049"/>
      <c r="AG26" s="1048"/>
      <c r="AH26" s="1049"/>
      <c r="AI26" s="1052" t="str">
        <f>IF(C26="","",INDEX(PMEKITCHEN[Inc Rate Unit],MATCH(C26,PMEKITCHEN[Eff Desc 1],0)))</f>
        <v/>
      </c>
      <c r="AJ26" s="1053"/>
      <c r="AK26" s="1016" t="str">
        <f>IF(OR(C26="",V26="",X26="",AB26="",AE26="",AG26=""),"",ROUND(V26*INDEX(PMEKITCHEN[Savings per Unit kWh],MATCH(C26,PMEKITCHEN[Eff Desc 1],0)),0))</f>
        <v/>
      </c>
      <c r="AL26" s="1017"/>
      <c r="AM26" s="1017"/>
      <c r="AN26" s="1018"/>
      <c r="AO26" s="1022" t="str">
        <f>IF(OR(C26="",V26="",X26="",AB26="",AE26="",AG26=""),"",MIN(AU26,ROUND(V26*AI26,2)))</f>
        <v/>
      </c>
      <c r="AP26" s="1023"/>
      <c r="AQ26" s="1024"/>
      <c r="AR26" s="135"/>
      <c r="AU26" s="1003" t="str">
        <f t="shared" ref="AU26" si="4">IF(OR(,V26="",X26="",AB26="",AE26="",AG26=""),"",ROUND((AE26+AG26)*V26,2))</f>
        <v/>
      </c>
      <c r="AV26" s="1065" t="str">
        <f>IF(OR(C26="",V26="",X26="",AB26="",AE26="",AG26=""),"",ROUND(V26*INDEX(PMEKITCHEN[Savings per Unit kW],MATCH(C26,PMEKITCHEN[Eff Desc 1],0)),4))</f>
        <v/>
      </c>
    </row>
    <row r="27" spans="2:48" ht="15.95" customHeight="1" x14ac:dyDescent="0.25">
      <c r="B27" s="1063"/>
      <c r="C27" s="1031"/>
      <c r="D27" s="1032"/>
      <c r="E27" s="1032"/>
      <c r="F27" s="1032"/>
      <c r="G27" s="1032"/>
      <c r="H27" s="1032"/>
      <c r="I27" s="1032"/>
      <c r="J27" s="1032"/>
      <c r="K27" s="1032"/>
      <c r="L27" s="1032"/>
      <c r="M27" s="1033"/>
      <c r="N27" s="1037"/>
      <c r="O27" s="1038"/>
      <c r="P27" s="1038"/>
      <c r="Q27" s="1038"/>
      <c r="R27" s="1038"/>
      <c r="S27" s="1039"/>
      <c r="T27" s="1042"/>
      <c r="U27" s="1043"/>
      <c r="V27" s="1046"/>
      <c r="W27" s="1047"/>
      <c r="X27" s="1031"/>
      <c r="Y27" s="1032"/>
      <c r="Z27" s="1032"/>
      <c r="AA27" s="1033"/>
      <c r="AB27" s="1031"/>
      <c r="AC27" s="1032"/>
      <c r="AD27" s="1033"/>
      <c r="AE27" s="1050"/>
      <c r="AF27" s="1051"/>
      <c r="AG27" s="1050"/>
      <c r="AH27" s="1051"/>
      <c r="AI27" s="1054"/>
      <c r="AJ27" s="1055"/>
      <c r="AK27" s="1019"/>
      <c r="AL27" s="1020"/>
      <c r="AM27" s="1020"/>
      <c r="AN27" s="1021"/>
      <c r="AO27" s="1025"/>
      <c r="AP27" s="1026"/>
      <c r="AQ27" s="1027"/>
      <c r="AR27" s="135"/>
      <c r="AU27" s="1004"/>
      <c r="AV27" s="1066"/>
    </row>
    <row r="28" spans="2:48" ht="15.95" customHeight="1" x14ac:dyDescent="0.25">
      <c r="B28" s="1063">
        <v>7</v>
      </c>
      <c r="C28" s="1028"/>
      <c r="D28" s="1029"/>
      <c r="E28" s="1029"/>
      <c r="F28" s="1029"/>
      <c r="G28" s="1029"/>
      <c r="H28" s="1029"/>
      <c r="I28" s="1029"/>
      <c r="J28" s="1029"/>
      <c r="K28" s="1029"/>
      <c r="L28" s="1029"/>
      <c r="M28" s="1030"/>
      <c r="N28" s="1034" t="str">
        <f>IF(C28="","",INDEX(PMEKITCHEN[Base Desc 1],MATCH(C28,PMEKITCHEN[Eff Desc 1],0)))</f>
        <v/>
      </c>
      <c r="O28" s="1035"/>
      <c r="P28" s="1035"/>
      <c r="Q28" s="1035"/>
      <c r="R28" s="1035"/>
      <c r="S28" s="1036"/>
      <c r="T28" s="1040" t="str">
        <f>IF(C28="","",INDEX(PMEKITCHEN[Unit of Measure],MATCH(C28,PMEKITCHEN[Eff Desc 1],0)))</f>
        <v/>
      </c>
      <c r="U28" s="1041"/>
      <c r="V28" s="1044"/>
      <c r="W28" s="1045"/>
      <c r="X28" s="1028"/>
      <c r="Y28" s="1029"/>
      <c r="Z28" s="1029"/>
      <c r="AA28" s="1030"/>
      <c r="AB28" s="1028"/>
      <c r="AC28" s="1029"/>
      <c r="AD28" s="1030"/>
      <c r="AE28" s="1048"/>
      <c r="AF28" s="1049"/>
      <c r="AG28" s="1048"/>
      <c r="AH28" s="1049"/>
      <c r="AI28" s="1052" t="str">
        <f>IF(C28="","",INDEX(PMEKITCHEN[Inc Rate Unit],MATCH(C28,PMEKITCHEN[Eff Desc 1],0)))</f>
        <v/>
      </c>
      <c r="AJ28" s="1053"/>
      <c r="AK28" s="1016" t="str">
        <f>IF(OR(C28="",V28="",X28="",AB28="",AE28="",AG28=""),"",ROUND(V28*INDEX(PMEKITCHEN[Savings per Unit kWh],MATCH(C28,PMEKITCHEN[Eff Desc 1],0)),0))</f>
        <v/>
      </c>
      <c r="AL28" s="1017"/>
      <c r="AM28" s="1017"/>
      <c r="AN28" s="1018"/>
      <c r="AO28" s="1022" t="str">
        <f>IF(OR(C28="",V28="",X28="",AB28="",AE28="",AG28=""),"",MIN(AU28,ROUND(V28*AI28,2)))</f>
        <v/>
      </c>
      <c r="AP28" s="1023"/>
      <c r="AQ28" s="1024"/>
      <c r="AR28" s="135"/>
      <c r="AU28" s="1003" t="str">
        <f t="shared" ref="AU28" si="5">IF(OR(,V28="",X28="",AB28="",AE28="",AG28=""),"",ROUND((AE28+AG28)*V28,2))</f>
        <v/>
      </c>
      <c r="AV28" s="1065" t="str">
        <f>IF(OR(C28="",V28="",X28="",AB28="",AE28="",AG28=""),"",ROUND(V28*INDEX(PMEKITCHEN[Savings per Unit kW],MATCH(C28,PMEKITCHEN[Eff Desc 1],0)),4))</f>
        <v/>
      </c>
    </row>
    <row r="29" spans="2:48" ht="15.95" customHeight="1" x14ac:dyDescent="0.25">
      <c r="B29" s="1063"/>
      <c r="C29" s="1031"/>
      <c r="D29" s="1032"/>
      <c r="E29" s="1032"/>
      <c r="F29" s="1032"/>
      <c r="G29" s="1032"/>
      <c r="H29" s="1032"/>
      <c r="I29" s="1032"/>
      <c r="J29" s="1032"/>
      <c r="K29" s="1032"/>
      <c r="L29" s="1032"/>
      <c r="M29" s="1033"/>
      <c r="N29" s="1037"/>
      <c r="O29" s="1038"/>
      <c r="P29" s="1038"/>
      <c r="Q29" s="1038"/>
      <c r="R29" s="1038"/>
      <c r="S29" s="1039"/>
      <c r="T29" s="1042"/>
      <c r="U29" s="1043"/>
      <c r="V29" s="1046"/>
      <c r="W29" s="1047"/>
      <c r="X29" s="1031"/>
      <c r="Y29" s="1032"/>
      <c r="Z29" s="1032"/>
      <c r="AA29" s="1033"/>
      <c r="AB29" s="1031"/>
      <c r="AC29" s="1032"/>
      <c r="AD29" s="1033"/>
      <c r="AE29" s="1050"/>
      <c r="AF29" s="1051"/>
      <c r="AG29" s="1050"/>
      <c r="AH29" s="1051"/>
      <c r="AI29" s="1054"/>
      <c r="AJ29" s="1055"/>
      <c r="AK29" s="1019"/>
      <c r="AL29" s="1020"/>
      <c r="AM29" s="1020"/>
      <c r="AN29" s="1021"/>
      <c r="AO29" s="1025"/>
      <c r="AP29" s="1026"/>
      <c r="AQ29" s="1027"/>
      <c r="AR29" s="135"/>
      <c r="AU29" s="1004"/>
      <c r="AV29" s="1066"/>
    </row>
    <row r="30" spans="2:48" ht="15.95" customHeight="1" x14ac:dyDescent="0.25">
      <c r="B30" s="1063">
        <v>8</v>
      </c>
      <c r="C30" s="1028"/>
      <c r="D30" s="1029"/>
      <c r="E30" s="1029"/>
      <c r="F30" s="1029"/>
      <c r="G30" s="1029"/>
      <c r="H30" s="1029"/>
      <c r="I30" s="1029"/>
      <c r="J30" s="1029"/>
      <c r="K30" s="1029"/>
      <c r="L30" s="1029"/>
      <c r="M30" s="1030"/>
      <c r="N30" s="1034" t="str">
        <f>IF(C30="","",INDEX(PMEKITCHEN[Base Desc 1],MATCH(C30,PMEKITCHEN[Eff Desc 1],0)))</f>
        <v/>
      </c>
      <c r="O30" s="1035"/>
      <c r="P30" s="1035"/>
      <c r="Q30" s="1035"/>
      <c r="R30" s="1035"/>
      <c r="S30" s="1036"/>
      <c r="T30" s="1040" t="str">
        <f>IF(C30="","",INDEX(PMEKITCHEN[Unit of Measure],MATCH(C30,PMEKITCHEN[Eff Desc 1],0)))</f>
        <v/>
      </c>
      <c r="U30" s="1041"/>
      <c r="V30" s="1044"/>
      <c r="W30" s="1045"/>
      <c r="X30" s="1028"/>
      <c r="Y30" s="1029"/>
      <c r="Z30" s="1029"/>
      <c r="AA30" s="1030"/>
      <c r="AB30" s="1028"/>
      <c r="AC30" s="1029"/>
      <c r="AD30" s="1030"/>
      <c r="AE30" s="1048"/>
      <c r="AF30" s="1049"/>
      <c r="AG30" s="1048"/>
      <c r="AH30" s="1049"/>
      <c r="AI30" s="1052" t="str">
        <f>IF(C30="","",INDEX(PMEKITCHEN[Inc Rate Unit],MATCH(C30,PMEKITCHEN[Eff Desc 1],0)))</f>
        <v/>
      </c>
      <c r="AJ30" s="1053"/>
      <c r="AK30" s="1016" t="str">
        <f>IF(OR(C30="",V30="",X30="",AB30="",AE30="",AG30=""),"",ROUND(V30*INDEX(PMEKITCHEN[Savings per Unit kWh],MATCH(C30,PMEKITCHEN[Eff Desc 1],0)),0))</f>
        <v/>
      </c>
      <c r="AL30" s="1017"/>
      <c r="AM30" s="1017"/>
      <c r="AN30" s="1018"/>
      <c r="AO30" s="1022" t="str">
        <f>IF(OR(C30="",V30="",X30="",AB30="",AE30="",AG30=""),"",MIN(AU30,ROUND(V30*AI30,2)))</f>
        <v/>
      </c>
      <c r="AP30" s="1023"/>
      <c r="AQ30" s="1024"/>
      <c r="AR30" s="135"/>
      <c r="AU30" s="1003" t="str">
        <f t="shared" ref="AU30" si="6">IF(OR(,V30="",X30="",AB30="",AE30="",AG30=""),"",ROUND((AE30+AG30)*V30,2))</f>
        <v/>
      </c>
      <c r="AV30" s="1065" t="str">
        <f>IF(OR(C30="",V30="",X30="",AB30="",AE30="",AG30=""),"",ROUND(V30*INDEX(PMEKITCHEN[Savings per Unit kW],MATCH(C30,PMEKITCHEN[Eff Desc 1],0)),4))</f>
        <v/>
      </c>
    </row>
    <row r="31" spans="2:48" ht="15.95" customHeight="1" x14ac:dyDescent="0.25">
      <c r="B31" s="1063"/>
      <c r="C31" s="1031"/>
      <c r="D31" s="1032"/>
      <c r="E31" s="1032"/>
      <c r="F31" s="1032"/>
      <c r="G31" s="1032"/>
      <c r="H31" s="1032"/>
      <c r="I31" s="1032"/>
      <c r="J31" s="1032"/>
      <c r="K31" s="1032"/>
      <c r="L31" s="1032"/>
      <c r="M31" s="1033"/>
      <c r="N31" s="1037"/>
      <c r="O31" s="1038"/>
      <c r="P31" s="1038"/>
      <c r="Q31" s="1038"/>
      <c r="R31" s="1038"/>
      <c r="S31" s="1039"/>
      <c r="T31" s="1042"/>
      <c r="U31" s="1043"/>
      <c r="V31" s="1046"/>
      <c r="W31" s="1047"/>
      <c r="X31" s="1031"/>
      <c r="Y31" s="1032"/>
      <c r="Z31" s="1032"/>
      <c r="AA31" s="1033"/>
      <c r="AB31" s="1031"/>
      <c r="AC31" s="1032"/>
      <c r="AD31" s="1033"/>
      <c r="AE31" s="1050"/>
      <c r="AF31" s="1051"/>
      <c r="AG31" s="1050"/>
      <c r="AH31" s="1051"/>
      <c r="AI31" s="1054"/>
      <c r="AJ31" s="1055"/>
      <c r="AK31" s="1019"/>
      <c r="AL31" s="1020"/>
      <c r="AM31" s="1020"/>
      <c r="AN31" s="1021"/>
      <c r="AO31" s="1025"/>
      <c r="AP31" s="1026"/>
      <c r="AQ31" s="1027"/>
      <c r="AR31" s="135"/>
      <c r="AU31" s="1004"/>
      <c r="AV31" s="1066"/>
    </row>
    <row r="32" spans="2:48" ht="15.95" customHeight="1" x14ac:dyDescent="0.25">
      <c r="B32" s="1063">
        <v>9</v>
      </c>
      <c r="C32" s="1028"/>
      <c r="D32" s="1029"/>
      <c r="E32" s="1029"/>
      <c r="F32" s="1029"/>
      <c r="G32" s="1029"/>
      <c r="H32" s="1029"/>
      <c r="I32" s="1029"/>
      <c r="J32" s="1029"/>
      <c r="K32" s="1029"/>
      <c r="L32" s="1029"/>
      <c r="M32" s="1030"/>
      <c r="N32" s="1034" t="str">
        <f>IF(C32="","",INDEX(PMEKITCHEN[Base Desc 1],MATCH(C32,PMEKITCHEN[Eff Desc 1],0)))</f>
        <v/>
      </c>
      <c r="O32" s="1035"/>
      <c r="P32" s="1035"/>
      <c r="Q32" s="1035"/>
      <c r="R32" s="1035"/>
      <c r="S32" s="1036"/>
      <c r="T32" s="1040" t="str">
        <f>IF(C32="","",INDEX(PMEKITCHEN[Unit of Measure],MATCH(C32,PMEKITCHEN[Eff Desc 1],0)))</f>
        <v/>
      </c>
      <c r="U32" s="1041"/>
      <c r="V32" s="1044"/>
      <c r="W32" s="1045"/>
      <c r="X32" s="1028"/>
      <c r="Y32" s="1029"/>
      <c r="Z32" s="1029"/>
      <c r="AA32" s="1030"/>
      <c r="AB32" s="1028"/>
      <c r="AC32" s="1029"/>
      <c r="AD32" s="1030"/>
      <c r="AE32" s="1048"/>
      <c r="AF32" s="1049"/>
      <c r="AG32" s="1048"/>
      <c r="AH32" s="1049"/>
      <c r="AI32" s="1052" t="str">
        <f>IF(C32="","",INDEX(PMEKITCHEN[Inc Rate Unit],MATCH(C32,PMEKITCHEN[Eff Desc 1],0)))</f>
        <v/>
      </c>
      <c r="AJ32" s="1053"/>
      <c r="AK32" s="1016" t="str">
        <f>IF(OR(C32="",V32="",X32="",AB32="",AE32="",AG32=""),"",ROUND(V32*INDEX(PMEKITCHEN[Savings per Unit kWh],MATCH(C32,PMEKITCHEN[Eff Desc 1],0)),0))</f>
        <v/>
      </c>
      <c r="AL32" s="1017"/>
      <c r="AM32" s="1017"/>
      <c r="AN32" s="1018"/>
      <c r="AO32" s="1022" t="str">
        <f>IF(OR(C32="",V32="",X32="",AB32="",AE32="",AG32=""),"",MIN(AU32,ROUND(V32*AI32,2)))</f>
        <v/>
      </c>
      <c r="AP32" s="1023"/>
      <c r="AQ32" s="1024"/>
      <c r="AR32" s="135"/>
      <c r="AU32" s="1003" t="str">
        <f t="shared" ref="AU32" si="7">IF(OR(,V32="",X32="",AB32="",AE32="",AG32=""),"",ROUND((AE32+AG32)*V32,2))</f>
        <v/>
      </c>
      <c r="AV32" s="1065" t="str">
        <f>IF(OR(C32="",V32="",X32="",AB32="",AE32="",AG32=""),"",ROUND(V32*INDEX(PMEKITCHEN[Savings per Unit kW],MATCH(C32,PMEKITCHEN[Eff Desc 1],0)),4))</f>
        <v/>
      </c>
    </row>
    <row r="33" spans="2:48" ht="15.95" customHeight="1" x14ac:dyDescent="0.25">
      <c r="B33" s="1063"/>
      <c r="C33" s="1031"/>
      <c r="D33" s="1032"/>
      <c r="E33" s="1032"/>
      <c r="F33" s="1032"/>
      <c r="G33" s="1032"/>
      <c r="H33" s="1032"/>
      <c r="I33" s="1032"/>
      <c r="J33" s="1032"/>
      <c r="K33" s="1032"/>
      <c r="L33" s="1032"/>
      <c r="M33" s="1033"/>
      <c r="N33" s="1037"/>
      <c r="O33" s="1038"/>
      <c r="P33" s="1038"/>
      <c r="Q33" s="1038"/>
      <c r="R33" s="1038"/>
      <c r="S33" s="1039"/>
      <c r="T33" s="1042"/>
      <c r="U33" s="1043"/>
      <c r="V33" s="1046"/>
      <c r="W33" s="1047"/>
      <c r="X33" s="1031"/>
      <c r="Y33" s="1032"/>
      <c r="Z33" s="1032"/>
      <c r="AA33" s="1033"/>
      <c r="AB33" s="1031"/>
      <c r="AC33" s="1032"/>
      <c r="AD33" s="1033"/>
      <c r="AE33" s="1050"/>
      <c r="AF33" s="1051"/>
      <c r="AG33" s="1050"/>
      <c r="AH33" s="1051"/>
      <c r="AI33" s="1054"/>
      <c r="AJ33" s="1055"/>
      <c r="AK33" s="1019"/>
      <c r="AL33" s="1020"/>
      <c r="AM33" s="1020"/>
      <c r="AN33" s="1021"/>
      <c r="AO33" s="1025"/>
      <c r="AP33" s="1026"/>
      <c r="AQ33" s="1027"/>
      <c r="AR33" s="135"/>
      <c r="AU33" s="1004"/>
      <c r="AV33" s="1066"/>
    </row>
    <row r="34" spans="2:48" ht="15.95" customHeight="1" x14ac:dyDescent="0.25">
      <c r="B34" s="1063">
        <v>10</v>
      </c>
      <c r="C34" s="1028"/>
      <c r="D34" s="1029"/>
      <c r="E34" s="1029"/>
      <c r="F34" s="1029"/>
      <c r="G34" s="1029"/>
      <c r="H34" s="1029"/>
      <c r="I34" s="1029"/>
      <c r="J34" s="1029"/>
      <c r="K34" s="1029"/>
      <c r="L34" s="1029"/>
      <c r="M34" s="1030"/>
      <c r="N34" s="1034" t="str">
        <f>IF(C34="","",INDEX(PMEKITCHEN[Base Desc 1],MATCH(C34,PMEKITCHEN[Eff Desc 1],0)))</f>
        <v/>
      </c>
      <c r="O34" s="1035"/>
      <c r="P34" s="1035"/>
      <c r="Q34" s="1035"/>
      <c r="R34" s="1035"/>
      <c r="S34" s="1036"/>
      <c r="T34" s="1040" t="str">
        <f>IF(C34="","",INDEX(PMEKITCHEN[Unit of Measure],MATCH(C34,PMEKITCHEN[Eff Desc 1],0)))</f>
        <v/>
      </c>
      <c r="U34" s="1041"/>
      <c r="V34" s="1044"/>
      <c r="W34" s="1045"/>
      <c r="X34" s="1028"/>
      <c r="Y34" s="1029"/>
      <c r="Z34" s="1029"/>
      <c r="AA34" s="1030"/>
      <c r="AB34" s="1028"/>
      <c r="AC34" s="1029"/>
      <c r="AD34" s="1030"/>
      <c r="AE34" s="1048"/>
      <c r="AF34" s="1049"/>
      <c r="AG34" s="1048"/>
      <c r="AH34" s="1049"/>
      <c r="AI34" s="1052" t="str">
        <f>IF(C34="","",INDEX(PMEKITCHEN[Inc Rate Unit],MATCH(C34,PMEKITCHEN[Eff Desc 1],0)))</f>
        <v/>
      </c>
      <c r="AJ34" s="1053"/>
      <c r="AK34" s="1016" t="str">
        <f>IF(OR(C34="",V34="",X34="",AB34="",AE34="",AG34=""),"",ROUND(V34*INDEX(PMEKITCHEN[Savings per Unit kWh],MATCH(C34,PMEKITCHEN[Eff Desc 1],0)),0))</f>
        <v/>
      </c>
      <c r="AL34" s="1017"/>
      <c r="AM34" s="1017"/>
      <c r="AN34" s="1018"/>
      <c r="AO34" s="1022" t="str">
        <f>IF(OR(C34="",V34="",X34="",AB34="",AE34="",AG34=""),"",MIN(AU34,ROUND(V34*AI34,2)))</f>
        <v/>
      </c>
      <c r="AP34" s="1023"/>
      <c r="AQ34" s="1024"/>
      <c r="AR34" s="135"/>
      <c r="AU34" s="1003" t="str">
        <f t="shared" ref="AU34" si="8">IF(OR(,V34="",X34="",AB34="",AE34="",AG34=""),"",ROUND((AE34+AG34)*V34,2))</f>
        <v/>
      </c>
      <c r="AV34" s="1065" t="str">
        <f>IF(OR(C34="",V34="",X34="",AB34="",AE34="",AG34=""),"",ROUND(V34*INDEX(PMEKITCHEN[Savings per Unit kW],MATCH(C34,PMEKITCHEN[Eff Desc 1],0)),4))</f>
        <v/>
      </c>
    </row>
    <row r="35" spans="2:48" ht="15.95" customHeight="1" x14ac:dyDescent="0.25">
      <c r="B35" s="1063"/>
      <c r="C35" s="1031"/>
      <c r="D35" s="1032"/>
      <c r="E35" s="1032"/>
      <c r="F35" s="1032"/>
      <c r="G35" s="1032"/>
      <c r="H35" s="1032"/>
      <c r="I35" s="1032"/>
      <c r="J35" s="1032"/>
      <c r="K35" s="1032"/>
      <c r="L35" s="1032"/>
      <c r="M35" s="1033"/>
      <c r="N35" s="1037"/>
      <c r="O35" s="1038"/>
      <c r="P35" s="1038"/>
      <c r="Q35" s="1038"/>
      <c r="R35" s="1038"/>
      <c r="S35" s="1039"/>
      <c r="T35" s="1042"/>
      <c r="U35" s="1043"/>
      <c r="V35" s="1046"/>
      <c r="W35" s="1047"/>
      <c r="X35" s="1031"/>
      <c r="Y35" s="1032"/>
      <c r="Z35" s="1032"/>
      <c r="AA35" s="1033"/>
      <c r="AB35" s="1031"/>
      <c r="AC35" s="1032"/>
      <c r="AD35" s="1033"/>
      <c r="AE35" s="1050"/>
      <c r="AF35" s="1051"/>
      <c r="AG35" s="1050"/>
      <c r="AH35" s="1051"/>
      <c r="AI35" s="1054"/>
      <c r="AJ35" s="1055"/>
      <c r="AK35" s="1019"/>
      <c r="AL35" s="1020"/>
      <c r="AM35" s="1020"/>
      <c r="AN35" s="1021"/>
      <c r="AO35" s="1025"/>
      <c r="AP35" s="1026"/>
      <c r="AQ35" s="1027"/>
      <c r="AR35" s="135"/>
      <c r="AU35" s="1004"/>
      <c r="AV35" s="1066"/>
    </row>
    <row r="36" spans="2:48" ht="15.95" hidden="1" customHeight="1" x14ac:dyDescent="0.25">
      <c r="B36" s="1063">
        <v>11</v>
      </c>
      <c r="C36" s="1028"/>
      <c r="D36" s="1029"/>
      <c r="E36" s="1029"/>
      <c r="F36" s="1029"/>
      <c r="G36" s="1029"/>
      <c r="H36" s="1029"/>
      <c r="I36" s="1029"/>
      <c r="J36" s="1029"/>
      <c r="K36" s="1029"/>
      <c r="L36" s="1029"/>
      <c r="M36" s="1030"/>
      <c r="N36" s="1034" t="str">
        <f>IF(C36="","",INDEX(PMEMOTOR[Base Desc 1],MATCH(C36,PMEMOTOR[Eff Desc 1],0)))</f>
        <v/>
      </c>
      <c r="O36" s="1035"/>
      <c r="P36" s="1035"/>
      <c r="Q36" s="1035"/>
      <c r="R36" s="1035"/>
      <c r="S36" s="1036"/>
      <c r="T36" s="1040" t="str">
        <f>IF(C36="","",INDEX(PMEMOTOR[Unit of Measure],MATCH(C36,PMEMOTOR[Eff Desc 1],0)))</f>
        <v/>
      </c>
      <c r="U36" s="1041"/>
      <c r="V36" s="1044"/>
      <c r="W36" s="1045"/>
      <c r="X36" s="1028"/>
      <c r="Y36" s="1029"/>
      <c r="Z36" s="1029"/>
      <c r="AA36" s="1030"/>
      <c r="AB36" s="1028"/>
      <c r="AC36" s="1029"/>
      <c r="AD36" s="1030"/>
      <c r="AE36" s="1048"/>
      <c r="AF36" s="1049"/>
      <c r="AG36" s="1048"/>
      <c r="AH36" s="1049"/>
      <c r="AI36" s="1052" t="str">
        <f>IF(C36="","",INDEX(PMEMOTOR[Inc Rate Unit],MATCH(C36,PMEMOTOR[Eff Desc 1],0)))</f>
        <v/>
      </c>
      <c r="AJ36" s="1053"/>
      <c r="AK36" s="1016" t="str">
        <f>IF(OR(C36="",V36="",X36="",AB36="",AE36="",AG36=""),"",ROUND(V36*INDEX(PMEMOTOR[Savings per Unit kWh],MATCH(C36,PMEMOTOR[Eff Desc 1],0)),0))</f>
        <v/>
      </c>
      <c r="AL36" s="1017"/>
      <c r="AM36" s="1017"/>
      <c r="AN36" s="1018"/>
      <c r="AO36" s="1022" t="str">
        <f>IF(OR(C36="",V36="",X36="",AB36="",AE36="",AG36=""),"",MIN(AU36,ROUND(V36*AI36,2)))</f>
        <v/>
      </c>
      <c r="AP36" s="1023"/>
      <c r="AQ36" s="1024"/>
      <c r="AR36" s="135"/>
      <c r="AU36" s="1003" t="str">
        <f t="shared" ref="AU36" si="9">IF(OR(,V36="",X36="",AB36="",AE36="",AG36=""),"",ROUND((AE36+AG36)*V36,2))</f>
        <v/>
      </c>
      <c r="AV36" s="1005" t="str">
        <f>IF(OR(C36="",V36="",X36="",AB36="",AE36="",AG36=""),"",ROUND(V36*INDEX(PMEMOTOR[Savings per Unit kW],MATCH(C36,PMEMOTOR[Eff Desc 1],0)),10))</f>
        <v/>
      </c>
    </row>
    <row r="37" spans="2:48" ht="15.95" hidden="1" customHeight="1" x14ac:dyDescent="0.25">
      <c r="B37" s="1063"/>
      <c r="C37" s="1031"/>
      <c r="D37" s="1032"/>
      <c r="E37" s="1032"/>
      <c r="F37" s="1032"/>
      <c r="G37" s="1032"/>
      <c r="H37" s="1032"/>
      <c r="I37" s="1032"/>
      <c r="J37" s="1032"/>
      <c r="K37" s="1032"/>
      <c r="L37" s="1032"/>
      <c r="M37" s="1033"/>
      <c r="N37" s="1037"/>
      <c r="O37" s="1038"/>
      <c r="P37" s="1038"/>
      <c r="Q37" s="1038"/>
      <c r="R37" s="1038"/>
      <c r="S37" s="1039"/>
      <c r="T37" s="1042"/>
      <c r="U37" s="1043"/>
      <c r="V37" s="1046"/>
      <c r="W37" s="1047"/>
      <c r="X37" s="1031"/>
      <c r="Y37" s="1032"/>
      <c r="Z37" s="1032"/>
      <c r="AA37" s="1033"/>
      <c r="AB37" s="1031"/>
      <c r="AC37" s="1032"/>
      <c r="AD37" s="1033"/>
      <c r="AE37" s="1050"/>
      <c r="AF37" s="1051"/>
      <c r="AG37" s="1050"/>
      <c r="AH37" s="1051"/>
      <c r="AI37" s="1054"/>
      <c r="AJ37" s="1055"/>
      <c r="AK37" s="1019"/>
      <c r="AL37" s="1020"/>
      <c r="AM37" s="1020"/>
      <c r="AN37" s="1021"/>
      <c r="AO37" s="1025"/>
      <c r="AP37" s="1026"/>
      <c r="AQ37" s="1027"/>
      <c r="AR37" s="135"/>
      <c r="AU37" s="1004"/>
      <c r="AV37" s="1006"/>
    </row>
    <row r="38" spans="2:48" ht="15.95" hidden="1" customHeight="1" x14ac:dyDescent="0.25">
      <c r="B38" s="1063">
        <v>12</v>
      </c>
      <c r="C38" s="1028"/>
      <c r="D38" s="1029"/>
      <c r="E38" s="1029"/>
      <c r="F38" s="1029"/>
      <c r="G38" s="1029"/>
      <c r="H38" s="1029"/>
      <c r="I38" s="1029"/>
      <c r="J38" s="1029"/>
      <c r="K38" s="1029"/>
      <c r="L38" s="1029"/>
      <c r="M38" s="1030"/>
      <c r="N38" s="1034" t="str">
        <f>IF(C38="","",INDEX(PMEMOTOR[Base Desc 1],MATCH(C38,PMEMOTOR[Eff Desc 1],0)))</f>
        <v/>
      </c>
      <c r="O38" s="1035"/>
      <c r="P38" s="1035"/>
      <c r="Q38" s="1035"/>
      <c r="R38" s="1035"/>
      <c r="S38" s="1036"/>
      <c r="T38" s="1040" t="str">
        <f>IF(C38="","",INDEX(PMEMOTOR[Unit of Measure],MATCH(C38,PMEMOTOR[Eff Desc 1],0)))</f>
        <v/>
      </c>
      <c r="U38" s="1041"/>
      <c r="V38" s="1044"/>
      <c r="W38" s="1045"/>
      <c r="X38" s="1028"/>
      <c r="Y38" s="1029"/>
      <c r="Z38" s="1029"/>
      <c r="AA38" s="1030"/>
      <c r="AB38" s="1028"/>
      <c r="AC38" s="1029"/>
      <c r="AD38" s="1030"/>
      <c r="AE38" s="1048"/>
      <c r="AF38" s="1049"/>
      <c r="AG38" s="1048"/>
      <c r="AH38" s="1049"/>
      <c r="AI38" s="1052" t="str">
        <f>IF(C38="","",INDEX(PMEMOTOR[Inc Rate Unit],MATCH(C38,PMEMOTOR[Eff Desc 1],0)))</f>
        <v/>
      </c>
      <c r="AJ38" s="1053"/>
      <c r="AK38" s="1016" t="str">
        <f>IF(OR(C38="",V38="",X38="",AB38="",AE38="",AG38=""),"",ROUND(V38*INDEX(PMEMOTOR[Savings per Unit kWh],MATCH(C38,PMEMOTOR[Eff Desc 1],0)),0))</f>
        <v/>
      </c>
      <c r="AL38" s="1017"/>
      <c r="AM38" s="1017"/>
      <c r="AN38" s="1018"/>
      <c r="AO38" s="1022" t="str">
        <f>IF(OR(C38="",V38="",X38="",AB38="",AE38="",AG38=""),"",MIN(AU38,ROUND(V38*AI38,2)))</f>
        <v/>
      </c>
      <c r="AP38" s="1023"/>
      <c r="AQ38" s="1024"/>
      <c r="AR38" s="135"/>
      <c r="AU38" s="1003" t="str">
        <f t="shared" ref="AU38" si="10">IF(OR(,V38="",X38="",AB38="",AE38="",AG38=""),"",ROUND((AE38+AG38)*V38,2))</f>
        <v/>
      </c>
      <c r="AV38" s="1005" t="str">
        <f>IF(OR(C38="",V38="",X38="",AB38="",AE38="",AG38=""),"",ROUND(V38*INDEX(PMEMOTOR[Savings per Unit kW],MATCH(C38,PMEMOTOR[Eff Desc 1],0)),10))</f>
        <v/>
      </c>
    </row>
    <row r="39" spans="2:48" ht="15.95" hidden="1" customHeight="1" x14ac:dyDescent="0.25">
      <c r="B39" s="1063"/>
      <c r="C39" s="1031"/>
      <c r="D39" s="1032"/>
      <c r="E39" s="1032"/>
      <c r="F39" s="1032"/>
      <c r="G39" s="1032"/>
      <c r="H39" s="1032"/>
      <c r="I39" s="1032"/>
      <c r="J39" s="1032"/>
      <c r="K39" s="1032"/>
      <c r="L39" s="1032"/>
      <c r="M39" s="1033"/>
      <c r="N39" s="1037"/>
      <c r="O39" s="1038"/>
      <c r="P39" s="1038"/>
      <c r="Q39" s="1038"/>
      <c r="R39" s="1038"/>
      <c r="S39" s="1039"/>
      <c r="T39" s="1042"/>
      <c r="U39" s="1043"/>
      <c r="V39" s="1046"/>
      <c r="W39" s="1047"/>
      <c r="X39" s="1031"/>
      <c r="Y39" s="1032"/>
      <c r="Z39" s="1032"/>
      <c r="AA39" s="1033"/>
      <c r="AB39" s="1031"/>
      <c r="AC39" s="1032"/>
      <c r="AD39" s="1033"/>
      <c r="AE39" s="1050"/>
      <c r="AF39" s="1051"/>
      <c r="AG39" s="1050"/>
      <c r="AH39" s="1051"/>
      <c r="AI39" s="1054"/>
      <c r="AJ39" s="1055"/>
      <c r="AK39" s="1019"/>
      <c r="AL39" s="1020"/>
      <c r="AM39" s="1020"/>
      <c r="AN39" s="1021"/>
      <c r="AO39" s="1025"/>
      <c r="AP39" s="1026"/>
      <c r="AQ39" s="1027"/>
      <c r="AR39" s="135"/>
      <c r="AU39" s="1004"/>
      <c r="AV39" s="1006"/>
    </row>
    <row r="40" spans="2:48" ht="15.95" hidden="1" customHeight="1" x14ac:dyDescent="0.25">
      <c r="B40" s="1063">
        <v>13</v>
      </c>
      <c r="C40" s="1028"/>
      <c r="D40" s="1029"/>
      <c r="E40" s="1029"/>
      <c r="F40" s="1029"/>
      <c r="G40" s="1029"/>
      <c r="H40" s="1029"/>
      <c r="I40" s="1029"/>
      <c r="J40" s="1029"/>
      <c r="K40" s="1029"/>
      <c r="L40" s="1029"/>
      <c r="M40" s="1030"/>
      <c r="N40" s="1034" t="str">
        <f>IF(C40="","",INDEX(PMEMOTOR[Base Desc 1],MATCH(C40,PMEMOTOR[Eff Desc 1],0)))</f>
        <v/>
      </c>
      <c r="O40" s="1035"/>
      <c r="P40" s="1035"/>
      <c r="Q40" s="1035"/>
      <c r="R40" s="1035"/>
      <c r="S40" s="1036"/>
      <c r="T40" s="1040" t="str">
        <f>IF(C40="","",INDEX(PMEMOTOR[Unit of Measure],MATCH(C40,PMEMOTOR[Eff Desc 1],0)))</f>
        <v/>
      </c>
      <c r="U40" s="1041"/>
      <c r="V40" s="1044"/>
      <c r="W40" s="1045"/>
      <c r="X40" s="1028"/>
      <c r="Y40" s="1029"/>
      <c r="Z40" s="1029"/>
      <c r="AA40" s="1030"/>
      <c r="AB40" s="1028"/>
      <c r="AC40" s="1029"/>
      <c r="AD40" s="1030"/>
      <c r="AE40" s="1048"/>
      <c r="AF40" s="1049"/>
      <c r="AG40" s="1048"/>
      <c r="AH40" s="1049"/>
      <c r="AI40" s="1052" t="str">
        <f>IF(C40="","",INDEX(PMEMOTOR[Inc Rate Unit],MATCH(C40,PMEMOTOR[Eff Desc 1],0)))</f>
        <v/>
      </c>
      <c r="AJ40" s="1053"/>
      <c r="AK40" s="1016" t="str">
        <f>IF(OR(C40="",V40="",X40="",AB40="",AE40="",AG40=""),"",ROUND(V40*INDEX(PMEMOTOR[Savings per Unit kWh],MATCH(C40,PMEMOTOR[Eff Desc 1],0)),0))</f>
        <v/>
      </c>
      <c r="AL40" s="1017"/>
      <c r="AM40" s="1017"/>
      <c r="AN40" s="1018"/>
      <c r="AO40" s="1022" t="str">
        <f>IF(OR(C40="",V40="",X40="",AB40="",AE40="",AG40=""),"",MIN(AU40,ROUND(V40*AI40,2)))</f>
        <v/>
      </c>
      <c r="AP40" s="1023"/>
      <c r="AQ40" s="1024"/>
      <c r="AR40" s="135"/>
      <c r="AU40" s="1003" t="str">
        <f t="shared" ref="AU40" si="11">IF(OR(,V40="",X40="",AB40="",AE40="",AG40=""),"",ROUND((AE40+AG40)*V40,2))</f>
        <v/>
      </c>
      <c r="AV40" s="1005" t="str">
        <f>IF(OR(C40="",V40="",X40="",AB40="",AE40="",AG40=""),"",ROUND(V40*INDEX(PMEMOTOR[Savings per Unit kW],MATCH(C40,PMEMOTOR[Eff Desc 1],0)),10))</f>
        <v/>
      </c>
    </row>
    <row r="41" spans="2:48" ht="15.95" hidden="1" customHeight="1" x14ac:dyDescent="0.25">
      <c r="B41" s="1063"/>
      <c r="C41" s="1031"/>
      <c r="D41" s="1032"/>
      <c r="E41" s="1032"/>
      <c r="F41" s="1032"/>
      <c r="G41" s="1032"/>
      <c r="H41" s="1032"/>
      <c r="I41" s="1032"/>
      <c r="J41" s="1032"/>
      <c r="K41" s="1032"/>
      <c r="L41" s="1032"/>
      <c r="M41" s="1033"/>
      <c r="N41" s="1037"/>
      <c r="O41" s="1038"/>
      <c r="P41" s="1038"/>
      <c r="Q41" s="1038"/>
      <c r="R41" s="1038"/>
      <c r="S41" s="1039"/>
      <c r="T41" s="1042"/>
      <c r="U41" s="1043"/>
      <c r="V41" s="1046"/>
      <c r="W41" s="1047"/>
      <c r="X41" s="1031"/>
      <c r="Y41" s="1032"/>
      <c r="Z41" s="1032"/>
      <c r="AA41" s="1033"/>
      <c r="AB41" s="1031"/>
      <c r="AC41" s="1032"/>
      <c r="AD41" s="1033"/>
      <c r="AE41" s="1050"/>
      <c r="AF41" s="1051"/>
      <c r="AG41" s="1050"/>
      <c r="AH41" s="1051"/>
      <c r="AI41" s="1054"/>
      <c r="AJ41" s="1055"/>
      <c r="AK41" s="1019"/>
      <c r="AL41" s="1020"/>
      <c r="AM41" s="1020"/>
      <c r="AN41" s="1021"/>
      <c r="AO41" s="1025"/>
      <c r="AP41" s="1026"/>
      <c r="AQ41" s="1027"/>
      <c r="AR41" s="135"/>
      <c r="AU41" s="1004"/>
      <c r="AV41" s="1006"/>
    </row>
    <row r="42" spans="2:48" ht="15.95" hidden="1" customHeight="1" x14ac:dyDescent="0.25">
      <c r="B42" s="1063">
        <v>14</v>
      </c>
      <c r="C42" s="1028"/>
      <c r="D42" s="1029"/>
      <c r="E42" s="1029"/>
      <c r="F42" s="1029"/>
      <c r="G42" s="1029"/>
      <c r="H42" s="1029"/>
      <c r="I42" s="1029"/>
      <c r="J42" s="1029"/>
      <c r="K42" s="1029"/>
      <c r="L42" s="1029"/>
      <c r="M42" s="1030"/>
      <c r="N42" s="1034" t="str">
        <f>IF(C42="","",INDEX(PMEMOTOR[Base Desc 1],MATCH(C42,PMEMOTOR[Eff Desc 1],0)))</f>
        <v/>
      </c>
      <c r="O42" s="1035"/>
      <c r="P42" s="1035"/>
      <c r="Q42" s="1035"/>
      <c r="R42" s="1035"/>
      <c r="S42" s="1036"/>
      <c r="T42" s="1040" t="str">
        <f>IF(C42="","",INDEX(PMEMOTOR[Unit of Measure],MATCH(C42,PMEMOTOR[Eff Desc 1],0)))</f>
        <v/>
      </c>
      <c r="U42" s="1041"/>
      <c r="V42" s="1044"/>
      <c r="W42" s="1045"/>
      <c r="X42" s="1028"/>
      <c r="Y42" s="1029"/>
      <c r="Z42" s="1029"/>
      <c r="AA42" s="1030"/>
      <c r="AB42" s="1028"/>
      <c r="AC42" s="1029"/>
      <c r="AD42" s="1030"/>
      <c r="AE42" s="1048"/>
      <c r="AF42" s="1049"/>
      <c r="AG42" s="1048"/>
      <c r="AH42" s="1049"/>
      <c r="AI42" s="1052" t="str">
        <f>IF(C42="","",INDEX(PMEMOTOR[Inc Rate Unit],MATCH(C42,PMEMOTOR[Eff Desc 1],0)))</f>
        <v/>
      </c>
      <c r="AJ42" s="1053"/>
      <c r="AK42" s="1016" t="str">
        <f>IF(OR(C42="",V42="",X42="",AB42="",AE42="",AG42=""),"",ROUND(V42*INDEX(PMEMOTOR[Savings per Unit kWh],MATCH(C42,PMEMOTOR[Eff Desc 1],0)),0))</f>
        <v/>
      </c>
      <c r="AL42" s="1017"/>
      <c r="AM42" s="1017"/>
      <c r="AN42" s="1018"/>
      <c r="AO42" s="1022" t="str">
        <f>IF(OR(C42="",V42="",X42="",AB42="",AE42="",AG42=""),"",MIN(AU42,ROUND(V42*AI42,2)))</f>
        <v/>
      </c>
      <c r="AP42" s="1023"/>
      <c r="AQ42" s="1024"/>
      <c r="AR42" s="135"/>
      <c r="AU42" s="1003" t="str">
        <f t="shared" ref="AU42" si="12">IF(OR(,V42="",X42="",AB42="",AE42="",AG42=""),"",ROUND((AE42+AG42)*V42,2))</f>
        <v/>
      </c>
      <c r="AV42" s="1005" t="str">
        <f>IF(OR(C42="",V42="",X42="",AB42="",AE42="",AG42=""),"",ROUND(V42*INDEX(PMEMOTOR[Savings per Unit kW],MATCH(C42,PMEMOTOR[Eff Desc 1],0)),10))</f>
        <v/>
      </c>
    </row>
    <row r="43" spans="2:48" ht="15.95" hidden="1" customHeight="1" x14ac:dyDescent="0.25">
      <c r="B43" s="1063"/>
      <c r="C43" s="1031"/>
      <c r="D43" s="1032"/>
      <c r="E43" s="1032"/>
      <c r="F43" s="1032"/>
      <c r="G43" s="1032"/>
      <c r="H43" s="1032"/>
      <c r="I43" s="1032"/>
      <c r="J43" s="1032"/>
      <c r="K43" s="1032"/>
      <c r="L43" s="1032"/>
      <c r="M43" s="1033"/>
      <c r="N43" s="1037"/>
      <c r="O43" s="1038"/>
      <c r="P43" s="1038"/>
      <c r="Q43" s="1038"/>
      <c r="R43" s="1038"/>
      <c r="S43" s="1039"/>
      <c r="T43" s="1042"/>
      <c r="U43" s="1043"/>
      <c r="V43" s="1046"/>
      <c r="W43" s="1047"/>
      <c r="X43" s="1031"/>
      <c r="Y43" s="1032"/>
      <c r="Z43" s="1032"/>
      <c r="AA43" s="1033"/>
      <c r="AB43" s="1031"/>
      <c r="AC43" s="1032"/>
      <c r="AD43" s="1033"/>
      <c r="AE43" s="1050"/>
      <c r="AF43" s="1051"/>
      <c r="AG43" s="1050"/>
      <c r="AH43" s="1051"/>
      <c r="AI43" s="1054"/>
      <c r="AJ43" s="1055"/>
      <c r="AK43" s="1019"/>
      <c r="AL43" s="1020"/>
      <c r="AM43" s="1020"/>
      <c r="AN43" s="1021"/>
      <c r="AO43" s="1025"/>
      <c r="AP43" s="1026"/>
      <c r="AQ43" s="1027"/>
      <c r="AR43" s="135"/>
      <c r="AU43" s="1004"/>
      <c r="AV43" s="1006"/>
    </row>
    <row r="44" spans="2:48" ht="15.95" hidden="1" customHeight="1" x14ac:dyDescent="0.25">
      <c r="B44" s="1063">
        <v>15</v>
      </c>
      <c r="C44" s="1028"/>
      <c r="D44" s="1029"/>
      <c r="E44" s="1029"/>
      <c r="F44" s="1029"/>
      <c r="G44" s="1029"/>
      <c r="H44" s="1029"/>
      <c r="I44" s="1029"/>
      <c r="J44" s="1029"/>
      <c r="K44" s="1029"/>
      <c r="L44" s="1029"/>
      <c r="M44" s="1030"/>
      <c r="N44" s="1034" t="str">
        <f>IF(C44="","",INDEX(PMEMOTOR[Base Desc 1],MATCH(C44,PMEMOTOR[Eff Desc 1],0)))</f>
        <v/>
      </c>
      <c r="O44" s="1035"/>
      <c r="P44" s="1035"/>
      <c r="Q44" s="1035"/>
      <c r="R44" s="1035"/>
      <c r="S44" s="1036"/>
      <c r="T44" s="1040" t="str">
        <f>IF(C44="","",INDEX(PMEMOTOR[Unit of Measure],MATCH(C44,PMEMOTOR[Eff Desc 1],0)))</f>
        <v/>
      </c>
      <c r="U44" s="1041"/>
      <c r="V44" s="1044"/>
      <c r="W44" s="1045"/>
      <c r="X44" s="1028"/>
      <c r="Y44" s="1029"/>
      <c r="Z44" s="1029"/>
      <c r="AA44" s="1030"/>
      <c r="AB44" s="1028"/>
      <c r="AC44" s="1029"/>
      <c r="AD44" s="1030"/>
      <c r="AE44" s="1048"/>
      <c r="AF44" s="1049"/>
      <c r="AG44" s="1048"/>
      <c r="AH44" s="1049"/>
      <c r="AI44" s="1052" t="str">
        <f>IF(C44="","",INDEX(PMEMOTOR[Inc Rate Unit],MATCH(C44,PMEMOTOR[Eff Desc 1],0)))</f>
        <v/>
      </c>
      <c r="AJ44" s="1053"/>
      <c r="AK44" s="1016" t="str">
        <f>IF(OR(C44="",V44="",X44="",AB44="",AE44="",AG44=""),"",ROUND(V44*INDEX(PMEMOTOR[Savings per Unit kWh],MATCH(C44,PMEMOTOR[Eff Desc 1],0)),0))</f>
        <v/>
      </c>
      <c r="AL44" s="1017"/>
      <c r="AM44" s="1017"/>
      <c r="AN44" s="1018"/>
      <c r="AO44" s="1022" t="str">
        <f>IF(OR(C44="",V44="",X44="",AB44="",AE44="",AG44=""),"",MIN(AU44,ROUND(V44*AI44,2)))</f>
        <v/>
      </c>
      <c r="AP44" s="1023"/>
      <c r="AQ44" s="1024"/>
      <c r="AR44" s="135"/>
      <c r="AU44" s="1003" t="str">
        <f t="shared" ref="AU44" si="13">IF(OR(,V44="",X44="",AB44="",AE44="",AG44=""),"",ROUND((AE44+AG44)*V44,2))</f>
        <v/>
      </c>
      <c r="AV44" s="1005" t="str">
        <f>IF(OR(C44="",V44="",X44="",AB44="",AE44="",AG44=""),"",ROUND(V44*INDEX(PMEMOTOR[Savings per Unit kW],MATCH(C44,PMEMOTOR[Eff Desc 1],0)),10))</f>
        <v/>
      </c>
    </row>
    <row r="45" spans="2:48" ht="15.95" hidden="1" customHeight="1" x14ac:dyDescent="0.25">
      <c r="B45" s="1063"/>
      <c r="C45" s="1031"/>
      <c r="D45" s="1032"/>
      <c r="E45" s="1032"/>
      <c r="F45" s="1032"/>
      <c r="G45" s="1032"/>
      <c r="H45" s="1032"/>
      <c r="I45" s="1032"/>
      <c r="J45" s="1032"/>
      <c r="K45" s="1032"/>
      <c r="L45" s="1032"/>
      <c r="M45" s="1033"/>
      <c r="N45" s="1037"/>
      <c r="O45" s="1038"/>
      <c r="P45" s="1038"/>
      <c r="Q45" s="1038"/>
      <c r="R45" s="1038"/>
      <c r="S45" s="1039"/>
      <c r="T45" s="1042"/>
      <c r="U45" s="1043"/>
      <c r="V45" s="1046"/>
      <c r="W45" s="1047"/>
      <c r="X45" s="1031"/>
      <c r="Y45" s="1032"/>
      <c r="Z45" s="1032"/>
      <c r="AA45" s="1033"/>
      <c r="AB45" s="1031"/>
      <c r="AC45" s="1032"/>
      <c r="AD45" s="1033"/>
      <c r="AE45" s="1050"/>
      <c r="AF45" s="1051"/>
      <c r="AG45" s="1050"/>
      <c r="AH45" s="1051"/>
      <c r="AI45" s="1054"/>
      <c r="AJ45" s="1055"/>
      <c r="AK45" s="1019"/>
      <c r="AL45" s="1020"/>
      <c r="AM45" s="1020"/>
      <c r="AN45" s="1021"/>
      <c r="AO45" s="1025"/>
      <c r="AP45" s="1026"/>
      <c r="AQ45" s="1027"/>
      <c r="AR45" s="135"/>
      <c r="AU45" s="1004"/>
      <c r="AV45" s="1006"/>
    </row>
    <row r="46" spans="2:48" ht="15.95" hidden="1" customHeight="1" x14ac:dyDescent="0.25">
      <c r="B46" s="1062">
        <v>16</v>
      </c>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row>
    <row r="47" spans="2:48" ht="15.95" hidden="1" customHeight="1" x14ac:dyDescent="0.25">
      <c r="B47" s="1062"/>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row>
    <row r="48" spans="2:48" ht="15.95" hidden="1" customHeight="1" x14ac:dyDescent="0.25">
      <c r="B48" s="1062">
        <v>17</v>
      </c>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row>
    <row r="49" spans="2:43" ht="15.95" hidden="1" customHeight="1" x14ac:dyDescent="0.25">
      <c r="B49" s="1062"/>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row>
    <row r="50" spans="2:43" ht="15.95" hidden="1" customHeight="1" x14ac:dyDescent="0.25">
      <c r="B50" s="1062">
        <v>18</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row>
    <row r="51" spans="2:43" ht="15.95" hidden="1" customHeight="1" x14ac:dyDescent="0.25">
      <c r="B51" s="1062"/>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row>
    <row r="52" spans="2:43" ht="15.95" hidden="1" customHeight="1" x14ac:dyDescent="0.25">
      <c r="B52" s="1062">
        <v>19</v>
      </c>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row>
    <row r="53" spans="2:43" ht="15.95" hidden="1" customHeight="1" x14ac:dyDescent="0.25">
      <c r="B53" s="1062"/>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row>
    <row r="54" spans="2:43" ht="15.95" hidden="1" customHeight="1" x14ac:dyDescent="0.25">
      <c r="B54" s="1062">
        <v>20</v>
      </c>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row>
    <row r="55" spans="2:43" ht="15.95" hidden="1" customHeight="1" x14ac:dyDescent="0.25">
      <c r="B55" s="1062"/>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row>
    <row r="56" spans="2:43" ht="15.95" hidden="1" customHeight="1" x14ac:dyDescent="0.25">
      <c r="B56" s="1062">
        <v>21</v>
      </c>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row>
    <row r="57" spans="2:43" ht="15.95" hidden="1" customHeight="1" x14ac:dyDescent="0.25">
      <c r="B57" s="1062"/>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row>
    <row r="58" spans="2:43" ht="15.95" hidden="1" customHeight="1" x14ac:dyDescent="0.25">
      <c r="B58" s="1062">
        <v>22</v>
      </c>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row>
    <row r="59" spans="2:43" ht="15.95" hidden="1" customHeight="1" x14ac:dyDescent="0.25">
      <c r="B59" s="1062"/>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row>
    <row r="60" spans="2:43" ht="15.95" hidden="1" customHeight="1" x14ac:dyDescent="0.25">
      <c r="B60" s="1062">
        <v>23</v>
      </c>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row>
    <row r="61" spans="2:43" ht="15.95" hidden="1" customHeight="1" x14ac:dyDescent="0.25">
      <c r="B61" s="1062"/>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row>
    <row r="62" spans="2:43" ht="15.95" hidden="1" customHeight="1" x14ac:dyDescent="0.25">
      <c r="B62" s="1062">
        <v>24</v>
      </c>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row>
    <row r="63" spans="2:43" ht="15.95" hidden="1" customHeight="1" x14ac:dyDescent="0.25">
      <c r="B63" s="1062"/>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row>
    <row r="64" spans="2:43" ht="15.95" hidden="1" customHeight="1" x14ac:dyDescent="0.25">
      <c r="B64" s="1062">
        <v>25</v>
      </c>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row>
    <row r="65" spans="2:43" ht="15.95" hidden="1" customHeight="1" x14ac:dyDescent="0.25">
      <c r="B65" s="1062"/>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row>
    <row r="66" spans="2:43" ht="15.95" hidden="1" customHeight="1" x14ac:dyDescent="0.25">
      <c r="B66" s="1062">
        <v>26</v>
      </c>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row>
    <row r="67" spans="2:43" ht="15.95" hidden="1" customHeight="1" x14ac:dyDescent="0.25">
      <c r="B67" s="1062"/>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row>
    <row r="68" spans="2:43" ht="15.95" hidden="1" customHeight="1" x14ac:dyDescent="0.25">
      <c r="B68" s="1062">
        <v>27</v>
      </c>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row>
    <row r="69" spans="2:43" ht="15.95" hidden="1" customHeight="1" x14ac:dyDescent="0.25">
      <c r="B69" s="1062"/>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row>
    <row r="70" spans="2:43" ht="15.95" hidden="1" customHeight="1" x14ac:dyDescent="0.25">
      <c r="B70" s="1062">
        <v>28</v>
      </c>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row>
    <row r="71" spans="2:43" ht="15.95" hidden="1" customHeight="1" x14ac:dyDescent="0.25">
      <c r="B71" s="1062"/>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row>
    <row r="72" spans="2:43" ht="15.95" hidden="1" customHeight="1" x14ac:dyDescent="0.25">
      <c r="B72" s="1062">
        <v>29</v>
      </c>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row>
    <row r="73" spans="2:43" ht="15.95" hidden="1" customHeight="1" x14ac:dyDescent="0.25">
      <c r="B73" s="1062"/>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row>
    <row r="74" spans="2:43" ht="15.95" hidden="1" customHeight="1" x14ac:dyDescent="0.25">
      <c r="B74" s="1062">
        <v>30</v>
      </c>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row>
    <row r="75" spans="2:43" ht="15.95" hidden="1" customHeight="1" x14ac:dyDescent="0.25">
      <c r="B75" s="1062"/>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row>
    <row r="76" spans="2:43" ht="15.95" hidden="1" customHeight="1" x14ac:dyDescent="0.25">
      <c r="B76" s="1062">
        <v>31</v>
      </c>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row>
    <row r="77" spans="2:43" ht="15.95" hidden="1" customHeight="1" x14ac:dyDescent="0.25">
      <c r="B77" s="1062"/>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row>
    <row r="78" spans="2:43" ht="15.95" hidden="1" customHeight="1" x14ac:dyDescent="0.25">
      <c r="B78" s="1062">
        <v>32</v>
      </c>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row>
    <row r="79" spans="2:43" ht="15.95" hidden="1" customHeight="1" x14ac:dyDescent="0.25">
      <c r="B79" s="1062"/>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row>
    <row r="80" spans="2:43" ht="15.95" hidden="1" customHeight="1" x14ac:dyDescent="0.25">
      <c r="B80" s="1062">
        <v>33</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row>
    <row r="81" spans="2:43" ht="15.95" hidden="1" customHeight="1" x14ac:dyDescent="0.25">
      <c r="B81" s="1062"/>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row>
    <row r="82" spans="2:43" ht="15.95" hidden="1" customHeight="1" x14ac:dyDescent="0.25">
      <c r="B82" s="1062">
        <v>34</v>
      </c>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row>
    <row r="83" spans="2:43" ht="15.95" hidden="1" customHeight="1" x14ac:dyDescent="0.25">
      <c r="B83" s="1062"/>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row>
    <row r="84" spans="2:43" ht="15.95" hidden="1" customHeight="1" x14ac:dyDescent="0.25">
      <c r="B84" s="1062">
        <v>35</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row>
    <row r="85" spans="2:43" ht="15.95" hidden="1" customHeight="1" x14ac:dyDescent="0.25">
      <c r="B85" s="1062"/>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row>
    <row r="86" spans="2:43" ht="15.95" hidden="1" customHeight="1" x14ac:dyDescent="0.25">
      <c r="B86" s="1062">
        <v>36</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row>
    <row r="87" spans="2:43" ht="15.95" hidden="1" customHeight="1" x14ac:dyDescent="0.25">
      <c r="B87" s="1062"/>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row>
    <row r="88" spans="2:43" ht="15.95" hidden="1" customHeight="1" x14ac:dyDescent="0.25">
      <c r="B88" s="1062">
        <v>37</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row>
    <row r="89" spans="2:43" ht="15.95" hidden="1" customHeight="1" x14ac:dyDescent="0.25">
      <c r="B89" s="1062"/>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row>
    <row r="90" spans="2:43" ht="15.95" hidden="1" customHeight="1" x14ac:dyDescent="0.25">
      <c r="B90" s="1062">
        <v>38</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row>
    <row r="91" spans="2:43" ht="15.95" hidden="1" customHeight="1" x14ac:dyDescent="0.25">
      <c r="B91" s="1062"/>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row>
    <row r="92" spans="2:43" ht="15.95" hidden="1" customHeight="1" x14ac:dyDescent="0.25">
      <c r="B92" s="1062">
        <v>39</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row>
    <row r="93" spans="2:43" ht="15.95" hidden="1" customHeight="1" x14ac:dyDescent="0.25">
      <c r="B93" s="1062"/>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row>
    <row r="94" spans="2:43" ht="15.95" hidden="1" customHeight="1" x14ac:dyDescent="0.25">
      <c r="B94" s="1062">
        <v>40</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row>
    <row r="95" spans="2:43" ht="15.95" hidden="1" customHeight="1" x14ac:dyDescent="0.25">
      <c r="B95" s="1062"/>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row>
    <row r="96" spans="2:43" ht="15.95" hidden="1" customHeight="1" x14ac:dyDescent="0.25">
      <c r="B96" s="1062">
        <v>41</v>
      </c>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row>
    <row r="97" spans="2:43" ht="15.95" hidden="1" customHeight="1" x14ac:dyDescent="0.25">
      <c r="B97" s="1062"/>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row>
    <row r="98" spans="2:43" ht="15.95" hidden="1" customHeight="1" x14ac:dyDescent="0.25">
      <c r="B98" s="1062">
        <v>42</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row>
    <row r="99" spans="2:43" ht="15.95" hidden="1" customHeight="1" x14ac:dyDescent="0.25">
      <c r="B99" s="1062"/>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row>
    <row r="100" spans="2:43" ht="15.95" hidden="1" customHeight="1" x14ac:dyDescent="0.25">
      <c r="B100" s="1062">
        <v>43</v>
      </c>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row>
    <row r="101" spans="2:43" ht="15.95" hidden="1" customHeight="1" x14ac:dyDescent="0.25">
      <c r="B101" s="1062"/>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row>
    <row r="102" spans="2:43" ht="15.95" hidden="1" customHeight="1" x14ac:dyDescent="0.25">
      <c r="B102" s="1062">
        <v>44</v>
      </c>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row>
    <row r="103" spans="2:43" ht="15.95" hidden="1" customHeight="1" x14ac:dyDescent="0.25">
      <c r="B103" s="1062"/>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row>
    <row r="104" spans="2:43" ht="15.95" hidden="1" customHeight="1" x14ac:dyDescent="0.25">
      <c r="B104" s="1062">
        <v>45</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row>
    <row r="105" spans="2:43" ht="15.95" hidden="1" customHeight="1" x14ac:dyDescent="0.25">
      <c r="B105" s="1062"/>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row>
    <row r="106" spans="2:43" ht="15.95" hidden="1" customHeight="1" x14ac:dyDescent="0.25">
      <c r="B106" s="1062">
        <v>46</v>
      </c>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row>
    <row r="107" spans="2:43" ht="15.95" hidden="1" customHeight="1" x14ac:dyDescent="0.25">
      <c r="B107" s="1062"/>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row>
    <row r="108" spans="2:43" ht="15.95" hidden="1" customHeight="1" x14ac:dyDescent="0.25">
      <c r="B108" s="1062">
        <v>47</v>
      </c>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row>
    <row r="109" spans="2:43" ht="15.95" hidden="1" customHeight="1" x14ac:dyDescent="0.25">
      <c r="B109" s="1062"/>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row>
    <row r="110" spans="2:43" ht="15.95" hidden="1" customHeight="1" x14ac:dyDescent="0.25">
      <c r="B110" s="1062">
        <v>48</v>
      </c>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row>
    <row r="111" spans="2:43" ht="15.95" hidden="1" customHeight="1" x14ac:dyDescent="0.25">
      <c r="B111" s="1062"/>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row>
    <row r="112" spans="2:43" ht="15.95" hidden="1" customHeight="1" x14ac:dyDescent="0.25">
      <c r="B112" s="1062">
        <v>49</v>
      </c>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row>
    <row r="113" spans="2:43" ht="15.95" hidden="1" customHeight="1" x14ac:dyDescent="0.25">
      <c r="B113" s="1062"/>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row>
    <row r="114" spans="2:43" ht="15.95" hidden="1" customHeight="1" x14ac:dyDescent="0.25">
      <c r="B114" s="1062">
        <v>50</v>
      </c>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row>
    <row r="115" spans="2:43" ht="15.95" hidden="1" customHeight="1" x14ac:dyDescent="0.25">
      <c r="B115" s="1062"/>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row>
    <row r="116" spans="2:43" ht="15.95" hidden="1" customHeight="1" x14ac:dyDescent="0.25">
      <c r="B116" s="1062">
        <v>51</v>
      </c>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row>
    <row r="117" spans="2:43" ht="15.95" hidden="1" customHeight="1" x14ac:dyDescent="0.25">
      <c r="B117" s="1062"/>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row>
    <row r="118" spans="2:43" ht="15.95" hidden="1" customHeight="1" x14ac:dyDescent="0.25">
      <c r="B118" s="1062">
        <v>52</v>
      </c>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row>
    <row r="119" spans="2:43" ht="15.95" hidden="1" customHeight="1" x14ac:dyDescent="0.25">
      <c r="B119" s="1062"/>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row>
    <row r="120" spans="2:43" ht="15.95" hidden="1" customHeight="1" x14ac:dyDescent="0.25">
      <c r="B120" s="1062">
        <v>53</v>
      </c>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row>
    <row r="121" spans="2:43" ht="15.95" hidden="1" customHeight="1" x14ac:dyDescent="0.25">
      <c r="B121" s="1062"/>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row>
    <row r="122" spans="2:43" ht="15.95" hidden="1" customHeight="1" x14ac:dyDescent="0.25">
      <c r="B122" s="1062">
        <v>54</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row>
    <row r="123" spans="2:43" ht="15.95" hidden="1" customHeight="1" x14ac:dyDescent="0.25">
      <c r="B123" s="1062"/>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row>
    <row r="124" spans="2:43" ht="15.95" hidden="1" customHeight="1" x14ac:dyDescent="0.25">
      <c r="B124" s="1062">
        <v>55</v>
      </c>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row>
    <row r="125" spans="2:43" ht="15.95" hidden="1" customHeight="1" x14ac:dyDescent="0.25">
      <c r="B125" s="1062"/>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row>
    <row r="126" spans="2:43" ht="15.95" hidden="1" customHeight="1" x14ac:dyDescent="0.25">
      <c r="B126" s="1062">
        <v>56</v>
      </c>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row>
    <row r="127" spans="2:43" ht="15.95" hidden="1" customHeight="1" x14ac:dyDescent="0.25">
      <c r="B127" s="1062"/>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row>
    <row r="128" spans="2:43" ht="15.95" hidden="1" customHeight="1" x14ac:dyDescent="0.25">
      <c r="B128" s="1062">
        <v>57</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row>
    <row r="129" spans="2:43" ht="15.95" hidden="1" customHeight="1" x14ac:dyDescent="0.25">
      <c r="B129" s="1062"/>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row>
    <row r="130" spans="2:43" ht="15.95" hidden="1" customHeight="1" x14ac:dyDescent="0.25">
      <c r="B130" s="1062">
        <v>58</v>
      </c>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row>
    <row r="131" spans="2:43" ht="15.95" hidden="1" customHeight="1" x14ac:dyDescent="0.25">
      <c r="B131" s="1062"/>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row>
    <row r="132" spans="2:43" ht="15.95" hidden="1" customHeight="1" x14ac:dyDescent="0.25">
      <c r="B132" s="1062">
        <v>59</v>
      </c>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row>
    <row r="133" spans="2:43" ht="15.95" hidden="1" customHeight="1" x14ac:dyDescent="0.25">
      <c r="B133" s="1062"/>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row>
    <row r="134" spans="2:43" ht="15.95" hidden="1" customHeight="1" x14ac:dyDescent="0.25">
      <c r="B134" s="1062">
        <v>60</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row>
    <row r="135" spans="2:43" ht="15.95" hidden="1" customHeight="1" x14ac:dyDescent="0.25">
      <c r="B135" s="1062"/>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row>
    <row r="136" spans="2:43" ht="15.95" hidden="1" customHeight="1" x14ac:dyDescent="0.25">
      <c r="B136" s="1062">
        <v>61</v>
      </c>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row>
    <row r="137" spans="2:43" ht="15.95" hidden="1" customHeight="1" x14ac:dyDescent="0.25">
      <c r="B137" s="1062"/>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row>
    <row r="138" spans="2:43" ht="15.95" hidden="1" customHeight="1" x14ac:dyDescent="0.25">
      <c r="B138" s="1062">
        <v>62</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row>
    <row r="139" spans="2:43" ht="15.95" hidden="1" customHeight="1" x14ac:dyDescent="0.25">
      <c r="B139" s="1062"/>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row>
    <row r="140" spans="2:43" ht="15.95" hidden="1" customHeight="1" x14ac:dyDescent="0.25">
      <c r="B140" s="1062">
        <v>63</v>
      </c>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row>
    <row r="141" spans="2:43" ht="15.95" hidden="1" customHeight="1" x14ac:dyDescent="0.25">
      <c r="B141" s="1062"/>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row>
    <row r="142" spans="2:43" ht="15.95" hidden="1" customHeight="1" x14ac:dyDescent="0.25">
      <c r="B142" s="1062">
        <v>64</v>
      </c>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row>
    <row r="143" spans="2:43" ht="15.95" hidden="1" customHeight="1" x14ac:dyDescent="0.25">
      <c r="B143" s="1062"/>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row>
    <row r="144" spans="2:43" ht="15.95" hidden="1" customHeight="1" x14ac:dyDescent="0.25">
      <c r="B144" s="1062">
        <v>65</v>
      </c>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row>
    <row r="145" spans="2:43" ht="15.95" hidden="1" customHeight="1" x14ac:dyDescent="0.25">
      <c r="B145" s="1062"/>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row>
    <row r="146" spans="2:43" ht="15.95" hidden="1" customHeight="1" x14ac:dyDescent="0.25">
      <c r="B146" s="1062">
        <v>66</v>
      </c>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row>
    <row r="147" spans="2:43" ht="15.95" hidden="1" customHeight="1" x14ac:dyDescent="0.25">
      <c r="B147" s="1062"/>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row>
    <row r="148" spans="2:43" ht="15.95" hidden="1" customHeight="1" x14ac:dyDescent="0.25">
      <c r="B148" s="1062">
        <v>67</v>
      </c>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row>
    <row r="149" spans="2:43" ht="15.95" hidden="1" customHeight="1" x14ac:dyDescent="0.25">
      <c r="B149" s="1062"/>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row>
    <row r="150" spans="2:43" ht="15.95" hidden="1" customHeight="1" x14ac:dyDescent="0.25">
      <c r="B150" s="1062">
        <v>68</v>
      </c>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row>
    <row r="151" spans="2:43" ht="15.95" hidden="1" customHeight="1" x14ac:dyDescent="0.25">
      <c r="B151" s="1062"/>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row>
    <row r="152" spans="2:43" ht="15.95" hidden="1" customHeight="1" x14ac:dyDescent="0.25">
      <c r="B152" s="1062">
        <v>69</v>
      </c>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row>
    <row r="153" spans="2:43" ht="15.95" hidden="1" customHeight="1" x14ac:dyDescent="0.25">
      <c r="B153" s="1062"/>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row>
    <row r="154" spans="2:43" ht="15.95" hidden="1" customHeight="1" x14ac:dyDescent="0.25">
      <c r="B154" s="1062">
        <v>70</v>
      </c>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row>
    <row r="155" spans="2:43" ht="15.95" hidden="1" customHeight="1" x14ac:dyDescent="0.25">
      <c r="B155" s="1062"/>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row>
    <row r="156" spans="2:43" ht="15.95" hidden="1" customHeight="1" x14ac:dyDescent="0.25">
      <c r="B156" s="1062">
        <v>71</v>
      </c>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row>
    <row r="157" spans="2:43" ht="15.95" hidden="1" customHeight="1" x14ac:dyDescent="0.25">
      <c r="B157" s="1062"/>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row>
    <row r="158" spans="2:43" ht="15.95" hidden="1" customHeight="1" x14ac:dyDescent="0.25">
      <c r="B158" s="1062">
        <v>72</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3" ht="15.95" hidden="1" customHeight="1" x14ac:dyDescent="0.25">
      <c r="B159" s="1062"/>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3" ht="15.95" hidden="1" customHeight="1" x14ac:dyDescent="0.25">
      <c r="B160" s="1062">
        <v>73</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hidden="1" customHeight="1" x14ac:dyDescent="0.25">
      <c r="B161" s="1062"/>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hidden="1" customHeight="1" x14ac:dyDescent="0.25">
      <c r="B162" s="1062">
        <v>74</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hidden="1" customHeight="1" x14ac:dyDescent="0.25">
      <c r="B163" s="1062"/>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hidden="1" customHeight="1" x14ac:dyDescent="0.25">
      <c r="B164" s="1062">
        <v>75</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hidden="1" customHeight="1" x14ac:dyDescent="0.25">
      <c r="B165" s="1062"/>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hidden="1" customHeight="1" x14ac:dyDescent="0.25">
      <c r="B166" s="1062">
        <v>76</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hidden="1" customHeight="1" x14ac:dyDescent="0.25">
      <c r="B167" s="1062"/>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hidden="1" customHeight="1" x14ac:dyDescent="0.25">
      <c r="B168" s="1062">
        <v>77</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hidden="1" customHeight="1" x14ac:dyDescent="0.25">
      <c r="B169" s="1062"/>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hidden="1" customHeight="1" x14ac:dyDescent="0.25">
      <c r="B170" s="1062">
        <v>78</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hidden="1" customHeight="1" x14ac:dyDescent="0.25">
      <c r="B171" s="1062"/>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hidden="1" customHeight="1" x14ac:dyDescent="0.25">
      <c r="B172" s="1062">
        <v>79</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hidden="1" customHeight="1" x14ac:dyDescent="0.25">
      <c r="B173" s="1062"/>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hidden="1" customHeight="1" x14ac:dyDescent="0.25">
      <c r="B174" s="1062">
        <v>80</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hidden="1" customHeight="1" x14ac:dyDescent="0.25">
      <c r="B175" s="1062"/>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hidden="1" customHeight="1" x14ac:dyDescent="0.25">
      <c r="B176" s="1062">
        <v>81</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hidden="1" customHeight="1" x14ac:dyDescent="0.25">
      <c r="B177" s="1062"/>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hidden="1" customHeight="1" x14ac:dyDescent="0.25">
      <c r="B178" s="1062">
        <v>82</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hidden="1" customHeight="1" x14ac:dyDescent="0.25">
      <c r="B179" s="1062"/>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hidden="1" customHeight="1" x14ac:dyDescent="0.25">
      <c r="B180" s="1062">
        <v>83</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hidden="1" customHeight="1" x14ac:dyDescent="0.25">
      <c r="B181" s="1062"/>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hidden="1" customHeight="1" x14ac:dyDescent="0.25">
      <c r="B182" s="1062">
        <v>84</v>
      </c>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hidden="1" customHeight="1" x14ac:dyDescent="0.25">
      <c r="B183" s="1062"/>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hidden="1" customHeight="1" x14ac:dyDescent="0.25">
      <c r="B184" s="1062">
        <v>85</v>
      </c>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hidden="1" customHeight="1" x14ac:dyDescent="0.25">
      <c r="B185" s="1062"/>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hidden="1" customHeight="1" x14ac:dyDescent="0.25">
      <c r="B186" s="1062">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hidden="1" customHeight="1" x14ac:dyDescent="0.25">
      <c r="B187" s="1062"/>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hidden="1" customHeight="1" x14ac:dyDescent="0.25">
      <c r="B188" s="1062">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hidden="1" customHeight="1" x14ac:dyDescent="0.25">
      <c r="B189" s="1062"/>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hidden="1" customHeight="1" x14ac:dyDescent="0.25">
      <c r="B190" s="1062">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hidden="1" customHeight="1" x14ac:dyDescent="0.25">
      <c r="B191" s="1062"/>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hidden="1" customHeight="1" x14ac:dyDescent="0.25">
      <c r="B192" s="1062">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8" ht="15.95" hidden="1" customHeight="1" x14ac:dyDescent="0.25">
      <c r="B193" s="1062"/>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8" ht="15.95" hidden="1" customHeight="1" x14ac:dyDescent="0.25">
      <c r="B194" s="1062">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8" ht="15.95" hidden="1" customHeight="1" x14ac:dyDescent="0.25">
      <c r="B195" s="1062"/>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8" ht="15.95" hidden="1" customHeight="1" x14ac:dyDescent="0.25">
      <c r="B196" s="1062">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8" ht="15.95" hidden="1" customHeight="1" x14ac:dyDescent="0.25">
      <c r="B197" s="1062"/>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8" ht="15.95" hidden="1" customHeight="1" x14ac:dyDescent="0.25">
      <c r="B198" s="1062">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8" ht="15.95" hidden="1" customHeight="1" x14ac:dyDescent="0.25">
      <c r="B199" s="1062"/>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8" ht="15.95" customHeight="1" x14ac:dyDescent="0.25">
      <c r="B200" s="136" t="str">
        <f>FOOT1</f>
        <v>Ameren Missouri BizSavers program</v>
      </c>
      <c r="C200" s="136"/>
      <c r="D200" s="136"/>
      <c r="E200" s="136"/>
      <c r="F200" s="136"/>
      <c r="G200" s="136"/>
      <c r="H200" s="136"/>
      <c r="I200" s="136"/>
      <c r="J200" s="136"/>
      <c r="K200" s="136"/>
      <c r="L200" s="136"/>
      <c r="M200" s="729" t="str">
        <f>FOOTDISCLAIM</f>
        <v/>
      </c>
      <c r="N200" s="729"/>
      <c r="O200" s="729"/>
      <c r="P200" s="729"/>
      <c r="Q200" s="729"/>
      <c r="R200" s="729"/>
      <c r="S200" s="729"/>
      <c r="T200" s="729"/>
      <c r="U200" s="729"/>
      <c r="V200" s="729"/>
      <c r="W200" s="729"/>
      <c r="X200" s="729"/>
      <c r="Y200" s="729"/>
      <c r="Z200" s="729"/>
      <c r="AA200" s="729"/>
      <c r="AB200" s="729"/>
      <c r="AC200" s="729"/>
      <c r="AD200" s="729"/>
      <c r="AE200" s="729"/>
      <c r="AF200" s="729"/>
      <c r="AG200" s="729"/>
      <c r="AH200" s="136"/>
      <c r="AI200" s="136"/>
      <c r="AJ200" s="136"/>
      <c r="AK200" s="136"/>
      <c r="AL200" s="136"/>
      <c r="AM200" s="136"/>
      <c r="AN200" s="136"/>
      <c r="AO200" s="136"/>
      <c r="AP200" s="136"/>
      <c r="AQ200" s="136"/>
      <c r="AR200" s="300" t="str">
        <f>FOOT4</f>
        <v/>
      </c>
      <c r="AU200" s="1003">
        <f>SUM(AU16:AU199)</f>
        <v>0</v>
      </c>
      <c r="AV200" s="1005">
        <f>SUM(AV16:AV199)</f>
        <v>0</v>
      </c>
    </row>
    <row r="201" spans="2:48" ht="15.95" customHeight="1" x14ac:dyDescent="0.25">
      <c r="B201" s="136" t="str">
        <f>FOOT2</f>
        <v>Toll-Free 866-941-7299</v>
      </c>
      <c r="C201" s="136"/>
      <c r="D201" s="136"/>
      <c r="E201" s="136"/>
      <c r="F201" s="136"/>
      <c r="G201" s="136"/>
      <c r="H201" s="136"/>
      <c r="I201" s="136"/>
      <c r="J201" s="136"/>
      <c r="K201" s="136"/>
      <c r="L201" s="136"/>
      <c r="M201" s="729"/>
      <c r="N201" s="729"/>
      <c r="O201" s="729"/>
      <c r="P201" s="729"/>
      <c r="Q201" s="729"/>
      <c r="R201" s="729"/>
      <c r="S201" s="729"/>
      <c r="T201" s="729"/>
      <c r="U201" s="729"/>
      <c r="V201" s="729"/>
      <c r="W201" s="729"/>
      <c r="X201" s="729"/>
      <c r="Y201" s="729"/>
      <c r="Z201" s="729"/>
      <c r="AA201" s="729"/>
      <c r="AB201" s="729"/>
      <c r="AC201" s="729"/>
      <c r="AD201" s="729"/>
      <c r="AE201" s="729"/>
      <c r="AF201" s="729"/>
      <c r="AG201" s="729"/>
      <c r="AH201" s="136"/>
      <c r="AI201" s="136"/>
      <c r="AJ201" s="136"/>
      <c r="AK201" s="136"/>
      <c r="AL201" s="136"/>
      <c r="AM201" s="136"/>
      <c r="AN201" s="136"/>
      <c r="AO201" s="136"/>
      <c r="AP201" s="136"/>
      <c r="AQ201" s="136"/>
      <c r="AR201" s="300" t="str">
        <f>FOOT5</f>
        <v/>
      </c>
      <c r="AU201" s="1004"/>
      <c r="AV201" s="1006"/>
    </row>
    <row r="202" spans="2:48" ht="15.95" customHeight="1" x14ac:dyDescent="0.25">
      <c r="B202" s="138" t="str">
        <f>FOOT3</f>
        <v>BizSavers@ameren.com</v>
      </c>
      <c r="C202" s="136"/>
      <c r="D202" s="136"/>
      <c r="E202" s="136"/>
      <c r="F202" s="136"/>
      <c r="G202" s="136"/>
      <c r="H202" s="136"/>
      <c r="I202" s="136"/>
      <c r="J202" s="136"/>
      <c r="K202" s="136"/>
      <c r="L202" s="136"/>
      <c r="M202" s="139"/>
      <c r="N202" s="136"/>
      <c r="O202" s="136"/>
      <c r="P202" s="139"/>
      <c r="Q202" s="139"/>
      <c r="R202" s="139"/>
      <c r="S202" s="139"/>
      <c r="T202" s="139"/>
      <c r="U202" s="139"/>
      <c r="V202" s="139"/>
      <c r="W202" s="140" t="str">
        <f>VERSION</f>
        <v>New Construction v3.8.0</v>
      </c>
      <c r="X202" s="139"/>
      <c r="Y202" s="139"/>
      <c r="Z202" s="139"/>
      <c r="AA202" s="139"/>
      <c r="AB202" s="139"/>
      <c r="AC202" s="139"/>
      <c r="AD202" s="139"/>
      <c r="AE202" s="136"/>
      <c r="AF202" s="136"/>
      <c r="AG202" s="136"/>
      <c r="AH202" s="136"/>
      <c r="AI202" s="136"/>
      <c r="AJ202" s="136"/>
      <c r="AK202" s="136"/>
      <c r="AL202" s="136"/>
      <c r="AM202" s="136"/>
      <c r="AN202" s="136"/>
      <c r="AO202" s="136"/>
      <c r="AP202" s="136"/>
      <c r="AQ202" s="136"/>
      <c r="AR202" s="300" t="str">
        <f>FOOT6</f>
        <v>Product of TRC Companies</v>
      </c>
    </row>
    <row r="203" spans="2:48" ht="15" hidden="1" customHeight="1" x14ac:dyDescent="0.25"/>
  </sheetData>
  <sheetProtection algorithmName="SHA-512" hashValue="mSFScoXFnDcq2/8q4/uaFuZSy/zSJM0bNeZFGVwYgTa81wmaulGEpfzlHgvkIGtl5xd2kNN/gM3BjgaE+Xd3bQ==" saltValue="2IRZaI4nuhYx0oGgxmAc9w==" spinCount="100000" sheet="1" objects="1" scenarios="1" selectLockedCells="1"/>
  <mergeCells count="316">
    <mergeCell ref="AU44:AU45"/>
    <mergeCell ref="AV44:AV45"/>
    <mergeCell ref="AU200:AU201"/>
    <mergeCell ref="AV200:AV201"/>
    <mergeCell ref="AU34:AU35"/>
    <mergeCell ref="AV34:AV35"/>
    <mergeCell ref="AU36:AU37"/>
    <mergeCell ref="AV36:AV37"/>
    <mergeCell ref="AU38:AU39"/>
    <mergeCell ref="AV38:AV39"/>
    <mergeCell ref="AU40:AU41"/>
    <mergeCell ref="AV40:AV41"/>
    <mergeCell ref="AU42:AU43"/>
    <mergeCell ref="AV42:AV43"/>
    <mergeCell ref="AU24:AU25"/>
    <mergeCell ref="AV24:AV25"/>
    <mergeCell ref="AU26:AU27"/>
    <mergeCell ref="AV26:AV27"/>
    <mergeCell ref="AU28:AU29"/>
    <mergeCell ref="AV28:AV29"/>
    <mergeCell ref="AU30:AU31"/>
    <mergeCell ref="AV30:AV31"/>
    <mergeCell ref="AU32:AU33"/>
    <mergeCell ref="AV32:AV33"/>
    <mergeCell ref="AU14:AU15"/>
    <mergeCell ref="AV14:AV15"/>
    <mergeCell ref="AU16:AU17"/>
    <mergeCell ref="AV16:AV17"/>
    <mergeCell ref="AU18:AU19"/>
    <mergeCell ref="AV18:AV19"/>
    <mergeCell ref="AU20:AU21"/>
    <mergeCell ref="AV20:AV21"/>
    <mergeCell ref="AU22:AU23"/>
    <mergeCell ref="AV22:AV23"/>
    <mergeCell ref="B16:B17"/>
    <mergeCell ref="R11:U11"/>
    <mergeCell ref="V11:Y11"/>
    <mergeCell ref="Z11:AC11"/>
    <mergeCell ref="C14:M15"/>
    <mergeCell ref="N14:S15"/>
    <mergeCell ref="T14:U15"/>
    <mergeCell ref="V14:W15"/>
    <mergeCell ref="X14:AA15"/>
    <mergeCell ref="AB14:AD15"/>
    <mergeCell ref="C16:M17"/>
    <mergeCell ref="N16:S17"/>
    <mergeCell ref="T16:U17"/>
    <mergeCell ref="V16:W17"/>
    <mergeCell ref="X16:AA17"/>
    <mergeCell ref="AB16:AD17"/>
    <mergeCell ref="R12:U13"/>
    <mergeCell ref="V12:Y13"/>
    <mergeCell ref="Z12:AC13"/>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AE14:AF15"/>
    <mergeCell ref="AG14:AH15"/>
    <mergeCell ref="AI14:AJ15"/>
    <mergeCell ref="AK14:AN15"/>
    <mergeCell ref="AO14:AQ15"/>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AE16:AF17"/>
    <mergeCell ref="AG16:AH17"/>
    <mergeCell ref="AI16:AJ17"/>
    <mergeCell ref="AK16:AN17"/>
    <mergeCell ref="AO16:AQ17"/>
    <mergeCell ref="C18:M19"/>
    <mergeCell ref="N18:S19"/>
    <mergeCell ref="T18:U19"/>
    <mergeCell ref="V18:W19"/>
    <mergeCell ref="X18:AA19"/>
    <mergeCell ref="AB18:AD19"/>
    <mergeCell ref="AE18:AF19"/>
    <mergeCell ref="AG18:AH19"/>
    <mergeCell ref="AI18:AJ19"/>
    <mergeCell ref="AK18:AN19"/>
    <mergeCell ref="AO18:AQ19"/>
    <mergeCell ref="AK20:AN21"/>
    <mergeCell ref="AO20:AQ21"/>
    <mergeCell ref="C22:M23"/>
    <mergeCell ref="N22:S23"/>
    <mergeCell ref="T22:U23"/>
    <mergeCell ref="V22:W23"/>
    <mergeCell ref="X22:AA23"/>
    <mergeCell ref="AB22:AD23"/>
    <mergeCell ref="AE22:AF23"/>
    <mergeCell ref="AG22:AH23"/>
    <mergeCell ref="AI22:AJ23"/>
    <mergeCell ref="AK22:AN23"/>
    <mergeCell ref="AO22:AQ23"/>
    <mergeCell ref="C20:M21"/>
    <mergeCell ref="N20:S21"/>
    <mergeCell ref="T20:U21"/>
    <mergeCell ref="V20:W21"/>
    <mergeCell ref="X20:AA21"/>
    <mergeCell ref="AB20:AD21"/>
    <mergeCell ref="AE20:AF21"/>
    <mergeCell ref="AG20:AH21"/>
    <mergeCell ref="AI20:AJ21"/>
    <mergeCell ref="AK24:AN25"/>
    <mergeCell ref="AO24:AQ25"/>
    <mergeCell ref="C26:M27"/>
    <mergeCell ref="N26:S27"/>
    <mergeCell ref="T26:U27"/>
    <mergeCell ref="V26:W27"/>
    <mergeCell ref="X26:AA27"/>
    <mergeCell ref="AB26:AD27"/>
    <mergeCell ref="AE26:AF27"/>
    <mergeCell ref="AG26:AH27"/>
    <mergeCell ref="AI26:AJ27"/>
    <mergeCell ref="AK26:AN27"/>
    <mergeCell ref="AO26:AQ27"/>
    <mergeCell ref="C24:M25"/>
    <mergeCell ref="N24:S25"/>
    <mergeCell ref="T24:U25"/>
    <mergeCell ref="V24:W25"/>
    <mergeCell ref="X24:AA25"/>
    <mergeCell ref="AB24:AD25"/>
    <mergeCell ref="AE24:AF25"/>
    <mergeCell ref="AG24:AH25"/>
    <mergeCell ref="AI24:AJ25"/>
    <mergeCell ref="AO30:AQ31"/>
    <mergeCell ref="C28:M29"/>
    <mergeCell ref="N28:S29"/>
    <mergeCell ref="T28:U29"/>
    <mergeCell ref="V28:W29"/>
    <mergeCell ref="X28:AA29"/>
    <mergeCell ref="AB28:AD29"/>
    <mergeCell ref="AE28:AF29"/>
    <mergeCell ref="AG28:AH29"/>
    <mergeCell ref="AI28:AJ29"/>
    <mergeCell ref="C30:M31"/>
    <mergeCell ref="N30:S31"/>
    <mergeCell ref="T30:U31"/>
    <mergeCell ref="V30:W31"/>
    <mergeCell ref="X30:AA31"/>
    <mergeCell ref="AB30:AD31"/>
    <mergeCell ref="AE30:AF31"/>
    <mergeCell ref="AG30:AH31"/>
    <mergeCell ref="AI30:AJ31"/>
    <mergeCell ref="C32:M33"/>
    <mergeCell ref="N32:S33"/>
    <mergeCell ref="T32:U33"/>
    <mergeCell ref="V32:W33"/>
    <mergeCell ref="X32:AA33"/>
    <mergeCell ref="AB32:AD33"/>
    <mergeCell ref="AE32:AF33"/>
    <mergeCell ref="AG32:AH33"/>
    <mergeCell ref="AI32:AJ33"/>
    <mergeCell ref="C34:M35"/>
    <mergeCell ref="N34:S35"/>
    <mergeCell ref="T34:U35"/>
    <mergeCell ref="V34:W35"/>
    <mergeCell ref="X34:AA35"/>
    <mergeCell ref="AB34:AD35"/>
    <mergeCell ref="AE34:AF35"/>
    <mergeCell ref="AG34:AH35"/>
    <mergeCell ref="AI34:AJ35"/>
    <mergeCell ref="C36:M37"/>
    <mergeCell ref="N36:S37"/>
    <mergeCell ref="T36:U37"/>
    <mergeCell ref="V36:W37"/>
    <mergeCell ref="X36:AA37"/>
    <mergeCell ref="AB36:AD37"/>
    <mergeCell ref="AE36:AF37"/>
    <mergeCell ref="AG36:AH37"/>
    <mergeCell ref="AI36:AJ37"/>
    <mergeCell ref="C38:M39"/>
    <mergeCell ref="N38:S39"/>
    <mergeCell ref="T38:U39"/>
    <mergeCell ref="V38:W39"/>
    <mergeCell ref="X38:AA39"/>
    <mergeCell ref="AB38:AD39"/>
    <mergeCell ref="AE38:AF39"/>
    <mergeCell ref="AG38:AH39"/>
    <mergeCell ref="AI38:AJ39"/>
    <mergeCell ref="C40:M41"/>
    <mergeCell ref="N40:S41"/>
    <mergeCell ref="T40:U41"/>
    <mergeCell ref="V40:W41"/>
    <mergeCell ref="X40:AA41"/>
    <mergeCell ref="AB40:AD41"/>
    <mergeCell ref="AE40:AF41"/>
    <mergeCell ref="AG40:AH41"/>
    <mergeCell ref="AI40:AJ41"/>
    <mergeCell ref="C42:M43"/>
    <mergeCell ref="N42:S43"/>
    <mergeCell ref="T42:U43"/>
    <mergeCell ref="V42:W43"/>
    <mergeCell ref="X42:AA43"/>
    <mergeCell ref="AB42:AD43"/>
    <mergeCell ref="AE42:AF43"/>
    <mergeCell ref="AG42:AH43"/>
    <mergeCell ref="AI42:AJ43"/>
    <mergeCell ref="C44:M45"/>
    <mergeCell ref="N44:S45"/>
    <mergeCell ref="T44:U45"/>
    <mergeCell ref="V44:W45"/>
    <mergeCell ref="X44:AA45"/>
    <mergeCell ref="AB44:AD45"/>
    <mergeCell ref="AE44:AF45"/>
    <mergeCell ref="AG44:AH45"/>
    <mergeCell ref="AI44:AJ45"/>
    <mergeCell ref="AH1:AK1"/>
    <mergeCell ref="AL1:AP1"/>
    <mergeCell ref="AH2:AK3"/>
    <mergeCell ref="AL2:AP3"/>
    <mergeCell ref="AQ1:AR1"/>
    <mergeCell ref="AQ2:AR3"/>
    <mergeCell ref="R9:AC10"/>
    <mergeCell ref="AK44:AN45"/>
    <mergeCell ref="AO44:AQ45"/>
    <mergeCell ref="AK40:AN41"/>
    <mergeCell ref="AO40:AQ41"/>
    <mergeCell ref="AK42:AN43"/>
    <mergeCell ref="AO42:AQ43"/>
    <mergeCell ref="AK36:AN37"/>
    <mergeCell ref="AO36:AQ37"/>
    <mergeCell ref="AK38:AN39"/>
    <mergeCell ref="AO38:AQ39"/>
    <mergeCell ref="AK32:AN33"/>
    <mergeCell ref="AO32:AQ33"/>
    <mergeCell ref="AK34:AN35"/>
    <mergeCell ref="AO34:AQ35"/>
    <mergeCell ref="AK28:AN29"/>
    <mergeCell ref="AO28:AQ29"/>
    <mergeCell ref="AK30:AN31"/>
  </mergeCells>
  <conditionalFormatting sqref="AQ2:AR3">
    <cfRule type="cellIs" dxfId="227" priority="3" operator="equal">
      <formula>1</formula>
    </cfRule>
    <cfRule type="cellIs" dxfId="226" priority="4" operator="between">
      <formula>0.51</formula>
      <formula>0.99</formula>
    </cfRule>
    <cfRule type="cellIs" dxfId="225" priority="5" operator="lessThanOrEqual">
      <formula>0.5</formula>
    </cfRule>
  </conditionalFormatting>
  <conditionalFormatting sqref="AH2 AL2">
    <cfRule type="expression" dxfId="224" priority="1">
      <formula>PROJSTATUS=PROJSTATELI</formula>
    </cfRule>
    <cfRule type="expression" dxfId="223" priority="2">
      <formula>PROJSTATUS=PROJSTATREVIEW</formula>
    </cfRule>
    <cfRule type="expression" dxfId="222" priority="6">
      <formula>PROJSTATUS=PROJSTATPREAPPROVE</formula>
    </cfRule>
    <cfRule type="expression" dxfId="221" priority="7">
      <formula>PROJSTATUS=PROJSTATSTANDARD</formula>
    </cfRule>
    <cfRule type="expression" dxfId="220" priority="8">
      <formula>PROJSTATUS=PROJSTATEXP</formula>
    </cfRule>
  </conditionalFormatting>
  <dataValidations count="5">
    <dataValidation type="list" allowBlank="1" showInputMessage="1" showErrorMessage="1" sqref="C36:M45" xr:uid="{00000000-0002-0000-1900-000000000000}">
      <formula1>PMEMOTOREFF1</formula1>
    </dataValidation>
    <dataValidation type="decimal" allowBlank="1" showInputMessage="1" showErrorMessage="1" error="Please enter a numerical value" prompt="Reference the &quot;Unit of Measure&quot; column to ensure you enter the correct value based on unit type." sqref="V36:W45" xr:uid="{00000000-0002-0000-1900-000001000000}">
      <formula1>0</formula1>
      <formula2>99999</formula2>
    </dataValidation>
    <dataValidation type="decimal" allowBlank="1" showInputMessage="1" showErrorMessage="1" error="Please enter a numerical value" sqref="AE16:AH45" xr:uid="{00000000-0002-0000-1900-000002000000}">
      <formula1>0</formula1>
      <formula2>999999</formula2>
    </dataValidation>
    <dataValidation type="whole" allowBlank="1" showInputMessage="1" showErrorMessage="1" error="Please enter a numerical value" prompt="Reference the &quot;Unit of Measure&quot; column to ensure you enter the correct value based on unit type." sqref="V16:W35" xr:uid="{00000000-0002-0000-1900-000003000000}">
      <formula1>0</formula1>
      <formula2>99999</formula2>
    </dataValidation>
    <dataValidation type="list" allowBlank="1" showInputMessage="1" showErrorMessage="1" sqref="C16:M35" xr:uid="{00000000-0002-0000-1900-000004000000}">
      <formula1>PMEKITCHENEFF1</formula1>
    </dataValidation>
  </dataValidations>
  <hyperlinks>
    <hyperlink ref="B202" r:id="rId1" display="NIPSCO.Savings@LMCO.com" xr:uid="{00000000-0004-0000-1900-000000000000}"/>
  </hyperlinks>
  <pageMargins left="0.25" right="0.25" top="0.25" bottom="0.25" header="0.25" footer="0.25"/>
  <pageSetup scale="64" fitToHeight="0" orientation="landscape"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pageSetUpPr fitToPage="1"/>
  </sheetPr>
  <dimension ref="A1:BF205"/>
  <sheetViews>
    <sheetView showGridLines="0" showRowColHeaders="0" zoomScale="85" zoomScaleNormal="85" workbookViewId="0">
      <selection activeCell="C16" sqref="C16:M17"/>
    </sheetView>
  </sheetViews>
  <sheetFormatPr defaultColWidth="0" defaultRowHeight="15" customHeight="1" zeroHeight="1" x14ac:dyDescent="0.25"/>
  <cols>
    <col min="1" max="45" width="4.7109375" customWidth="1"/>
    <col min="46" max="46" width="4.7109375" hidden="1" customWidth="1"/>
    <col min="47" max="78" width="9.140625" hidden="1" customWidth="1"/>
    <col min="79" max="16384" width="9.140625" hidden="1"/>
  </cols>
  <sheetData>
    <row r="1" spans="2:58" ht="15.95" customHeight="1" x14ac:dyDescent="0.3">
      <c r="AH1" s="711" t="s">
        <v>494</v>
      </c>
      <c r="AI1" s="712"/>
      <c r="AJ1" s="712"/>
      <c r="AK1" s="712"/>
      <c r="AL1" s="723" t="s">
        <v>911</v>
      </c>
      <c r="AM1" s="723"/>
      <c r="AN1" s="723"/>
      <c r="AO1" s="723"/>
      <c r="AP1" s="723"/>
      <c r="AQ1" s="717" t="s">
        <v>499</v>
      </c>
      <c r="AR1" s="718"/>
    </row>
    <row r="2" spans="2:58" ht="15.95" customHeight="1" x14ac:dyDescent="0.25">
      <c r="AH2" s="713" t="str">
        <f ca="1">INCENSTATUS</f>
        <v>---</v>
      </c>
      <c r="AI2" s="714"/>
      <c r="AJ2" s="714"/>
      <c r="AK2" s="714"/>
      <c r="AL2" s="724" t="str">
        <f ca="1">PROJSTATUS</f>
        <v>Please Complete Initial Application</v>
      </c>
      <c r="AM2" s="724"/>
      <c r="AN2" s="724"/>
      <c r="AO2" s="724"/>
      <c r="AP2" s="724"/>
      <c r="AQ2" s="719">
        <f ca="1">PROGRESSSTATUS</f>
        <v>0</v>
      </c>
      <c r="AR2" s="720"/>
    </row>
    <row r="3" spans="2:58" ht="15.95" customHeight="1" x14ac:dyDescent="0.25">
      <c r="AH3" s="715"/>
      <c r="AI3" s="716"/>
      <c r="AJ3" s="716"/>
      <c r="AK3" s="716"/>
      <c r="AL3" s="725"/>
      <c r="AM3" s="725"/>
      <c r="AN3" s="725"/>
      <c r="AO3" s="725"/>
      <c r="AP3" s="725"/>
      <c r="AQ3" s="721"/>
      <c r="AR3" s="722"/>
    </row>
    <row r="4" spans="2:58" ht="15.95" customHeight="1" x14ac:dyDescent="0.25"/>
    <row r="5" spans="2:58" ht="15.95" customHeight="1" x14ac:dyDescent="0.25"/>
    <row r="6" spans="2:58" ht="15.95" customHeight="1" x14ac:dyDescent="0.25">
      <c r="AU6" s="145" t="s">
        <v>1372</v>
      </c>
      <c r="AV6" s="145">
        <f>PROJID</f>
        <v>0</v>
      </c>
    </row>
    <row r="7" spans="2:58" ht="15.95" customHeight="1" x14ac:dyDescent="0.25"/>
    <row r="8" spans="2:58" ht="15.95" customHeight="1" x14ac:dyDescent="0.25"/>
    <row r="9" spans="2:58" s="63" customFormat="1" ht="15.95" customHeight="1" x14ac:dyDescent="0.25">
      <c r="B9" s="135"/>
      <c r="C9" s="135"/>
      <c r="D9" s="135"/>
      <c r="E9" s="135"/>
      <c r="F9" s="135"/>
      <c r="G9" s="135"/>
      <c r="H9" s="135"/>
      <c r="I9" s="135"/>
      <c r="J9" s="135"/>
      <c r="K9" s="135"/>
      <c r="L9" s="135"/>
      <c r="M9" s="135"/>
      <c r="N9" s="135"/>
      <c r="O9" s="135"/>
      <c r="P9" s="135"/>
      <c r="Q9" s="135"/>
      <c r="R9" s="971" t="str">
        <f>CONCATENATE(M3S6," ","Summary")</f>
        <v>M3S6 Summary</v>
      </c>
      <c r="S9" s="971"/>
      <c r="T9" s="971"/>
      <c r="U9" s="971"/>
      <c r="V9" s="971"/>
      <c r="W9" s="971"/>
      <c r="X9" s="971"/>
      <c r="Y9" s="971"/>
      <c r="Z9" s="971"/>
      <c r="AA9" s="971"/>
      <c r="AB9" s="971"/>
      <c r="AC9" s="971"/>
      <c r="AD9" s="971"/>
      <c r="AE9" s="135"/>
      <c r="AF9" s="135"/>
      <c r="AG9" s="135"/>
      <c r="AH9" s="135"/>
      <c r="AI9" s="135"/>
      <c r="AJ9" s="135"/>
      <c r="AK9" s="135"/>
      <c r="AL9" s="135"/>
      <c r="AM9" s="135"/>
      <c r="AN9" s="135"/>
      <c r="AO9" s="135"/>
      <c r="AP9" s="135"/>
      <c r="AQ9" s="135"/>
      <c r="AR9" s="135"/>
    </row>
    <row r="10" spans="2:58" ht="15.95" customHeight="1" x14ac:dyDescent="0.25">
      <c r="B10" s="135"/>
      <c r="C10" s="135"/>
      <c r="D10" s="135"/>
      <c r="E10" s="135"/>
      <c r="F10" s="135"/>
      <c r="G10" s="135"/>
      <c r="H10" s="135"/>
      <c r="I10" s="135"/>
      <c r="J10" s="135"/>
      <c r="K10" s="135"/>
      <c r="L10" s="135"/>
      <c r="M10" s="135"/>
      <c r="N10" s="135"/>
      <c r="O10" s="135"/>
      <c r="P10" s="135"/>
      <c r="Q10" s="135"/>
      <c r="R10" s="971"/>
      <c r="S10" s="971"/>
      <c r="T10" s="971"/>
      <c r="U10" s="971"/>
      <c r="V10" s="971"/>
      <c r="W10" s="971"/>
      <c r="X10" s="971"/>
      <c r="Y10" s="971"/>
      <c r="Z10" s="971"/>
      <c r="AA10" s="971"/>
      <c r="AB10" s="971"/>
      <c r="AC10" s="971"/>
      <c r="AD10" s="971"/>
      <c r="AE10" s="135"/>
      <c r="AF10" s="135"/>
      <c r="AG10" s="135"/>
      <c r="AH10" s="135"/>
      <c r="AI10" s="135"/>
      <c r="AJ10" s="135"/>
      <c r="AK10" s="135"/>
      <c r="AL10" s="135"/>
      <c r="AM10" s="135"/>
      <c r="AN10" s="135"/>
      <c r="AO10" s="135"/>
      <c r="AP10" s="135"/>
      <c r="AQ10" s="135"/>
      <c r="AR10" s="135"/>
    </row>
    <row r="11" spans="2:58" ht="15.95" customHeight="1" x14ac:dyDescent="0.3">
      <c r="B11" s="135"/>
      <c r="C11" s="135"/>
      <c r="D11" s="135"/>
      <c r="E11" s="135"/>
      <c r="F11" s="135"/>
      <c r="I11" s="135"/>
      <c r="J11" s="135"/>
      <c r="K11" s="135"/>
      <c r="L11" s="135"/>
      <c r="M11" s="135"/>
      <c r="N11" s="135"/>
      <c r="O11" s="135"/>
      <c r="P11" s="135"/>
      <c r="Q11" s="135"/>
      <c r="R11" s="974" t="s">
        <v>69</v>
      </c>
      <c r="S11" s="974"/>
      <c r="T11" s="974"/>
      <c r="U11" s="974"/>
      <c r="V11" s="974" t="s">
        <v>70</v>
      </c>
      <c r="W11" s="974"/>
      <c r="X11" s="974"/>
      <c r="Y11" s="974"/>
      <c r="Z11" s="974" t="s">
        <v>968</v>
      </c>
      <c r="AA11" s="974"/>
      <c r="AB11" s="974"/>
      <c r="AC11" s="974"/>
      <c r="AE11" s="135"/>
      <c r="AK11" s="135"/>
      <c r="AL11" s="135"/>
      <c r="AM11" s="135"/>
      <c r="AN11" s="135"/>
      <c r="AO11" s="135"/>
      <c r="AP11" s="135"/>
      <c r="AQ11" s="135"/>
      <c r="AR11" s="135"/>
    </row>
    <row r="12" spans="2:58" ht="15.95" customHeight="1" x14ac:dyDescent="0.25">
      <c r="B12" s="135"/>
      <c r="C12" s="135"/>
      <c r="D12" s="135"/>
      <c r="E12" s="135"/>
      <c r="F12" s="135"/>
      <c r="I12" s="135"/>
      <c r="J12" s="135"/>
      <c r="K12" s="135"/>
      <c r="L12" s="135"/>
      <c r="M12" s="135"/>
      <c r="N12" s="135"/>
      <c r="O12" s="135"/>
      <c r="P12" s="135"/>
      <c r="Q12" s="135"/>
      <c r="R12" s="972">
        <f>SUM(AO16:AQ197)</f>
        <v>0</v>
      </c>
      <c r="S12" s="972"/>
      <c r="T12" s="972"/>
      <c r="U12" s="972"/>
      <c r="V12" s="972">
        <f>AU198</f>
        <v>0</v>
      </c>
      <c r="W12" s="972"/>
      <c r="X12" s="972"/>
      <c r="Y12" s="972"/>
      <c r="Z12" s="973">
        <f>SUM(AK16:AN197)</f>
        <v>0</v>
      </c>
      <c r="AA12" s="973"/>
      <c r="AB12" s="973"/>
      <c r="AC12" s="973"/>
      <c r="AE12" s="135"/>
      <c r="AJ12" s="135"/>
      <c r="AK12" s="135"/>
      <c r="AL12" s="135"/>
      <c r="AM12" s="135"/>
      <c r="AN12" s="135"/>
      <c r="AO12" s="135"/>
      <c r="AP12" s="135"/>
      <c r="AQ12" s="135"/>
      <c r="AR12" s="135"/>
    </row>
    <row r="13" spans="2:58" s="63" customFormat="1" ht="15.95" customHeight="1" x14ac:dyDescent="0.25">
      <c r="B13" s="135"/>
      <c r="C13" s="135"/>
      <c r="D13" s="135"/>
      <c r="E13" s="135"/>
      <c r="F13" s="135"/>
      <c r="G13" s="135"/>
      <c r="H13" s="135"/>
      <c r="I13" s="135"/>
      <c r="J13" s="135"/>
      <c r="K13" s="135"/>
      <c r="L13" s="135"/>
      <c r="M13" s="135"/>
      <c r="N13" s="135"/>
      <c r="O13" s="135"/>
      <c r="P13" s="135"/>
      <c r="Q13" s="135"/>
      <c r="R13" s="972"/>
      <c r="S13" s="972"/>
      <c r="T13" s="972"/>
      <c r="U13" s="972"/>
      <c r="V13" s="972"/>
      <c r="W13" s="972"/>
      <c r="X13" s="972"/>
      <c r="Y13" s="972"/>
      <c r="Z13" s="973"/>
      <c r="AA13" s="973"/>
      <c r="AB13" s="973"/>
      <c r="AC13" s="973"/>
      <c r="AD13"/>
      <c r="AE13" s="135"/>
      <c r="AF13" s="135"/>
      <c r="AG13" s="135"/>
      <c r="AH13" s="135"/>
      <c r="AI13" s="135"/>
      <c r="AJ13" s="135"/>
      <c r="AK13" s="135"/>
      <c r="AL13" s="135"/>
      <c r="AM13" s="135"/>
      <c r="AN13" s="135"/>
      <c r="AO13" s="135"/>
      <c r="AP13" s="135"/>
      <c r="AQ13" s="135"/>
      <c r="AR13" s="135"/>
    </row>
    <row r="14" spans="2:58" s="63" customFormat="1" ht="15.95" customHeight="1" x14ac:dyDescent="0.25">
      <c r="B14" s="135"/>
      <c r="C14" s="1060" t="s">
        <v>1298</v>
      </c>
      <c r="D14" s="1060"/>
      <c r="E14" s="1060"/>
      <c r="F14" s="1060"/>
      <c r="G14" s="1060"/>
      <c r="H14" s="1060"/>
      <c r="I14" s="1060"/>
      <c r="J14" s="1060"/>
      <c r="K14" s="1060"/>
      <c r="L14" s="1060"/>
      <c r="M14" s="1060"/>
      <c r="N14" s="1060" t="s">
        <v>100</v>
      </c>
      <c r="O14" s="1060"/>
      <c r="P14" s="1060"/>
      <c r="Q14" s="1060"/>
      <c r="R14" s="1060"/>
      <c r="S14" s="1060"/>
      <c r="T14" s="1060" t="s">
        <v>99</v>
      </c>
      <c r="U14" s="1060"/>
      <c r="V14" s="1060" t="s">
        <v>91</v>
      </c>
      <c r="W14" s="1060"/>
      <c r="X14" s="1060" t="s">
        <v>108</v>
      </c>
      <c r="Y14" s="1060"/>
      <c r="Z14" s="1060"/>
      <c r="AA14" s="1060"/>
      <c r="AB14" s="1060" t="s">
        <v>101</v>
      </c>
      <c r="AC14" s="1060"/>
      <c r="AD14" s="1060"/>
      <c r="AE14" s="1060" t="s">
        <v>96</v>
      </c>
      <c r="AF14" s="1060"/>
      <c r="AG14" s="1060" t="s">
        <v>97</v>
      </c>
      <c r="AH14" s="1060"/>
      <c r="AI14" s="1060" t="s">
        <v>94</v>
      </c>
      <c r="AJ14" s="1060"/>
      <c r="AK14" s="1060" t="s">
        <v>93</v>
      </c>
      <c r="AL14" s="1060"/>
      <c r="AM14" s="1060"/>
      <c r="AN14" s="1060"/>
      <c r="AO14" s="1060" t="s">
        <v>92</v>
      </c>
      <c r="AP14" s="1060"/>
      <c r="AQ14" s="1060"/>
      <c r="AR14" s="135"/>
      <c r="AS14" s="135"/>
      <c r="AT14" s="135"/>
      <c r="AU14" s="1060" t="s">
        <v>216</v>
      </c>
      <c r="AV14" s="1060" t="s">
        <v>217</v>
      </c>
      <c r="AW14" s="135"/>
      <c r="AX14"/>
      <c r="AY14"/>
      <c r="AZ14"/>
      <c r="BA14"/>
      <c r="BB14"/>
      <c r="BC14"/>
      <c r="BD14"/>
      <c r="BE14"/>
    </row>
    <row r="15" spans="2:58" s="63" customFormat="1" ht="15.95" customHeight="1" thickBot="1" x14ac:dyDescent="0.3">
      <c r="B15" s="135"/>
      <c r="C15" s="1061"/>
      <c r="D15" s="1061"/>
      <c r="E15" s="1061"/>
      <c r="F15" s="1061"/>
      <c r="G15" s="1061"/>
      <c r="H15" s="1061"/>
      <c r="I15" s="1061"/>
      <c r="J15" s="1061"/>
      <c r="K15" s="1061"/>
      <c r="L15" s="1061"/>
      <c r="M15" s="1061"/>
      <c r="N15" s="1061"/>
      <c r="O15" s="1061"/>
      <c r="P15" s="1061"/>
      <c r="Q15" s="1061"/>
      <c r="R15" s="1061"/>
      <c r="S15" s="1061"/>
      <c r="T15" s="1061"/>
      <c r="U15" s="1061"/>
      <c r="V15" s="1061"/>
      <c r="W15" s="1061"/>
      <c r="X15" s="1061"/>
      <c r="Y15" s="1061"/>
      <c r="Z15" s="1061"/>
      <c r="AA15" s="1061"/>
      <c r="AB15" s="1061"/>
      <c r="AC15" s="1061"/>
      <c r="AD15" s="1061"/>
      <c r="AE15" s="1061"/>
      <c r="AF15" s="1061"/>
      <c r="AG15" s="1061"/>
      <c r="AH15" s="1061"/>
      <c r="AI15" s="1061"/>
      <c r="AJ15" s="1061"/>
      <c r="AK15" s="1061"/>
      <c r="AL15" s="1061"/>
      <c r="AM15" s="1061"/>
      <c r="AN15" s="1061"/>
      <c r="AO15" s="1061"/>
      <c r="AP15" s="1061"/>
      <c r="AQ15" s="1061"/>
      <c r="AR15" s="135"/>
      <c r="AS15" s="135"/>
      <c r="AT15" s="135"/>
      <c r="AU15" s="1061"/>
      <c r="AV15" s="1061"/>
      <c r="AW15" s="135"/>
      <c r="AX15"/>
      <c r="AY15"/>
      <c r="AZ15"/>
      <c r="BA15"/>
      <c r="BB15"/>
      <c r="BC15"/>
      <c r="BD15"/>
      <c r="BE15"/>
    </row>
    <row r="16" spans="2:58" ht="15.95" customHeight="1" x14ac:dyDescent="0.25">
      <c r="B16" s="1064">
        <v>1</v>
      </c>
      <c r="C16" s="1028"/>
      <c r="D16" s="1029"/>
      <c r="E16" s="1029"/>
      <c r="F16" s="1029"/>
      <c r="G16" s="1029"/>
      <c r="H16" s="1029"/>
      <c r="I16" s="1029"/>
      <c r="J16" s="1029"/>
      <c r="K16" s="1029"/>
      <c r="L16" s="1029"/>
      <c r="M16" s="1030"/>
      <c r="N16" s="1034" t="str">
        <f>IF(C16="","",INDEX(PMEMOTOR[Base Desc 1],MATCH(C16,PMEMOTOR[Eff Desc 1],0)))</f>
        <v/>
      </c>
      <c r="O16" s="1035"/>
      <c r="P16" s="1035"/>
      <c r="Q16" s="1035"/>
      <c r="R16" s="1035"/>
      <c r="S16" s="1036"/>
      <c r="T16" s="1040" t="str">
        <f>IF(C16="","",INDEX(PMEMOTOR[Unit of Measure],MATCH(C16,PMEMOTOR[Eff Desc 1],0)))</f>
        <v/>
      </c>
      <c r="U16" s="1041"/>
      <c r="V16" s="1044"/>
      <c r="W16" s="1045"/>
      <c r="X16" s="1028"/>
      <c r="Y16" s="1029"/>
      <c r="Z16" s="1029"/>
      <c r="AA16" s="1030"/>
      <c r="AB16" s="1028"/>
      <c r="AC16" s="1029"/>
      <c r="AD16" s="1030"/>
      <c r="AE16" s="1048"/>
      <c r="AF16" s="1049"/>
      <c r="AG16" s="1048"/>
      <c r="AH16" s="1049"/>
      <c r="AI16" s="1052" t="str">
        <f>IF(C16="","",INDEX(PMEMOTOR[Inc Rate Unit],MATCH(C16,PMEMOTOR[Eff Desc 1],0)))</f>
        <v/>
      </c>
      <c r="AJ16" s="1053"/>
      <c r="AK16" s="1016" t="str">
        <f>IF(OR(C16="",V16="",X16="",AB16="",AE16="",AG16=""),"",ROUND(V16*INDEX(PMEMOTOR[Savings per Unit kWh],MATCH(C16,PMEMOTOR[Eff Desc 1],0)),0))</f>
        <v/>
      </c>
      <c r="AL16" s="1017"/>
      <c r="AM16" s="1017"/>
      <c r="AN16" s="1018"/>
      <c r="AO16" s="1022" t="str">
        <f>IF(OR(C16="",V16="",X16="",AB16="",AE16="",AG16=""),"",MIN(AU16,ROUND(V16*AI16,2)))</f>
        <v/>
      </c>
      <c r="AP16" s="1023"/>
      <c r="AQ16" s="1024"/>
      <c r="AR16" s="135"/>
      <c r="AS16" s="135"/>
      <c r="AT16" s="135"/>
      <c r="AU16" s="1003" t="str">
        <f>IF(OR(,V16="",X16="",AB16="",AE16="",AG16=""),"",ROUND((AE16+AG16)*V16,2))</f>
        <v/>
      </c>
      <c r="AV16" s="1065" t="str">
        <f>IF(OR(C16="",V16="",X16="",AB16="",AE16="",AG16=""),"",ROUND(V16*INDEX(PMEMOTOR[Savings per Unit kW],MATCH(C16,PMEMOTOR[Eff Desc 1],0)),4))</f>
        <v/>
      </c>
      <c r="AW16" s="135"/>
      <c r="BF16" t="s">
        <v>1403</v>
      </c>
    </row>
    <row r="17" spans="2:49" ht="15.95" customHeight="1" x14ac:dyDescent="0.25">
      <c r="B17" s="1064"/>
      <c r="C17" s="1031"/>
      <c r="D17" s="1032"/>
      <c r="E17" s="1032"/>
      <c r="F17" s="1032"/>
      <c r="G17" s="1032"/>
      <c r="H17" s="1032"/>
      <c r="I17" s="1032"/>
      <c r="J17" s="1032"/>
      <c r="K17" s="1032"/>
      <c r="L17" s="1032"/>
      <c r="M17" s="1033"/>
      <c r="N17" s="1037"/>
      <c r="O17" s="1038"/>
      <c r="P17" s="1038"/>
      <c r="Q17" s="1038"/>
      <c r="R17" s="1038"/>
      <c r="S17" s="1039"/>
      <c r="T17" s="1042"/>
      <c r="U17" s="1043"/>
      <c r="V17" s="1046"/>
      <c r="W17" s="1047"/>
      <c r="X17" s="1031"/>
      <c r="Y17" s="1032"/>
      <c r="Z17" s="1032"/>
      <c r="AA17" s="1033"/>
      <c r="AB17" s="1031"/>
      <c r="AC17" s="1032"/>
      <c r="AD17" s="1033"/>
      <c r="AE17" s="1050"/>
      <c r="AF17" s="1051"/>
      <c r="AG17" s="1050"/>
      <c r="AH17" s="1051"/>
      <c r="AI17" s="1054"/>
      <c r="AJ17" s="1055"/>
      <c r="AK17" s="1019"/>
      <c r="AL17" s="1020"/>
      <c r="AM17" s="1020"/>
      <c r="AN17" s="1021"/>
      <c r="AO17" s="1025"/>
      <c r="AP17" s="1026"/>
      <c r="AQ17" s="1027"/>
      <c r="AR17" s="135"/>
      <c r="AS17" s="135"/>
      <c r="AT17" s="135"/>
      <c r="AU17" s="1004"/>
      <c r="AV17" s="1066"/>
      <c r="AW17" s="135"/>
    </row>
    <row r="18" spans="2:49" ht="15.95" customHeight="1" x14ac:dyDescent="0.25">
      <c r="B18" s="1063">
        <v>2</v>
      </c>
      <c r="C18" s="1028"/>
      <c r="D18" s="1029"/>
      <c r="E18" s="1029"/>
      <c r="F18" s="1029"/>
      <c r="G18" s="1029"/>
      <c r="H18" s="1029"/>
      <c r="I18" s="1029"/>
      <c r="J18" s="1029"/>
      <c r="K18" s="1029"/>
      <c r="L18" s="1029"/>
      <c r="M18" s="1030"/>
      <c r="N18" s="1034" t="str">
        <f>IF(C18="","",INDEX(PMEMOTOR[Base Desc 1],MATCH(C18,PMEMOTOR[Eff Desc 1],0)))</f>
        <v/>
      </c>
      <c r="O18" s="1035"/>
      <c r="P18" s="1035"/>
      <c r="Q18" s="1035"/>
      <c r="R18" s="1035"/>
      <c r="S18" s="1036"/>
      <c r="T18" s="1040" t="str">
        <f>IF(C18="","",INDEX(PMEMOTOR[Unit of Measure],MATCH(C18,PMEMOTOR[Eff Desc 1],0)))</f>
        <v/>
      </c>
      <c r="U18" s="1041"/>
      <c r="V18" s="1044"/>
      <c r="W18" s="1045"/>
      <c r="X18" s="1028"/>
      <c r="Y18" s="1029"/>
      <c r="Z18" s="1029"/>
      <c r="AA18" s="1030"/>
      <c r="AB18" s="1028"/>
      <c r="AC18" s="1029"/>
      <c r="AD18" s="1030"/>
      <c r="AE18" s="1048"/>
      <c r="AF18" s="1049"/>
      <c r="AG18" s="1048"/>
      <c r="AH18" s="1049"/>
      <c r="AI18" s="1052" t="str">
        <f>IF(C18="","",INDEX(PMEMOTOR[Inc Rate Unit],MATCH(C18,PMEMOTOR[Eff Desc 1],0)))</f>
        <v/>
      </c>
      <c r="AJ18" s="1053"/>
      <c r="AK18" s="1016" t="str">
        <f>IF(OR(C18="",V18="",X18="",AB18="",AE18="",AG18=""),"",ROUND(V18*INDEX(PMEMOTOR[Savings per Unit kWh],MATCH(C18,PMEMOTOR[Eff Desc 1],0)),0))</f>
        <v/>
      </c>
      <c r="AL18" s="1017"/>
      <c r="AM18" s="1017"/>
      <c r="AN18" s="1018"/>
      <c r="AO18" s="1022" t="str">
        <f>IF(OR(C18="",V18="",X18="",AB18="",AE18="",AG18=""),"",MIN(AU18,ROUND(V18*AI18,2)))</f>
        <v/>
      </c>
      <c r="AP18" s="1023"/>
      <c r="AQ18" s="1024"/>
      <c r="AR18" s="135"/>
      <c r="AS18" s="135"/>
      <c r="AT18" s="135"/>
      <c r="AU18" s="1003" t="str">
        <f t="shared" ref="AU18" si="0">IF(OR(,V18="",X18="",AB18="",AE18="",AG18=""),"",ROUND((AE18+AG18)*V18,2))</f>
        <v/>
      </c>
      <c r="AV18" s="1065" t="str">
        <f>IF(OR(C18="",V18="",X18="",AB18="",AE18="",AG18=""),"",ROUND(V18*INDEX(PMEMOTOR[Savings per Unit kW],MATCH(C18,PMEMOTOR[Eff Desc 1],0)),4))</f>
        <v/>
      </c>
      <c r="AW18" s="135"/>
    </row>
    <row r="19" spans="2:49" ht="15.95" customHeight="1" x14ac:dyDescent="0.25">
      <c r="B19" s="1063"/>
      <c r="C19" s="1031"/>
      <c r="D19" s="1032"/>
      <c r="E19" s="1032"/>
      <c r="F19" s="1032"/>
      <c r="G19" s="1032"/>
      <c r="H19" s="1032"/>
      <c r="I19" s="1032"/>
      <c r="J19" s="1032"/>
      <c r="K19" s="1032"/>
      <c r="L19" s="1032"/>
      <c r="M19" s="1033"/>
      <c r="N19" s="1037"/>
      <c r="O19" s="1038"/>
      <c r="P19" s="1038"/>
      <c r="Q19" s="1038"/>
      <c r="R19" s="1038"/>
      <c r="S19" s="1039"/>
      <c r="T19" s="1042"/>
      <c r="U19" s="1043"/>
      <c r="V19" s="1046"/>
      <c r="W19" s="1047"/>
      <c r="X19" s="1031"/>
      <c r="Y19" s="1032"/>
      <c r="Z19" s="1032"/>
      <c r="AA19" s="1033"/>
      <c r="AB19" s="1031"/>
      <c r="AC19" s="1032"/>
      <c r="AD19" s="1033"/>
      <c r="AE19" s="1050"/>
      <c r="AF19" s="1051"/>
      <c r="AG19" s="1050"/>
      <c r="AH19" s="1051"/>
      <c r="AI19" s="1054"/>
      <c r="AJ19" s="1055"/>
      <c r="AK19" s="1019"/>
      <c r="AL19" s="1020"/>
      <c r="AM19" s="1020"/>
      <c r="AN19" s="1021"/>
      <c r="AO19" s="1025"/>
      <c r="AP19" s="1026"/>
      <c r="AQ19" s="1027"/>
      <c r="AR19" s="135"/>
      <c r="AS19" s="135"/>
      <c r="AT19" s="135"/>
      <c r="AU19" s="1004"/>
      <c r="AV19" s="1066"/>
      <c r="AW19" s="135"/>
    </row>
    <row r="20" spans="2:49" ht="15.95" customHeight="1" x14ac:dyDescent="0.25">
      <c r="B20" s="1063">
        <v>3</v>
      </c>
      <c r="C20" s="1028"/>
      <c r="D20" s="1029"/>
      <c r="E20" s="1029"/>
      <c r="F20" s="1029"/>
      <c r="G20" s="1029"/>
      <c r="H20" s="1029"/>
      <c r="I20" s="1029"/>
      <c r="J20" s="1029"/>
      <c r="K20" s="1029"/>
      <c r="L20" s="1029"/>
      <c r="M20" s="1030"/>
      <c r="N20" s="1034" t="str">
        <f>IF(C20="","",INDEX(PMEMOTOR[Base Desc 1],MATCH(C20,PMEMOTOR[Eff Desc 1],0)))</f>
        <v/>
      </c>
      <c r="O20" s="1035"/>
      <c r="P20" s="1035"/>
      <c r="Q20" s="1035"/>
      <c r="R20" s="1035"/>
      <c r="S20" s="1036"/>
      <c r="T20" s="1040" t="str">
        <f>IF(C20="","",INDEX(PMEMOTOR[Unit of Measure],MATCH(C20,PMEMOTOR[Eff Desc 1],0)))</f>
        <v/>
      </c>
      <c r="U20" s="1041"/>
      <c r="V20" s="1044"/>
      <c r="W20" s="1045"/>
      <c r="X20" s="1028"/>
      <c r="Y20" s="1029"/>
      <c r="Z20" s="1029"/>
      <c r="AA20" s="1030"/>
      <c r="AB20" s="1028"/>
      <c r="AC20" s="1029"/>
      <c r="AD20" s="1030"/>
      <c r="AE20" s="1048"/>
      <c r="AF20" s="1049"/>
      <c r="AG20" s="1048"/>
      <c r="AH20" s="1049"/>
      <c r="AI20" s="1052" t="str">
        <f>IF(C20="","",INDEX(PMEMOTOR[Inc Rate Unit],MATCH(C20,PMEMOTOR[Eff Desc 1],0)))</f>
        <v/>
      </c>
      <c r="AJ20" s="1053"/>
      <c r="AK20" s="1016" t="str">
        <f>IF(OR(C20="",V20="",X20="",AB20="",AE20="",AG20=""),"",ROUND(V20*INDEX(PMEMOTOR[Savings per Unit kWh],MATCH(C20,PMEMOTOR[Eff Desc 1],0)),0))</f>
        <v/>
      </c>
      <c r="AL20" s="1017"/>
      <c r="AM20" s="1017"/>
      <c r="AN20" s="1018"/>
      <c r="AO20" s="1022" t="str">
        <f>IF(OR(C20="",V20="",X20="",AB20="",AE20="",AG20=""),"",MIN(AU20,ROUND(V20*AI20,2)))</f>
        <v/>
      </c>
      <c r="AP20" s="1023"/>
      <c r="AQ20" s="1024"/>
      <c r="AR20" s="135"/>
      <c r="AS20" s="135"/>
      <c r="AT20" s="135"/>
      <c r="AU20" s="1003" t="str">
        <f t="shared" ref="AU20" si="1">IF(OR(,V20="",X20="",AB20="",AE20="",AG20=""),"",ROUND((AE20+AG20)*V20,2))</f>
        <v/>
      </c>
      <c r="AV20" s="1065" t="str">
        <f>IF(OR(C20="",V20="",X20="",AB20="",AE20="",AG20=""),"",ROUND(V20*INDEX(PMEMOTOR[Savings per Unit kW],MATCH(C20,PMEMOTOR[Eff Desc 1],0)),4))</f>
        <v/>
      </c>
      <c r="AW20" s="135"/>
    </row>
    <row r="21" spans="2:49" ht="15.95" customHeight="1" x14ac:dyDescent="0.25">
      <c r="B21" s="1063"/>
      <c r="C21" s="1031"/>
      <c r="D21" s="1032"/>
      <c r="E21" s="1032"/>
      <c r="F21" s="1032"/>
      <c r="G21" s="1032"/>
      <c r="H21" s="1032"/>
      <c r="I21" s="1032"/>
      <c r="J21" s="1032"/>
      <c r="K21" s="1032"/>
      <c r="L21" s="1032"/>
      <c r="M21" s="1033"/>
      <c r="N21" s="1037"/>
      <c r="O21" s="1038"/>
      <c r="P21" s="1038"/>
      <c r="Q21" s="1038"/>
      <c r="R21" s="1038"/>
      <c r="S21" s="1039"/>
      <c r="T21" s="1042"/>
      <c r="U21" s="1043"/>
      <c r="V21" s="1046"/>
      <c r="W21" s="1047"/>
      <c r="X21" s="1031"/>
      <c r="Y21" s="1032"/>
      <c r="Z21" s="1032"/>
      <c r="AA21" s="1033"/>
      <c r="AB21" s="1031"/>
      <c r="AC21" s="1032"/>
      <c r="AD21" s="1033"/>
      <c r="AE21" s="1050"/>
      <c r="AF21" s="1051"/>
      <c r="AG21" s="1050"/>
      <c r="AH21" s="1051"/>
      <c r="AI21" s="1054"/>
      <c r="AJ21" s="1055"/>
      <c r="AK21" s="1019"/>
      <c r="AL21" s="1020"/>
      <c r="AM21" s="1020"/>
      <c r="AN21" s="1021"/>
      <c r="AO21" s="1025"/>
      <c r="AP21" s="1026"/>
      <c r="AQ21" s="1027"/>
      <c r="AR21" s="135"/>
      <c r="AS21" s="135"/>
      <c r="AT21" s="135"/>
      <c r="AU21" s="1004"/>
      <c r="AV21" s="1066"/>
      <c r="AW21" s="135"/>
    </row>
    <row r="22" spans="2:49" ht="15.95" customHeight="1" x14ac:dyDescent="0.25">
      <c r="B22" s="1063">
        <v>4</v>
      </c>
      <c r="C22" s="1028"/>
      <c r="D22" s="1029"/>
      <c r="E22" s="1029"/>
      <c r="F22" s="1029"/>
      <c r="G22" s="1029"/>
      <c r="H22" s="1029"/>
      <c r="I22" s="1029"/>
      <c r="J22" s="1029"/>
      <c r="K22" s="1029"/>
      <c r="L22" s="1029"/>
      <c r="M22" s="1030"/>
      <c r="N22" s="1034" t="str">
        <f>IF(C22="","",INDEX(PMEMOTOR[Base Desc 1],MATCH(C22,PMEMOTOR[Eff Desc 1],0)))</f>
        <v/>
      </c>
      <c r="O22" s="1035"/>
      <c r="P22" s="1035"/>
      <c r="Q22" s="1035"/>
      <c r="R22" s="1035"/>
      <c r="S22" s="1036"/>
      <c r="T22" s="1040" t="str">
        <f>IF(C22="","",INDEX(PMEMOTOR[Unit of Measure],MATCH(C22,PMEMOTOR[Eff Desc 1],0)))</f>
        <v/>
      </c>
      <c r="U22" s="1041"/>
      <c r="V22" s="1044"/>
      <c r="W22" s="1045"/>
      <c r="X22" s="1028"/>
      <c r="Y22" s="1029"/>
      <c r="Z22" s="1029"/>
      <c r="AA22" s="1030"/>
      <c r="AB22" s="1028"/>
      <c r="AC22" s="1029"/>
      <c r="AD22" s="1030"/>
      <c r="AE22" s="1048"/>
      <c r="AF22" s="1049"/>
      <c r="AG22" s="1048"/>
      <c r="AH22" s="1049"/>
      <c r="AI22" s="1052" t="str">
        <f>IF(C22="","",INDEX(PMEMOTOR[Inc Rate Unit],MATCH(C22,PMEMOTOR[Eff Desc 1],0)))</f>
        <v/>
      </c>
      <c r="AJ22" s="1053"/>
      <c r="AK22" s="1016" t="str">
        <f>IF(OR(C22="",V22="",X22="",AB22="",AE22="",AG22=""),"",ROUND(V22*INDEX(PMEMOTOR[Savings per Unit kWh],MATCH(C22,PMEMOTOR[Eff Desc 1],0)),0))</f>
        <v/>
      </c>
      <c r="AL22" s="1017"/>
      <c r="AM22" s="1017"/>
      <c r="AN22" s="1018"/>
      <c r="AO22" s="1022" t="str">
        <f>IF(OR(C22="",V22="",X22="",AB22="",AE22="",AG22=""),"",MIN(AU22,ROUND(V22*AI22,2)))</f>
        <v/>
      </c>
      <c r="AP22" s="1023"/>
      <c r="AQ22" s="1024"/>
      <c r="AR22" s="135"/>
      <c r="AS22" s="135"/>
      <c r="AT22" s="135"/>
      <c r="AU22" s="1003" t="str">
        <f t="shared" ref="AU22" si="2">IF(OR(,V22="",X22="",AB22="",AE22="",AG22=""),"",ROUND((AE22+AG22)*V22,2))</f>
        <v/>
      </c>
      <c r="AV22" s="1065" t="str">
        <f>IF(OR(C22="",V22="",X22="",AB22="",AE22="",AG22=""),"",ROUND(V22*INDEX(PMEMOTOR[Savings per Unit kW],MATCH(C22,PMEMOTOR[Eff Desc 1],0)),4))</f>
        <v/>
      </c>
      <c r="AW22" s="135"/>
    </row>
    <row r="23" spans="2:49" ht="15.95" customHeight="1" x14ac:dyDescent="0.25">
      <c r="B23" s="1063"/>
      <c r="C23" s="1031"/>
      <c r="D23" s="1032"/>
      <c r="E23" s="1032"/>
      <c r="F23" s="1032"/>
      <c r="G23" s="1032"/>
      <c r="H23" s="1032"/>
      <c r="I23" s="1032"/>
      <c r="J23" s="1032"/>
      <c r="K23" s="1032"/>
      <c r="L23" s="1032"/>
      <c r="M23" s="1033"/>
      <c r="N23" s="1037"/>
      <c r="O23" s="1038"/>
      <c r="P23" s="1038"/>
      <c r="Q23" s="1038"/>
      <c r="R23" s="1038"/>
      <c r="S23" s="1039"/>
      <c r="T23" s="1042"/>
      <c r="U23" s="1043"/>
      <c r="V23" s="1046"/>
      <c r="W23" s="1047"/>
      <c r="X23" s="1031"/>
      <c r="Y23" s="1032"/>
      <c r="Z23" s="1032"/>
      <c r="AA23" s="1033"/>
      <c r="AB23" s="1031"/>
      <c r="AC23" s="1032"/>
      <c r="AD23" s="1033"/>
      <c r="AE23" s="1050"/>
      <c r="AF23" s="1051"/>
      <c r="AG23" s="1050"/>
      <c r="AH23" s="1051"/>
      <c r="AI23" s="1054"/>
      <c r="AJ23" s="1055"/>
      <c r="AK23" s="1019"/>
      <c r="AL23" s="1020"/>
      <c r="AM23" s="1020"/>
      <c r="AN23" s="1021"/>
      <c r="AO23" s="1025"/>
      <c r="AP23" s="1026"/>
      <c r="AQ23" s="1027"/>
      <c r="AR23" s="135"/>
      <c r="AS23" s="135"/>
      <c r="AT23" s="135"/>
      <c r="AU23" s="1004"/>
      <c r="AV23" s="1066"/>
      <c r="AW23" s="135"/>
    </row>
    <row r="24" spans="2:49" ht="15.95" customHeight="1" x14ac:dyDescent="0.25">
      <c r="B24" s="1063">
        <v>5</v>
      </c>
      <c r="C24" s="1028"/>
      <c r="D24" s="1029"/>
      <c r="E24" s="1029"/>
      <c r="F24" s="1029"/>
      <c r="G24" s="1029"/>
      <c r="H24" s="1029"/>
      <c r="I24" s="1029"/>
      <c r="J24" s="1029"/>
      <c r="K24" s="1029"/>
      <c r="L24" s="1029"/>
      <c r="M24" s="1030"/>
      <c r="N24" s="1034" t="str">
        <f>IF(C24="","",INDEX(PMEMOTOR[Base Desc 1],MATCH(C24,PMEMOTOR[Eff Desc 1],0)))</f>
        <v/>
      </c>
      <c r="O24" s="1035"/>
      <c r="P24" s="1035"/>
      <c r="Q24" s="1035"/>
      <c r="R24" s="1035"/>
      <c r="S24" s="1036"/>
      <c r="T24" s="1040" t="str">
        <f>IF(C24="","",INDEX(PMEMOTOR[Unit of Measure],MATCH(C24,PMEMOTOR[Eff Desc 1],0)))</f>
        <v/>
      </c>
      <c r="U24" s="1041"/>
      <c r="V24" s="1044"/>
      <c r="W24" s="1045"/>
      <c r="X24" s="1028"/>
      <c r="Y24" s="1029"/>
      <c r="Z24" s="1029"/>
      <c r="AA24" s="1030"/>
      <c r="AB24" s="1028"/>
      <c r="AC24" s="1029"/>
      <c r="AD24" s="1030"/>
      <c r="AE24" s="1048"/>
      <c r="AF24" s="1049"/>
      <c r="AG24" s="1048"/>
      <c r="AH24" s="1049"/>
      <c r="AI24" s="1052" t="str">
        <f>IF(C24="","",INDEX(PMEMOTOR[Inc Rate Unit],MATCH(C24,PMEMOTOR[Eff Desc 1],0)))</f>
        <v/>
      </c>
      <c r="AJ24" s="1053"/>
      <c r="AK24" s="1016" t="str">
        <f>IF(OR(C24="",V24="",X24="",AB24="",AE24="",AG24=""),"",ROUND(V24*INDEX(PMEMOTOR[Savings per Unit kWh],MATCH(C24,PMEMOTOR[Eff Desc 1],0)),0))</f>
        <v/>
      </c>
      <c r="AL24" s="1017"/>
      <c r="AM24" s="1017"/>
      <c r="AN24" s="1018"/>
      <c r="AO24" s="1022" t="str">
        <f>IF(OR(C24="",V24="",X24="",AB24="",AE24="",AG24=""),"",MIN(AU24,ROUND(V24*AI24,2)))</f>
        <v/>
      </c>
      <c r="AP24" s="1023"/>
      <c r="AQ24" s="1024"/>
      <c r="AR24" s="135"/>
      <c r="AS24" s="135"/>
      <c r="AT24" s="135"/>
      <c r="AU24" s="1003" t="str">
        <f t="shared" ref="AU24" si="3">IF(OR(,V24="",X24="",AB24="",AE24="",AG24=""),"",ROUND((AE24+AG24)*V24,2))</f>
        <v/>
      </c>
      <c r="AV24" s="1065" t="str">
        <f>IF(OR(C24="",V24="",X24="",AB24="",AE24="",AG24=""),"",ROUND(V24*INDEX(PMEMOTOR[Savings per Unit kW],MATCH(C24,PMEMOTOR[Eff Desc 1],0)),4))</f>
        <v/>
      </c>
      <c r="AW24" s="135"/>
    </row>
    <row r="25" spans="2:49" ht="15.95" customHeight="1" x14ac:dyDescent="0.25">
      <c r="B25" s="1063"/>
      <c r="C25" s="1031"/>
      <c r="D25" s="1032"/>
      <c r="E25" s="1032"/>
      <c r="F25" s="1032"/>
      <c r="G25" s="1032"/>
      <c r="H25" s="1032"/>
      <c r="I25" s="1032"/>
      <c r="J25" s="1032"/>
      <c r="K25" s="1032"/>
      <c r="L25" s="1032"/>
      <c r="M25" s="1033"/>
      <c r="N25" s="1037"/>
      <c r="O25" s="1038"/>
      <c r="P25" s="1038"/>
      <c r="Q25" s="1038"/>
      <c r="R25" s="1038"/>
      <c r="S25" s="1039"/>
      <c r="T25" s="1042"/>
      <c r="U25" s="1043"/>
      <c r="V25" s="1046"/>
      <c r="W25" s="1047"/>
      <c r="X25" s="1031"/>
      <c r="Y25" s="1032"/>
      <c r="Z25" s="1032"/>
      <c r="AA25" s="1033"/>
      <c r="AB25" s="1031"/>
      <c r="AC25" s="1032"/>
      <c r="AD25" s="1033"/>
      <c r="AE25" s="1050"/>
      <c r="AF25" s="1051"/>
      <c r="AG25" s="1050"/>
      <c r="AH25" s="1051"/>
      <c r="AI25" s="1054"/>
      <c r="AJ25" s="1055"/>
      <c r="AK25" s="1019"/>
      <c r="AL25" s="1020"/>
      <c r="AM25" s="1020"/>
      <c r="AN25" s="1021"/>
      <c r="AO25" s="1025"/>
      <c r="AP25" s="1026"/>
      <c r="AQ25" s="1027"/>
      <c r="AR25" s="135"/>
      <c r="AS25" s="135"/>
      <c r="AT25" s="135"/>
      <c r="AU25" s="1004"/>
      <c r="AV25" s="1066"/>
      <c r="AW25" s="135"/>
    </row>
    <row r="26" spans="2:49" ht="15.95" customHeight="1" x14ac:dyDescent="0.25">
      <c r="B26" s="1063">
        <v>6</v>
      </c>
      <c r="C26" s="1028"/>
      <c r="D26" s="1029"/>
      <c r="E26" s="1029"/>
      <c r="F26" s="1029"/>
      <c r="G26" s="1029"/>
      <c r="H26" s="1029"/>
      <c r="I26" s="1029"/>
      <c r="J26" s="1029"/>
      <c r="K26" s="1029"/>
      <c r="L26" s="1029"/>
      <c r="M26" s="1030"/>
      <c r="N26" s="1034" t="str">
        <f>IF(C26="","",INDEX(PMEMOTOR[Base Desc 1],MATCH(C26,PMEMOTOR[Eff Desc 1],0)))</f>
        <v/>
      </c>
      <c r="O26" s="1035"/>
      <c r="P26" s="1035"/>
      <c r="Q26" s="1035"/>
      <c r="R26" s="1035"/>
      <c r="S26" s="1036"/>
      <c r="T26" s="1040" t="str">
        <f>IF(C26="","",INDEX(PMEMOTOR[Unit of Measure],MATCH(C26,PMEMOTOR[Eff Desc 1],0)))</f>
        <v/>
      </c>
      <c r="U26" s="1041"/>
      <c r="V26" s="1044"/>
      <c r="W26" s="1045"/>
      <c r="X26" s="1028"/>
      <c r="Y26" s="1029"/>
      <c r="Z26" s="1029"/>
      <c r="AA26" s="1030"/>
      <c r="AB26" s="1028"/>
      <c r="AC26" s="1029"/>
      <c r="AD26" s="1030"/>
      <c r="AE26" s="1048"/>
      <c r="AF26" s="1049"/>
      <c r="AG26" s="1048"/>
      <c r="AH26" s="1049"/>
      <c r="AI26" s="1052" t="str">
        <f>IF(C26="","",INDEX(PMEMOTOR[Inc Rate Unit],MATCH(C26,PMEMOTOR[Eff Desc 1],0)))</f>
        <v/>
      </c>
      <c r="AJ26" s="1053"/>
      <c r="AK26" s="1016" t="str">
        <f>IF(OR(C26="",V26="",X26="",AB26="",AE26="",AG26=""),"",ROUND(V26*INDEX(PMEMOTOR[Savings per Unit kWh],MATCH(C26,PMEMOTOR[Eff Desc 1],0)),0))</f>
        <v/>
      </c>
      <c r="AL26" s="1017"/>
      <c r="AM26" s="1017"/>
      <c r="AN26" s="1018"/>
      <c r="AO26" s="1022" t="str">
        <f>IF(OR(C26="",V26="",X26="",AB26="",AE26="",AG26=""),"",MIN(AU26,ROUND(V26*AI26,2)))</f>
        <v/>
      </c>
      <c r="AP26" s="1023"/>
      <c r="AQ26" s="1024"/>
      <c r="AR26" s="135"/>
      <c r="AS26" s="135"/>
      <c r="AT26" s="135"/>
      <c r="AU26" s="1003" t="str">
        <f t="shared" ref="AU26" si="4">IF(OR(,V26="",X26="",AB26="",AE26="",AG26=""),"",ROUND((AE26+AG26)*V26,2))</f>
        <v/>
      </c>
      <c r="AV26" s="1065" t="str">
        <f>IF(OR(C26="",V26="",X26="",AB26="",AE26="",AG26=""),"",ROUND(V26*INDEX(PMEMOTOR[Savings per Unit kW],MATCH(C26,PMEMOTOR[Eff Desc 1],0)),4))</f>
        <v/>
      </c>
      <c r="AW26" s="135"/>
    </row>
    <row r="27" spans="2:49" ht="15.95" customHeight="1" x14ac:dyDescent="0.25">
      <c r="B27" s="1063"/>
      <c r="C27" s="1031"/>
      <c r="D27" s="1032"/>
      <c r="E27" s="1032"/>
      <c r="F27" s="1032"/>
      <c r="G27" s="1032"/>
      <c r="H27" s="1032"/>
      <c r="I27" s="1032"/>
      <c r="J27" s="1032"/>
      <c r="K27" s="1032"/>
      <c r="L27" s="1032"/>
      <c r="M27" s="1033"/>
      <c r="N27" s="1037"/>
      <c r="O27" s="1038"/>
      <c r="P27" s="1038"/>
      <c r="Q27" s="1038"/>
      <c r="R27" s="1038"/>
      <c r="S27" s="1039"/>
      <c r="T27" s="1042"/>
      <c r="U27" s="1043"/>
      <c r="V27" s="1046"/>
      <c r="W27" s="1047"/>
      <c r="X27" s="1031"/>
      <c r="Y27" s="1032"/>
      <c r="Z27" s="1032"/>
      <c r="AA27" s="1033"/>
      <c r="AB27" s="1031"/>
      <c r="AC27" s="1032"/>
      <c r="AD27" s="1033"/>
      <c r="AE27" s="1050"/>
      <c r="AF27" s="1051"/>
      <c r="AG27" s="1050"/>
      <c r="AH27" s="1051"/>
      <c r="AI27" s="1054"/>
      <c r="AJ27" s="1055"/>
      <c r="AK27" s="1019"/>
      <c r="AL27" s="1020"/>
      <c r="AM27" s="1020"/>
      <c r="AN27" s="1021"/>
      <c r="AO27" s="1025"/>
      <c r="AP27" s="1026"/>
      <c r="AQ27" s="1027"/>
      <c r="AR27" s="135"/>
      <c r="AS27" s="135"/>
      <c r="AT27" s="135"/>
      <c r="AU27" s="1004"/>
      <c r="AV27" s="1066"/>
      <c r="AW27" s="135"/>
    </row>
    <row r="28" spans="2:49" ht="15.95" customHeight="1" x14ac:dyDescent="0.25">
      <c r="B28" s="1063">
        <v>7</v>
      </c>
      <c r="C28" s="1028"/>
      <c r="D28" s="1029"/>
      <c r="E28" s="1029"/>
      <c r="F28" s="1029"/>
      <c r="G28" s="1029"/>
      <c r="H28" s="1029"/>
      <c r="I28" s="1029"/>
      <c r="J28" s="1029"/>
      <c r="K28" s="1029"/>
      <c r="L28" s="1029"/>
      <c r="M28" s="1030"/>
      <c r="N28" s="1034" t="str">
        <f>IF(C28="","",INDEX(PMEMOTOR[Base Desc 1],MATCH(C28,PMEMOTOR[Eff Desc 1],0)))</f>
        <v/>
      </c>
      <c r="O28" s="1035"/>
      <c r="P28" s="1035"/>
      <c r="Q28" s="1035"/>
      <c r="R28" s="1035"/>
      <c r="S28" s="1036"/>
      <c r="T28" s="1040" t="str">
        <f>IF(C28="","",INDEX(PMEMOTOR[Unit of Measure],MATCH(C28,PMEMOTOR[Eff Desc 1],0)))</f>
        <v/>
      </c>
      <c r="U28" s="1041"/>
      <c r="V28" s="1044"/>
      <c r="W28" s="1045"/>
      <c r="X28" s="1028"/>
      <c r="Y28" s="1029"/>
      <c r="Z28" s="1029"/>
      <c r="AA28" s="1030"/>
      <c r="AB28" s="1028"/>
      <c r="AC28" s="1029"/>
      <c r="AD28" s="1030"/>
      <c r="AE28" s="1048"/>
      <c r="AF28" s="1049"/>
      <c r="AG28" s="1048"/>
      <c r="AH28" s="1049"/>
      <c r="AI28" s="1052" t="str">
        <f>IF(C28="","",INDEX(PMEMOTOR[Inc Rate Unit],MATCH(C28,PMEMOTOR[Eff Desc 1],0)))</f>
        <v/>
      </c>
      <c r="AJ28" s="1053"/>
      <c r="AK28" s="1016" t="str">
        <f>IF(OR(C28="",V28="",X28="",AB28="",AE28="",AG28=""),"",ROUND(V28*INDEX(PMEMOTOR[Savings per Unit kWh],MATCH(C28,PMEMOTOR[Eff Desc 1],0)),0))</f>
        <v/>
      </c>
      <c r="AL28" s="1017"/>
      <c r="AM28" s="1017"/>
      <c r="AN28" s="1018"/>
      <c r="AO28" s="1022" t="str">
        <f>IF(OR(C28="",V28="",X28="",AB28="",AE28="",AG28=""),"",MIN(AU28,ROUND(V28*AI28,2)))</f>
        <v/>
      </c>
      <c r="AP28" s="1023"/>
      <c r="AQ28" s="1024"/>
      <c r="AR28" s="135"/>
      <c r="AS28" s="135"/>
      <c r="AT28" s="135"/>
      <c r="AU28" s="1003" t="str">
        <f t="shared" ref="AU28" si="5">IF(OR(,V28="",X28="",AB28="",AE28="",AG28=""),"",ROUND((AE28+AG28)*V28,2))</f>
        <v/>
      </c>
      <c r="AV28" s="1065" t="str">
        <f>IF(OR(C28="",V28="",X28="",AB28="",AE28="",AG28=""),"",ROUND(V28*INDEX(PMEMOTOR[Savings per Unit kW],MATCH(C28,PMEMOTOR[Eff Desc 1],0)),4))</f>
        <v/>
      </c>
      <c r="AW28" s="135"/>
    </row>
    <row r="29" spans="2:49" ht="15.95" customHeight="1" x14ac:dyDescent="0.25">
      <c r="B29" s="1063"/>
      <c r="C29" s="1031"/>
      <c r="D29" s="1032"/>
      <c r="E29" s="1032"/>
      <c r="F29" s="1032"/>
      <c r="G29" s="1032"/>
      <c r="H29" s="1032"/>
      <c r="I29" s="1032"/>
      <c r="J29" s="1032"/>
      <c r="K29" s="1032"/>
      <c r="L29" s="1032"/>
      <c r="M29" s="1033"/>
      <c r="N29" s="1037"/>
      <c r="O29" s="1038"/>
      <c r="P29" s="1038"/>
      <c r="Q29" s="1038"/>
      <c r="R29" s="1038"/>
      <c r="S29" s="1039"/>
      <c r="T29" s="1042"/>
      <c r="U29" s="1043"/>
      <c r="V29" s="1046"/>
      <c r="W29" s="1047"/>
      <c r="X29" s="1031"/>
      <c r="Y29" s="1032"/>
      <c r="Z29" s="1032"/>
      <c r="AA29" s="1033"/>
      <c r="AB29" s="1031"/>
      <c r="AC29" s="1032"/>
      <c r="AD29" s="1033"/>
      <c r="AE29" s="1050"/>
      <c r="AF29" s="1051"/>
      <c r="AG29" s="1050"/>
      <c r="AH29" s="1051"/>
      <c r="AI29" s="1054"/>
      <c r="AJ29" s="1055"/>
      <c r="AK29" s="1019"/>
      <c r="AL29" s="1020"/>
      <c r="AM29" s="1020"/>
      <c r="AN29" s="1021"/>
      <c r="AO29" s="1025"/>
      <c r="AP29" s="1026"/>
      <c r="AQ29" s="1027"/>
      <c r="AR29" s="135"/>
      <c r="AS29" s="135"/>
      <c r="AT29" s="135"/>
      <c r="AU29" s="1004"/>
      <c r="AV29" s="1066"/>
      <c r="AW29" s="135"/>
    </row>
    <row r="30" spans="2:49" ht="15.95" customHeight="1" x14ac:dyDescent="0.25">
      <c r="B30" s="1063">
        <v>8</v>
      </c>
      <c r="C30" s="1028"/>
      <c r="D30" s="1029"/>
      <c r="E30" s="1029"/>
      <c r="F30" s="1029"/>
      <c r="G30" s="1029"/>
      <c r="H30" s="1029"/>
      <c r="I30" s="1029"/>
      <c r="J30" s="1029"/>
      <c r="K30" s="1029"/>
      <c r="L30" s="1029"/>
      <c r="M30" s="1030"/>
      <c r="N30" s="1034" t="str">
        <f>IF(C30="","",INDEX(PMEMOTOR[Base Desc 1],MATCH(C30,PMEMOTOR[Eff Desc 1],0)))</f>
        <v/>
      </c>
      <c r="O30" s="1035"/>
      <c r="P30" s="1035"/>
      <c r="Q30" s="1035"/>
      <c r="R30" s="1035"/>
      <c r="S30" s="1036"/>
      <c r="T30" s="1040" t="str">
        <f>IF(C30="","",INDEX(PMEMOTOR[Unit of Measure],MATCH(C30,PMEMOTOR[Eff Desc 1],0)))</f>
        <v/>
      </c>
      <c r="U30" s="1041"/>
      <c r="V30" s="1044"/>
      <c r="W30" s="1045"/>
      <c r="X30" s="1028"/>
      <c r="Y30" s="1029"/>
      <c r="Z30" s="1029"/>
      <c r="AA30" s="1030"/>
      <c r="AB30" s="1028"/>
      <c r="AC30" s="1029"/>
      <c r="AD30" s="1030"/>
      <c r="AE30" s="1048"/>
      <c r="AF30" s="1049"/>
      <c r="AG30" s="1048"/>
      <c r="AH30" s="1049"/>
      <c r="AI30" s="1052" t="str">
        <f>IF(C30="","",INDEX(PMEMOTOR[Inc Rate Unit],MATCH(C30,PMEMOTOR[Eff Desc 1],0)))</f>
        <v/>
      </c>
      <c r="AJ30" s="1053"/>
      <c r="AK30" s="1016" t="str">
        <f>IF(OR(C30="",V30="",X30="",AB30="",AE30="",AG30=""),"",ROUND(V30*INDEX(PMEMOTOR[Savings per Unit kWh],MATCH(C30,PMEMOTOR[Eff Desc 1],0)),0))</f>
        <v/>
      </c>
      <c r="AL30" s="1017"/>
      <c r="AM30" s="1017"/>
      <c r="AN30" s="1018"/>
      <c r="AO30" s="1022" t="str">
        <f>IF(OR(C30="",V30="",X30="",AB30="",AE30="",AG30=""),"",MIN(AU30,ROUND(V30*AI30,2)))</f>
        <v/>
      </c>
      <c r="AP30" s="1023"/>
      <c r="AQ30" s="1024"/>
      <c r="AR30" s="135"/>
      <c r="AS30" s="135"/>
      <c r="AT30" s="135"/>
      <c r="AU30" s="1003" t="str">
        <f t="shared" ref="AU30" si="6">IF(OR(,V30="",X30="",AB30="",AE30="",AG30=""),"",ROUND((AE30+AG30)*V30,2))</f>
        <v/>
      </c>
      <c r="AV30" s="1065" t="str">
        <f>IF(OR(C30="",V30="",X30="",AB30="",AE30="",AG30=""),"",ROUND(V30*INDEX(PMEMOTOR[Savings per Unit kW],MATCH(C30,PMEMOTOR[Eff Desc 1],0)),4))</f>
        <v/>
      </c>
      <c r="AW30" s="135"/>
    </row>
    <row r="31" spans="2:49" ht="15.95" customHeight="1" x14ac:dyDescent="0.25">
      <c r="B31" s="1063"/>
      <c r="C31" s="1031"/>
      <c r="D31" s="1032"/>
      <c r="E31" s="1032"/>
      <c r="F31" s="1032"/>
      <c r="G31" s="1032"/>
      <c r="H31" s="1032"/>
      <c r="I31" s="1032"/>
      <c r="J31" s="1032"/>
      <c r="K31" s="1032"/>
      <c r="L31" s="1032"/>
      <c r="M31" s="1033"/>
      <c r="N31" s="1037"/>
      <c r="O31" s="1038"/>
      <c r="P31" s="1038"/>
      <c r="Q31" s="1038"/>
      <c r="R31" s="1038"/>
      <c r="S31" s="1039"/>
      <c r="T31" s="1042"/>
      <c r="U31" s="1043"/>
      <c r="V31" s="1046"/>
      <c r="W31" s="1047"/>
      <c r="X31" s="1031"/>
      <c r="Y31" s="1032"/>
      <c r="Z31" s="1032"/>
      <c r="AA31" s="1033"/>
      <c r="AB31" s="1031"/>
      <c r="AC31" s="1032"/>
      <c r="AD31" s="1033"/>
      <c r="AE31" s="1050"/>
      <c r="AF31" s="1051"/>
      <c r="AG31" s="1050"/>
      <c r="AH31" s="1051"/>
      <c r="AI31" s="1054"/>
      <c r="AJ31" s="1055"/>
      <c r="AK31" s="1019"/>
      <c r="AL31" s="1020"/>
      <c r="AM31" s="1020"/>
      <c r="AN31" s="1021"/>
      <c r="AO31" s="1025"/>
      <c r="AP31" s="1026"/>
      <c r="AQ31" s="1027"/>
      <c r="AR31" s="135"/>
      <c r="AS31" s="135"/>
      <c r="AT31" s="135"/>
      <c r="AU31" s="1004"/>
      <c r="AV31" s="1066"/>
      <c r="AW31" s="135"/>
    </row>
    <row r="32" spans="2:49" ht="15.95" customHeight="1" x14ac:dyDescent="0.25">
      <c r="B32" s="1063">
        <v>9</v>
      </c>
      <c r="C32" s="1028"/>
      <c r="D32" s="1029"/>
      <c r="E32" s="1029"/>
      <c r="F32" s="1029"/>
      <c r="G32" s="1029"/>
      <c r="H32" s="1029"/>
      <c r="I32" s="1029"/>
      <c r="J32" s="1029"/>
      <c r="K32" s="1029"/>
      <c r="L32" s="1029"/>
      <c r="M32" s="1030"/>
      <c r="N32" s="1034" t="str">
        <f>IF(C32="","",INDEX(PMEMOTOR[Base Desc 1],MATCH(C32,PMEMOTOR[Eff Desc 1],0)))</f>
        <v/>
      </c>
      <c r="O32" s="1035"/>
      <c r="P32" s="1035"/>
      <c r="Q32" s="1035"/>
      <c r="R32" s="1035"/>
      <c r="S32" s="1036"/>
      <c r="T32" s="1040" t="str">
        <f>IF(C32="","",INDEX(PMEMOTOR[Unit of Measure],MATCH(C32,PMEMOTOR[Eff Desc 1],0)))</f>
        <v/>
      </c>
      <c r="U32" s="1041"/>
      <c r="V32" s="1044"/>
      <c r="W32" s="1045"/>
      <c r="X32" s="1028"/>
      <c r="Y32" s="1029"/>
      <c r="Z32" s="1029"/>
      <c r="AA32" s="1030"/>
      <c r="AB32" s="1028"/>
      <c r="AC32" s="1029"/>
      <c r="AD32" s="1030"/>
      <c r="AE32" s="1048"/>
      <c r="AF32" s="1049"/>
      <c r="AG32" s="1048"/>
      <c r="AH32" s="1049"/>
      <c r="AI32" s="1052" t="str">
        <f>IF(C32="","",INDEX(PMEMOTOR[Inc Rate Unit],MATCH(C32,PMEMOTOR[Eff Desc 1],0)))</f>
        <v/>
      </c>
      <c r="AJ32" s="1053"/>
      <c r="AK32" s="1016" t="str">
        <f>IF(OR(C32="",V32="",X32="",AB32="",AE32="",AG32=""),"",ROUND(V32*INDEX(PMEMOTOR[Savings per Unit kWh],MATCH(C32,PMEMOTOR[Eff Desc 1],0)),0))</f>
        <v/>
      </c>
      <c r="AL32" s="1017"/>
      <c r="AM32" s="1017"/>
      <c r="AN32" s="1018"/>
      <c r="AO32" s="1022" t="str">
        <f>IF(OR(C32="",V32="",X32="",AB32="",AE32="",AG32=""),"",MIN(AU32,ROUND(V32*AI32,2)))</f>
        <v/>
      </c>
      <c r="AP32" s="1023"/>
      <c r="AQ32" s="1024"/>
      <c r="AR32" s="135"/>
      <c r="AS32" s="135"/>
      <c r="AT32" s="135"/>
      <c r="AU32" s="1003" t="str">
        <f t="shared" ref="AU32" si="7">IF(OR(,V32="",X32="",AB32="",AE32="",AG32=""),"",ROUND((AE32+AG32)*V32,2))</f>
        <v/>
      </c>
      <c r="AV32" s="1065" t="str">
        <f>IF(OR(C32="",V32="",X32="",AB32="",AE32="",AG32=""),"",ROUND(V32*INDEX(PMEMOTOR[Savings per Unit kW],MATCH(C32,PMEMOTOR[Eff Desc 1],0)),4))</f>
        <v/>
      </c>
      <c r="AW32" s="135"/>
    </row>
    <row r="33" spans="2:49" ht="15.95" customHeight="1" x14ac:dyDescent="0.25">
      <c r="B33" s="1063"/>
      <c r="C33" s="1031"/>
      <c r="D33" s="1032"/>
      <c r="E33" s="1032"/>
      <c r="F33" s="1032"/>
      <c r="G33" s="1032"/>
      <c r="H33" s="1032"/>
      <c r="I33" s="1032"/>
      <c r="J33" s="1032"/>
      <c r="K33" s="1032"/>
      <c r="L33" s="1032"/>
      <c r="M33" s="1033"/>
      <c r="N33" s="1037"/>
      <c r="O33" s="1038"/>
      <c r="P33" s="1038"/>
      <c r="Q33" s="1038"/>
      <c r="R33" s="1038"/>
      <c r="S33" s="1039"/>
      <c r="T33" s="1042"/>
      <c r="U33" s="1043"/>
      <c r="V33" s="1046"/>
      <c r="W33" s="1047"/>
      <c r="X33" s="1031"/>
      <c r="Y33" s="1032"/>
      <c r="Z33" s="1032"/>
      <c r="AA33" s="1033"/>
      <c r="AB33" s="1031"/>
      <c r="AC33" s="1032"/>
      <c r="AD33" s="1033"/>
      <c r="AE33" s="1050"/>
      <c r="AF33" s="1051"/>
      <c r="AG33" s="1050"/>
      <c r="AH33" s="1051"/>
      <c r="AI33" s="1054"/>
      <c r="AJ33" s="1055"/>
      <c r="AK33" s="1019"/>
      <c r="AL33" s="1020"/>
      <c r="AM33" s="1020"/>
      <c r="AN33" s="1021"/>
      <c r="AO33" s="1025"/>
      <c r="AP33" s="1026"/>
      <c r="AQ33" s="1027"/>
      <c r="AR33" s="135"/>
      <c r="AS33" s="135"/>
      <c r="AT33" s="135"/>
      <c r="AU33" s="1004"/>
      <c r="AV33" s="1066"/>
      <c r="AW33" s="135"/>
    </row>
    <row r="34" spans="2:49" ht="15.95" customHeight="1" x14ac:dyDescent="0.25">
      <c r="B34" s="1063">
        <v>10</v>
      </c>
      <c r="C34" s="1028"/>
      <c r="D34" s="1029"/>
      <c r="E34" s="1029"/>
      <c r="F34" s="1029"/>
      <c r="G34" s="1029"/>
      <c r="H34" s="1029"/>
      <c r="I34" s="1029"/>
      <c r="J34" s="1029"/>
      <c r="K34" s="1029"/>
      <c r="L34" s="1029"/>
      <c r="M34" s="1030"/>
      <c r="N34" s="1034" t="str">
        <f>IF(C34="","",INDEX(PMEMOTOR[Base Desc 1],MATCH(C34,PMEMOTOR[Eff Desc 1],0)))</f>
        <v/>
      </c>
      <c r="O34" s="1035"/>
      <c r="P34" s="1035"/>
      <c r="Q34" s="1035"/>
      <c r="R34" s="1035"/>
      <c r="S34" s="1036"/>
      <c r="T34" s="1040" t="str">
        <f>IF(C34="","",INDEX(PMEMOTOR[Unit of Measure],MATCH(C34,PMEMOTOR[Eff Desc 1],0)))</f>
        <v/>
      </c>
      <c r="U34" s="1041"/>
      <c r="V34" s="1044"/>
      <c r="W34" s="1045"/>
      <c r="X34" s="1028"/>
      <c r="Y34" s="1029"/>
      <c r="Z34" s="1029"/>
      <c r="AA34" s="1030"/>
      <c r="AB34" s="1028"/>
      <c r="AC34" s="1029"/>
      <c r="AD34" s="1030"/>
      <c r="AE34" s="1048"/>
      <c r="AF34" s="1049"/>
      <c r="AG34" s="1048"/>
      <c r="AH34" s="1049"/>
      <c r="AI34" s="1052" t="str">
        <f>IF(C34="","",INDEX(PMEMOTOR[Inc Rate Unit],MATCH(C34,PMEMOTOR[Eff Desc 1],0)))</f>
        <v/>
      </c>
      <c r="AJ34" s="1053"/>
      <c r="AK34" s="1016" t="str">
        <f>IF(OR(C34="",V34="",X34="",AB34="",AE34="",AG34=""),"",ROUND(V34*INDEX(PMEMOTOR[Savings per Unit kWh],MATCH(C34,PMEMOTOR[Eff Desc 1],0)),0))</f>
        <v/>
      </c>
      <c r="AL34" s="1017"/>
      <c r="AM34" s="1017"/>
      <c r="AN34" s="1018"/>
      <c r="AO34" s="1022" t="str">
        <f>IF(OR(C34="",V34="",X34="",AB34="",AE34="",AG34=""),"",MIN(AU34,ROUND(V34*AI34,2)))</f>
        <v/>
      </c>
      <c r="AP34" s="1023"/>
      <c r="AQ34" s="1024"/>
      <c r="AR34" s="135"/>
      <c r="AS34" s="135"/>
      <c r="AT34" s="135"/>
      <c r="AU34" s="1003" t="str">
        <f t="shared" ref="AU34" si="8">IF(OR(,V34="",X34="",AB34="",AE34="",AG34=""),"",ROUND((AE34+AG34)*V34,2))</f>
        <v/>
      </c>
      <c r="AV34" s="1065" t="str">
        <f>IF(OR(C34="",V34="",X34="",AB34="",AE34="",AG34=""),"",ROUND(V34*INDEX(PMEMOTOR[Savings per Unit kW],MATCH(C34,PMEMOTOR[Eff Desc 1],0)),4))</f>
        <v/>
      </c>
      <c r="AW34" s="135"/>
    </row>
    <row r="35" spans="2:49" ht="15.95" customHeight="1" x14ac:dyDescent="0.25">
      <c r="B35" s="1063"/>
      <c r="C35" s="1031"/>
      <c r="D35" s="1032"/>
      <c r="E35" s="1032"/>
      <c r="F35" s="1032"/>
      <c r="G35" s="1032"/>
      <c r="H35" s="1032"/>
      <c r="I35" s="1032"/>
      <c r="J35" s="1032"/>
      <c r="K35" s="1032"/>
      <c r="L35" s="1032"/>
      <c r="M35" s="1033"/>
      <c r="N35" s="1037"/>
      <c r="O35" s="1038"/>
      <c r="P35" s="1038"/>
      <c r="Q35" s="1038"/>
      <c r="R35" s="1038"/>
      <c r="S35" s="1039"/>
      <c r="T35" s="1042"/>
      <c r="U35" s="1043"/>
      <c r="V35" s="1046"/>
      <c r="W35" s="1047"/>
      <c r="X35" s="1031"/>
      <c r="Y35" s="1032"/>
      <c r="Z35" s="1032"/>
      <c r="AA35" s="1033"/>
      <c r="AB35" s="1031"/>
      <c r="AC35" s="1032"/>
      <c r="AD35" s="1033"/>
      <c r="AE35" s="1050"/>
      <c r="AF35" s="1051"/>
      <c r="AG35" s="1050"/>
      <c r="AH35" s="1051"/>
      <c r="AI35" s="1054"/>
      <c r="AJ35" s="1055"/>
      <c r="AK35" s="1019"/>
      <c r="AL35" s="1020"/>
      <c r="AM35" s="1020"/>
      <c r="AN35" s="1021"/>
      <c r="AO35" s="1025"/>
      <c r="AP35" s="1026"/>
      <c r="AQ35" s="1027"/>
      <c r="AR35" s="135"/>
      <c r="AS35" s="135"/>
      <c r="AT35" s="135"/>
      <c r="AU35" s="1004"/>
      <c r="AV35" s="1066"/>
      <c r="AW35" s="135"/>
    </row>
    <row r="36" spans="2:49" ht="15.95" hidden="1" customHeight="1" x14ac:dyDescent="0.25">
      <c r="B36" s="1063">
        <v>11</v>
      </c>
      <c r="C36" s="1028"/>
      <c r="D36" s="1029"/>
      <c r="E36" s="1029"/>
      <c r="F36" s="1029"/>
      <c r="G36" s="1029"/>
      <c r="H36" s="1029"/>
      <c r="I36" s="1029"/>
      <c r="J36" s="1029"/>
      <c r="K36" s="1029"/>
      <c r="L36" s="1029"/>
      <c r="M36" s="1030"/>
      <c r="N36" s="1034" t="str">
        <f>IF(C36="","",INDEX(PMEMOTOR[Base Desc 1],MATCH(C36,PMEMOTOR[Eff Desc 1],0)))</f>
        <v/>
      </c>
      <c r="O36" s="1035"/>
      <c r="P36" s="1035"/>
      <c r="Q36" s="1035"/>
      <c r="R36" s="1035"/>
      <c r="S36" s="1036"/>
      <c r="T36" s="1040" t="str">
        <f>IF(C36="","",INDEX(PMEMOTOR[Unit of Measure],MATCH(C36,PMEMOTOR[Eff Desc 1],0)))</f>
        <v/>
      </c>
      <c r="U36" s="1041"/>
      <c r="V36" s="1044"/>
      <c r="W36" s="1045"/>
      <c r="X36" s="1028"/>
      <c r="Y36" s="1029"/>
      <c r="Z36" s="1029"/>
      <c r="AA36" s="1030"/>
      <c r="AB36" s="1028"/>
      <c r="AC36" s="1029"/>
      <c r="AD36" s="1030"/>
      <c r="AE36" s="1048"/>
      <c r="AF36" s="1049"/>
      <c r="AG36" s="1048"/>
      <c r="AH36" s="1049"/>
      <c r="AI36" s="1052" t="str">
        <f>IF(C36="","",INDEX(PMEMOTOR[Inc Rate Unit],MATCH(C36,PMEMOTOR[Eff Desc 1],0)))</f>
        <v/>
      </c>
      <c r="AJ36" s="1053"/>
      <c r="AK36" s="1016" t="str">
        <f>IF(OR(C36="",V36="",X36="",AB36="",AE36="",AG36=""),"",ROUND(V36*INDEX(PMEMOTOR[Savings per Unit kWh],MATCH(C36,PMEMOTOR[Eff Desc 1],0)),0))</f>
        <v/>
      </c>
      <c r="AL36" s="1017"/>
      <c r="AM36" s="1017"/>
      <c r="AN36" s="1018"/>
      <c r="AO36" s="1022" t="str">
        <f t="shared" ref="AO36" si="9">IF(OR(C36="",V36="",X36="",AB36="",AE36="",AG36=""),"",MIN(AU36,ROUND(V36*AI36,2)))</f>
        <v/>
      </c>
      <c r="AP36" s="1023"/>
      <c r="AQ36" s="1024"/>
      <c r="AR36" s="135"/>
      <c r="AS36" s="135"/>
      <c r="AT36" s="135"/>
      <c r="AU36" s="1003" t="str">
        <f t="shared" ref="AU36" si="10">IF(OR(,V36="",X36="",AB36="",AE36="",AG36=""),"",ROUND((AE36+AG36)*V36,2))</f>
        <v/>
      </c>
      <c r="AV36" s="1065" t="str">
        <f>IF(OR(C36="",V36="",X36="",AB36="",AE36="",AG36=""),"",ROUND(V36*INDEX(PMEMOTOR[Savings per Unit kW],MATCH(C36,PMEMOTOR[Eff Desc 1],0)),4))</f>
        <v/>
      </c>
    </row>
    <row r="37" spans="2:49" ht="15.95" hidden="1" customHeight="1" x14ac:dyDescent="0.25">
      <c r="B37" s="1063"/>
      <c r="C37" s="1031"/>
      <c r="D37" s="1032"/>
      <c r="E37" s="1032"/>
      <c r="F37" s="1032"/>
      <c r="G37" s="1032"/>
      <c r="H37" s="1032"/>
      <c r="I37" s="1032"/>
      <c r="J37" s="1032"/>
      <c r="K37" s="1032"/>
      <c r="L37" s="1032"/>
      <c r="M37" s="1033"/>
      <c r="N37" s="1037"/>
      <c r="O37" s="1038"/>
      <c r="P37" s="1038"/>
      <c r="Q37" s="1038"/>
      <c r="R37" s="1038"/>
      <c r="S37" s="1039"/>
      <c r="T37" s="1042"/>
      <c r="U37" s="1043"/>
      <c r="V37" s="1046"/>
      <c r="W37" s="1047"/>
      <c r="X37" s="1031"/>
      <c r="Y37" s="1032"/>
      <c r="Z37" s="1032"/>
      <c r="AA37" s="1033"/>
      <c r="AB37" s="1031"/>
      <c r="AC37" s="1032"/>
      <c r="AD37" s="1033"/>
      <c r="AE37" s="1050"/>
      <c r="AF37" s="1051"/>
      <c r="AG37" s="1050"/>
      <c r="AH37" s="1051"/>
      <c r="AI37" s="1054"/>
      <c r="AJ37" s="1055"/>
      <c r="AK37" s="1019"/>
      <c r="AL37" s="1020"/>
      <c r="AM37" s="1020"/>
      <c r="AN37" s="1021"/>
      <c r="AO37" s="1025"/>
      <c r="AP37" s="1026"/>
      <c r="AQ37" s="1027"/>
      <c r="AR37" s="135"/>
      <c r="AS37" s="135"/>
      <c r="AT37" s="135"/>
      <c r="AU37" s="1004"/>
      <c r="AV37" s="1066"/>
    </row>
    <row r="38" spans="2:49" ht="15.95" hidden="1" customHeight="1" x14ac:dyDescent="0.25">
      <c r="B38" s="1063">
        <v>12</v>
      </c>
      <c r="C38" s="1028"/>
      <c r="D38" s="1029"/>
      <c r="E38" s="1029"/>
      <c r="F38" s="1029"/>
      <c r="G38" s="1029"/>
      <c r="H38" s="1029"/>
      <c r="I38" s="1029"/>
      <c r="J38" s="1029"/>
      <c r="K38" s="1029"/>
      <c r="L38" s="1029"/>
      <c r="M38" s="1030"/>
      <c r="N38" s="1034" t="str">
        <f>IF(C38="","",INDEX(PMEMOTOR[Base Desc 1],MATCH(C38,PMEMOTOR[Eff Desc 1],0)))</f>
        <v/>
      </c>
      <c r="O38" s="1035"/>
      <c r="P38" s="1035"/>
      <c r="Q38" s="1035"/>
      <c r="R38" s="1035"/>
      <c r="S38" s="1036"/>
      <c r="T38" s="1040" t="str">
        <f>IF(C38="","",INDEX(PMEMOTOR[Unit of Measure],MATCH(C38,PMEMOTOR[Eff Desc 1],0)))</f>
        <v/>
      </c>
      <c r="U38" s="1041"/>
      <c r="V38" s="1044"/>
      <c r="W38" s="1045"/>
      <c r="X38" s="1028"/>
      <c r="Y38" s="1029"/>
      <c r="Z38" s="1029"/>
      <c r="AA38" s="1030"/>
      <c r="AB38" s="1028"/>
      <c r="AC38" s="1029"/>
      <c r="AD38" s="1030"/>
      <c r="AE38" s="1048"/>
      <c r="AF38" s="1049"/>
      <c r="AG38" s="1048"/>
      <c r="AH38" s="1049"/>
      <c r="AI38" s="1052" t="str">
        <f>IF(C38="","",INDEX(PMEMOTOR[Inc Rate Unit],MATCH(C38,PMEMOTOR[Eff Desc 1],0)))</f>
        <v/>
      </c>
      <c r="AJ38" s="1053"/>
      <c r="AK38" s="1016" t="str">
        <f>IF(OR(C38="",V38="",X38="",AB38="",AE38="",AG38=""),"",ROUND(V38*INDEX(PMEMOTOR[Savings per Unit kWh],MATCH(C38,PMEMOTOR[Eff Desc 1],0)),0))</f>
        <v/>
      </c>
      <c r="AL38" s="1017"/>
      <c r="AM38" s="1017"/>
      <c r="AN38" s="1018"/>
      <c r="AO38" s="1022" t="str">
        <f t="shared" ref="AO38" si="11">IF(OR(C38="",V38="",X38="",AB38="",AE38="",AG38=""),"",MIN(AU38,ROUND(V38*AI38,2)))</f>
        <v/>
      </c>
      <c r="AP38" s="1023"/>
      <c r="AQ38" s="1024"/>
      <c r="AR38" s="135"/>
      <c r="AS38" s="135"/>
      <c r="AT38" s="135"/>
      <c r="AU38" s="1003" t="str">
        <f t="shared" ref="AU38" si="12">IF(OR(,V38="",X38="",AB38="",AE38="",AG38=""),"",ROUND((AE38+AG38)*V38,2))</f>
        <v/>
      </c>
      <c r="AV38" s="1065" t="str">
        <f>IF(OR(C38="",V38="",X38="",AB38="",AE38="",AG38=""),"",ROUND(V38*INDEX(PMEMOTOR[Savings per Unit kW],MATCH(C38,PMEMOTOR[Eff Desc 1],0)),4))</f>
        <v/>
      </c>
    </row>
    <row r="39" spans="2:49" ht="15.95" hidden="1" customHeight="1" x14ac:dyDescent="0.25">
      <c r="B39" s="1063"/>
      <c r="C39" s="1031"/>
      <c r="D39" s="1032"/>
      <c r="E39" s="1032"/>
      <c r="F39" s="1032"/>
      <c r="G39" s="1032"/>
      <c r="H39" s="1032"/>
      <c r="I39" s="1032"/>
      <c r="J39" s="1032"/>
      <c r="K39" s="1032"/>
      <c r="L39" s="1032"/>
      <c r="M39" s="1033"/>
      <c r="N39" s="1037"/>
      <c r="O39" s="1038"/>
      <c r="P39" s="1038"/>
      <c r="Q39" s="1038"/>
      <c r="R39" s="1038"/>
      <c r="S39" s="1039"/>
      <c r="T39" s="1042"/>
      <c r="U39" s="1043"/>
      <c r="V39" s="1046"/>
      <c r="W39" s="1047"/>
      <c r="X39" s="1031"/>
      <c r="Y39" s="1032"/>
      <c r="Z39" s="1032"/>
      <c r="AA39" s="1033"/>
      <c r="AB39" s="1031"/>
      <c r="AC39" s="1032"/>
      <c r="AD39" s="1033"/>
      <c r="AE39" s="1050"/>
      <c r="AF39" s="1051"/>
      <c r="AG39" s="1050"/>
      <c r="AH39" s="1051"/>
      <c r="AI39" s="1054"/>
      <c r="AJ39" s="1055"/>
      <c r="AK39" s="1019"/>
      <c r="AL39" s="1020"/>
      <c r="AM39" s="1020"/>
      <c r="AN39" s="1021"/>
      <c r="AO39" s="1025"/>
      <c r="AP39" s="1026"/>
      <c r="AQ39" s="1027"/>
      <c r="AR39" s="135"/>
      <c r="AS39" s="135"/>
      <c r="AT39" s="135"/>
      <c r="AU39" s="1004"/>
      <c r="AV39" s="1066"/>
    </row>
    <row r="40" spans="2:49" ht="15.95" hidden="1" customHeight="1" x14ac:dyDescent="0.25">
      <c r="B40" s="1063">
        <v>13</v>
      </c>
      <c r="C40" s="1028"/>
      <c r="D40" s="1029"/>
      <c r="E40" s="1029"/>
      <c r="F40" s="1029"/>
      <c r="G40" s="1029"/>
      <c r="H40" s="1029"/>
      <c r="I40" s="1029"/>
      <c r="J40" s="1029"/>
      <c r="K40" s="1029"/>
      <c r="L40" s="1029"/>
      <c r="M40" s="1030"/>
      <c r="N40" s="1034" t="str">
        <f>IF(C40="","",INDEX(PMEMOTOR[Base Desc 1],MATCH(C40,PMEMOTOR[Eff Desc 1],0)))</f>
        <v/>
      </c>
      <c r="O40" s="1035"/>
      <c r="P40" s="1035"/>
      <c r="Q40" s="1035"/>
      <c r="R40" s="1035"/>
      <c r="S40" s="1036"/>
      <c r="T40" s="1040" t="str">
        <f>IF(C40="","",INDEX(PMEMOTOR[Unit of Measure],MATCH(C40,PMEMOTOR[Eff Desc 1],0)))</f>
        <v/>
      </c>
      <c r="U40" s="1041"/>
      <c r="V40" s="1044"/>
      <c r="W40" s="1045"/>
      <c r="X40" s="1028"/>
      <c r="Y40" s="1029"/>
      <c r="Z40" s="1029"/>
      <c r="AA40" s="1030"/>
      <c r="AB40" s="1028"/>
      <c r="AC40" s="1029"/>
      <c r="AD40" s="1030"/>
      <c r="AE40" s="1048"/>
      <c r="AF40" s="1049"/>
      <c r="AG40" s="1048"/>
      <c r="AH40" s="1049"/>
      <c r="AI40" s="1052" t="str">
        <f>IF(C40="","",INDEX(PMEMOTOR[Inc Rate Unit],MATCH(C40,PMEMOTOR[Eff Desc 1],0)))</f>
        <v/>
      </c>
      <c r="AJ40" s="1053"/>
      <c r="AK40" s="1016" t="str">
        <f>IF(OR(C40="",V40="",X40="",AB40="",AE40="",AG40=""),"",ROUND(V40*INDEX(PMEMOTOR[Savings per Unit kWh],MATCH(C40,PMEMOTOR[Eff Desc 1],0)),0))</f>
        <v/>
      </c>
      <c r="AL40" s="1017"/>
      <c r="AM40" s="1017"/>
      <c r="AN40" s="1018"/>
      <c r="AO40" s="1022" t="str">
        <f t="shared" ref="AO40" si="13">IF(OR(C40="",V40="",X40="",AB40="",AE40="",AG40=""),"",MIN(AU40,ROUND(V40*AI40,2)))</f>
        <v/>
      </c>
      <c r="AP40" s="1023"/>
      <c r="AQ40" s="1024"/>
      <c r="AR40" s="135"/>
      <c r="AS40" s="135"/>
      <c r="AT40" s="135"/>
      <c r="AU40" s="1003" t="str">
        <f t="shared" ref="AU40" si="14">IF(OR(,V40="",X40="",AB40="",AE40="",AG40=""),"",ROUND((AE40+AG40)*V40,2))</f>
        <v/>
      </c>
      <c r="AV40" s="1065" t="str">
        <f>IF(OR(C40="",V40="",X40="",AB40="",AE40="",AG40=""),"",ROUND(V40*INDEX(PMEMOTOR[Savings per Unit kW],MATCH(C40,PMEMOTOR[Eff Desc 1],0)),4))</f>
        <v/>
      </c>
    </row>
    <row r="41" spans="2:49" ht="15.95" hidden="1" customHeight="1" x14ac:dyDescent="0.25">
      <c r="B41" s="1063"/>
      <c r="C41" s="1031"/>
      <c r="D41" s="1032"/>
      <c r="E41" s="1032"/>
      <c r="F41" s="1032"/>
      <c r="G41" s="1032"/>
      <c r="H41" s="1032"/>
      <c r="I41" s="1032"/>
      <c r="J41" s="1032"/>
      <c r="K41" s="1032"/>
      <c r="L41" s="1032"/>
      <c r="M41" s="1033"/>
      <c r="N41" s="1037"/>
      <c r="O41" s="1038"/>
      <c r="P41" s="1038"/>
      <c r="Q41" s="1038"/>
      <c r="R41" s="1038"/>
      <c r="S41" s="1039"/>
      <c r="T41" s="1042"/>
      <c r="U41" s="1043"/>
      <c r="V41" s="1046"/>
      <c r="W41" s="1047"/>
      <c r="X41" s="1031"/>
      <c r="Y41" s="1032"/>
      <c r="Z41" s="1032"/>
      <c r="AA41" s="1033"/>
      <c r="AB41" s="1031"/>
      <c r="AC41" s="1032"/>
      <c r="AD41" s="1033"/>
      <c r="AE41" s="1050"/>
      <c r="AF41" s="1051"/>
      <c r="AG41" s="1050"/>
      <c r="AH41" s="1051"/>
      <c r="AI41" s="1054"/>
      <c r="AJ41" s="1055"/>
      <c r="AK41" s="1019"/>
      <c r="AL41" s="1020"/>
      <c r="AM41" s="1020"/>
      <c r="AN41" s="1021"/>
      <c r="AO41" s="1025"/>
      <c r="AP41" s="1026"/>
      <c r="AQ41" s="1027"/>
      <c r="AR41" s="135"/>
      <c r="AS41" s="135"/>
      <c r="AT41" s="135"/>
      <c r="AU41" s="1004"/>
      <c r="AV41" s="1066"/>
    </row>
    <row r="42" spans="2:49" ht="15.95" hidden="1" customHeight="1" x14ac:dyDescent="0.25">
      <c r="B42" s="1063">
        <v>14</v>
      </c>
      <c r="C42" s="1028"/>
      <c r="D42" s="1029"/>
      <c r="E42" s="1029"/>
      <c r="F42" s="1029"/>
      <c r="G42" s="1029"/>
      <c r="H42" s="1029"/>
      <c r="I42" s="1029"/>
      <c r="J42" s="1029"/>
      <c r="K42" s="1029"/>
      <c r="L42" s="1029"/>
      <c r="M42" s="1030"/>
      <c r="N42" s="1034" t="str">
        <f>IF(C42="","",INDEX(PMEMOTOR[Base Desc 1],MATCH(C42,PMEMOTOR[Eff Desc 1],0)))</f>
        <v/>
      </c>
      <c r="O42" s="1035"/>
      <c r="P42" s="1035"/>
      <c r="Q42" s="1035"/>
      <c r="R42" s="1035"/>
      <c r="S42" s="1036"/>
      <c r="T42" s="1040" t="str">
        <f>IF(C42="","",INDEX(PMEMOTOR[Unit of Measure],MATCH(C42,PMEMOTOR[Eff Desc 1],0)))</f>
        <v/>
      </c>
      <c r="U42" s="1041"/>
      <c r="V42" s="1044"/>
      <c r="W42" s="1045"/>
      <c r="X42" s="1028"/>
      <c r="Y42" s="1029"/>
      <c r="Z42" s="1029"/>
      <c r="AA42" s="1030"/>
      <c r="AB42" s="1028"/>
      <c r="AC42" s="1029"/>
      <c r="AD42" s="1030"/>
      <c r="AE42" s="1048"/>
      <c r="AF42" s="1049"/>
      <c r="AG42" s="1048"/>
      <c r="AH42" s="1049"/>
      <c r="AI42" s="1052" t="str">
        <f>IF(C42="","",INDEX(PMEMOTOR[Inc Rate Unit],MATCH(C42,PMEMOTOR[Eff Desc 1],0)))</f>
        <v/>
      </c>
      <c r="AJ42" s="1053"/>
      <c r="AK42" s="1016" t="str">
        <f>IF(OR(C42="",V42="",X42="",AB42="",AE42="",AG42=""),"",ROUND(V42*INDEX(PMEMOTOR[Savings per Unit kWh],MATCH(C42,PMEMOTOR[Eff Desc 1],0)),0))</f>
        <v/>
      </c>
      <c r="AL42" s="1017"/>
      <c r="AM42" s="1017"/>
      <c r="AN42" s="1018"/>
      <c r="AO42" s="1022" t="str">
        <f t="shared" ref="AO42" si="15">IF(OR(C42="",V42="",X42="",AB42="",AE42="",AG42=""),"",MIN(AU42,ROUND(V42*AI42,2)))</f>
        <v/>
      </c>
      <c r="AP42" s="1023"/>
      <c r="AQ42" s="1024"/>
      <c r="AR42" s="135"/>
      <c r="AS42" s="135"/>
      <c r="AT42" s="135"/>
      <c r="AU42" s="1003" t="str">
        <f t="shared" ref="AU42" si="16">IF(OR(,V42="",X42="",AB42="",AE42="",AG42=""),"",ROUND((AE42+AG42)*V42,2))</f>
        <v/>
      </c>
      <c r="AV42" s="1065" t="str">
        <f>IF(OR(C42="",V42="",X42="",AB42="",AE42="",AG42=""),"",ROUND(V42*INDEX(PMEMOTOR[Savings per Unit kW],MATCH(C42,PMEMOTOR[Eff Desc 1],0)),4))</f>
        <v/>
      </c>
    </row>
    <row r="43" spans="2:49" ht="15.95" hidden="1" customHeight="1" x14ac:dyDescent="0.25">
      <c r="B43" s="1063"/>
      <c r="C43" s="1031"/>
      <c r="D43" s="1032"/>
      <c r="E43" s="1032"/>
      <c r="F43" s="1032"/>
      <c r="G43" s="1032"/>
      <c r="H43" s="1032"/>
      <c r="I43" s="1032"/>
      <c r="J43" s="1032"/>
      <c r="K43" s="1032"/>
      <c r="L43" s="1032"/>
      <c r="M43" s="1033"/>
      <c r="N43" s="1037"/>
      <c r="O43" s="1038"/>
      <c r="P43" s="1038"/>
      <c r="Q43" s="1038"/>
      <c r="R43" s="1038"/>
      <c r="S43" s="1039"/>
      <c r="T43" s="1042"/>
      <c r="U43" s="1043"/>
      <c r="V43" s="1046"/>
      <c r="W43" s="1047"/>
      <c r="X43" s="1031"/>
      <c r="Y43" s="1032"/>
      <c r="Z43" s="1032"/>
      <c r="AA43" s="1033"/>
      <c r="AB43" s="1031"/>
      <c r="AC43" s="1032"/>
      <c r="AD43" s="1033"/>
      <c r="AE43" s="1050"/>
      <c r="AF43" s="1051"/>
      <c r="AG43" s="1050"/>
      <c r="AH43" s="1051"/>
      <c r="AI43" s="1054"/>
      <c r="AJ43" s="1055"/>
      <c r="AK43" s="1019"/>
      <c r="AL43" s="1020"/>
      <c r="AM43" s="1020"/>
      <c r="AN43" s="1021"/>
      <c r="AO43" s="1025"/>
      <c r="AP43" s="1026"/>
      <c r="AQ43" s="1027"/>
      <c r="AR43" s="135"/>
      <c r="AS43" s="135"/>
      <c r="AT43" s="135"/>
      <c r="AU43" s="1004"/>
      <c r="AV43" s="1066"/>
    </row>
    <row r="44" spans="2:49" ht="15.95" hidden="1" customHeight="1" x14ac:dyDescent="0.25">
      <c r="B44" s="1063">
        <v>15</v>
      </c>
      <c r="C44" s="1028"/>
      <c r="D44" s="1029"/>
      <c r="E44" s="1029"/>
      <c r="F44" s="1029"/>
      <c r="G44" s="1029"/>
      <c r="H44" s="1029"/>
      <c r="I44" s="1029"/>
      <c r="J44" s="1029"/>
      <c r="K44" s="1029"/>
      <c r="L44" s="1029"/>
      <c r="M44" s="1030"/>
      <c r="N44" s="1034" t="str">
        <f>IF(C44="","",INDEX(PMEMOTOR[Base Desc 1],MATCH(C44,PMEMOTOR[Eff Desc 1],0)))</f>
        <v/>
      </c>
      <c r="O44" s="1035"/>
      <c r="P44" s="1035"/>
      <c r="Q44" s="1035"/>
      <c r="R44" s="1035"/>
      <c r="S44" s="1036"/>
      <c r="T44" s="1040" t="str">
        <f>IF(C44="","",INDEX(PMEMOTOR[Unit of Measure],MATCH(C44,PMEMOTOR[Eff Desc 1],0)))</f>
        <v/>
      </c>
      <c r="U44" s="1041"/>
      <c r="V44" s="1044"/>
      <c r="W44" s="1045"/>
      <c r="X44" s="1028"/>
      <c r="Y44" s="1029"/>
      <c r="Z44" s="1029"/>
      <c r="AA44" s="1030"/>
      <c r="AB44" s="1028"/>
      <c r="AC44" s="1029"/>
      <c r="AD44" s="1030"/>
      <c r="AE44" s="1048"/>
      <c r="AF44" s="1049"/>
      <c r="AG44" s="1048"/>
      <c r="AH44" s="1049"/>
      <c r="AI44" s="1052" t="str">
        <f>IF(C44="","",INDEX(PMEMOTOR[Inc Rate Unit],MATCH(C44,PMEMOTOR[Eff Desc 1],0)))</f>
        <v/>
      </c>
      <c r="AJ44" s="1053"/>
      <c r="AK44" s="1016" t="str">
        <f>IF(OR(C44="",V44="",X44="",AB44="",AE44="",AG44=""),"",ROUND(V44*INDEX(PMEMOTOR[Savings per Unit kWh],MATCH(C44,PMEMOTOR[Eff Desc 1],0)),0))</f>
        <v/>
      </c>
      <c r="AL44" s="1017"/>
      <c r="AM44" s="1017"/>
      <c r="AN44" s="1018"/>
      <c r="AO44" s="1022" t="str">
        <f t="shared" ref="AO44" si="17">IF(OR(C44="",V44="",X44="",AB44="",AE44="",AG44=""),"",MIN(AU44,ROUND(V44*AI44,2)))</f>
        <v/>
      </c>
      <c r="AP44" s="1023"/>
      <c r="AQ44" s="1024"/>
      <c r="AR44" s="135"/>
      <c r="AS44" s="135"/>
      <c r="AT44" s="135"/>
      <c r="AU44" s="1003" t="str">
        <f t="shared" ref="AU44" si="18">IF(OR(,V44="",X44="",AB44="",AE44="",AG44=""),"",ROUND((AE44+AG44)*V44,2))</f>
        <v/>
      </c>
      <c r="AV44" s="1065" t="str">
        <f>IF(OR(C44="",V44="",X44="",AB44="",AE44="",AG44=""),"",ROUND(V44*INDEX(PMEMOTOR[Savings per Unit kW],MATCH(C44,PMEMOTOR[Eff Desc 1],0)),4))</f>
        <v/>
      </c>
    </row>
    <row r="45" spans="2:49" ht="15.95" hidden="1" customHeight="1" x14ac:dyDescent="0.25">
      <c r="B45" s="1063"/>
      <c r="C45" s="1031"/>
      <c r="D45" s="1032"/>
      <c r="E45" s="1032"/>
      <c r="F45" s="1032"/>
      <c r="G45" s="1032"/>
      <c r="H45" s="1032"/>
      <c r="I45" s="1032"/>
      <c r="J45" s="1032"/>
      <c r="K45" s="1032"/>
      <c r="L45" s="1032"/>
      <c r="M45" s="1033"/>
      <c r="N45" s="1037"/>
      <c r="O45" s="1038"/>
      <c r="P45" s="1038"/>
      <c r="Q45" s="1038"/>
      <c r="R45" s="1038"/>
      <c r="S45" s="1039"/>
      <c r="T45" s="1042"/>
      <c r="U45" s="1043"/>
      <c r="V45" s="1046"/>
      <c r="W45" s="1047"/>
      <c r="X45" s="1031"/>
      <c r="Y45" s="1032"/>
      <c r="Z45" s="1032"/>
      <c r="AA45" s="1033"/>
      <c r="AB45" s="1031"/>
      <c r="AC45" s="1032"/>
      <c r="AD45" s="1033"/>
      <c r="AE45" s="1050"/>
      <c r="AF45" s="1051"/>
      <c r="AG45" s="1050"/>
      <c r="AH45" s="1051"/>
      <c r="AI45" s="1054"/>
      <c r="AJ45" s="1055"/>
      <c r="AK45" s="1019"/>
      <c r="AL45" s="1020"/>
      <c r="AM45" s="1020"/>
      <c r="AN45" s="1021"/>
      <c r="AO45" s="1025"/>
      <c r="AP45" s="1026"/>
      <c r="AQ45" s="1027"/>
      <c r="AR45" s="135"/>
      <c r="AS45" s="135"/>
      <c r="AT45" s="135"/>
      <c r="AU45" s="1004"/>
      <c r="AV45" s="1066"/>
    </row>
    <row r="46" spans="2:49" ht="15.95" hidden="1" customHeight="1" x14ac:dyDescent="0.25">
      <c r="B46" s="1062">
        <v>16</v>
      </c>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row>
    <row r="47" spans="2:49" ht="15.95" hidden="1" customHeight="1" x14ac:dyDescent="0.25">
      <c r="B47" s="1062"/>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row>
    <row r="48" spans="2:49" ht="15.95" hidden="1" customHeight="1" x14ac:dyDescent="0.25">
      <c r="B48" s="1062">
        <v>17</v>
      </c>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row>
    <row r="49" spans="2:43" ht="15.95" hidden="1" customHeight="1" x14ac:dyDescent="0.25">
      <c r="B49" s="1062"/>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row>
    <row r="50" spans="2:43" ht="15.95" hidden="1" customHeight="1" x14ac:dyDescent="0.25">
      <c r="B50" s="1062">
        <v>18</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row>
    <row r="51" spans="2:43" ht="15.95" hidden="1" customHeight="1" x14ac:dyDescent="0.25">
      <c r="B51" s="1062"/>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row>
    <row r="52" spans="2:43" ht="15.95" hidden="1" customHeight="1" x14ac:dyDescent="0.25">
      <c r="B52" s="1062">
        <v>19</v>
      </c>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row>
    <row r="53" spans="2:43" ht="15.95" hidden="1" customHeight="1" x14ac:dyDescent="0.25">
      <c r="B53" s="1062"/>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row>
    <row r="54" spans="2:43" ht="15.95" hidden="1" customHeight="1" x14ac:dyDescent="0.25">
      <c r="B54" s="1062">
        <v>20</v>
      </c>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row>
    <row r="55" spans="2:43" ht="15.95" hidden="1" customHeight="1" x14ac:dyDescent="0.25">
      <c r="B55" s="1062"/>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row>
    <row r="56" spans="2:43" ht="15.95" hidden="1" customHeight="1" x14ac:dyDescent="0.25">
      <c r="B56" s="1062">
        <v>21</v>
      </c>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row>
    <row r="57" spans="2:43" ht="15.95" hidden="1" customHeight="1" x14ac:dyDescent="0.25">
      <c r="B57" s="1062"/>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row>
    <row r="58" spans="2:43" ht="15.95" hidden="1" customHeight="1" x14ac:dyDescent="0.25">
      <c r="B58" s="1062">
        <v>22</v>
      </c>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row>
    <row r="59" spans="2:43" ht="15.95" hidden="1" customHeight="1" x14ac:dyDescent="0.25">
      <c r="B59" s="1062"/>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row>
    <row r="60" spans="2:43" ht="15.95" hidden="1" customHeight="1" x14ac:dyDescent="0.25">
      <c r="B60" s="1062">
        <v>23</v>
      </c>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row>
    <row r="61" spans="2:43" ht="15.95" hidden="1" customHeight="1" x14ac:dyDescent="0.25">
      <c r="B61" s="1062"/>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row>
    <row r="62" spans="2:43" ht="15.95" hidden="1" customHeight="1" x14ac:dyDescent="0.25">
      <c r="B62" s="1062">
        <v>24</v>
      </c>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row>
    <row r="63" spans="2:43" ht="15.95" hidden="1" customHeight="1" x14ac:dyDescent="0.25">
      <c r="B63" s="1062"/>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row>
    <row r="64" spans="2:43" ht="15.95" hidden="1" customHeight="1" x14ac:dyDescent="0.25">
      <c r="B64" s="1062">
        <v>25</v>
      </c>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row>
    <row r="65" spans="2:43" ht="15.95" hidden="1" customHeight="1" x14ac:dyDescent="0.25">
      <c r="B65" s="1062"/>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row>
    <row r="66" spans="2:43" ht="15.95" hidden="1" customHeight="1" x14ac:dyDescent="0.25">
      <c r="B66" s="1062">
        <v>26</v>
      </c>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row>
    <row r="67" spans="2:43" ht="15.95" hidden="1" customHeight="1" x14ac:dyDescent="0.25">
      <c r="B67" s="1062"/>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row>
    <row r="68" spans="2:43" ht="15.95" hidden="1" customHeight="1" x14ac:dyDescent="0.25">
      <c r="B68" s="1062">
        <v>27</v>
      </c>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row>
    <row r="69" spans="2:43" ht="15.95" hidden="1" customHeight="1" x14ac:dyDescent="0.25">
      <c r="B69" s="1062"/>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row>
    <row r="70" spans="2:43" ht="15.95" hidden="1" customHeight="1" x14ac:dyDescent="0.25">
      <c r="B70" s="1062">
        <v>28</v>
      </c>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row>
    <row r="71" spans="2:43" ht="15.95" hidden="1" customHeight="1" x14ac:dyDescent="0.25">
      <c r="B71" s="1062"/>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row>
    <row r="72" spans="2:43" ht="15.95" hidden="1" customHeight="1" x14ac:dyDescent="0.25">
      <c r="B72" s="1062">
        <v>29</v>
      </c>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row>
    <row r="73" spans="2:43" ht="15.95" hidden="1" customHeight="1" x14ac:dyDescent="0.25">
      <c r="B73" s="1062"/>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row>
    <row r="74" spans="2:43" ht="15.95" hidden="1" customHeight="1" x14ac:dyDescent="0.25">
      <c r="B74" s="1062">
        <v>30</v>
      </c>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row>
    <row r="75" spans="2:43" ht="15.95" hidden="1" customHeight="1" x14ac:dyDescent="0.25">
      <c r="B75" s="1062"/>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row>
    <row r="76" spans="2:43" ht="15.95" hidden="1" customHeight="1" x14ac:dyDescent="0.25">
      <c r="B76" s="1062">
        <v>31</v>
      </c>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row>
    <row r="77" spans="2:43" ht="15.95" hidden="1" customHeight="1" x14ac:dyDescent="0.25">
      <c r="B77" s="1062"/>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row>
    <row r="78" spans="2:43" ht="15.95" hidden="1" customHeight="1" x14ac:dyDescent="0.25">
      <c r="B78" s="1062">
        <v>32</v>
      </c>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row>
    <row r="79" spans="2:43" ht="15.95" hidden="1" customHeight="1" x14ac:dyDescent="0.25">
      <c r="B79" s="1062"/>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row>
    <row r="80" spans="2:43" ht="15.95" hidden="1" customHeight="1" x14ac:dyDescent="0.25">
      <c r="B80" s="1062">
        <v>33</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row>
    <row r="81" spans="2:43" ht="15.95" hidden="1" customHeight="1" x14ac:dyDescent="0.25">
      <c r="B81" s="1062"/>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row>
    <row r="82" spans="2:43" ht="15.95" hidden="1" customHeight="1" x14ac:dyDescent="0.25">
      <c r="B82" s="1062">
        <v>34</v>
      </c>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row>
    <row r="83" spans="2:43" ht="15.95" hidden="1" customHeight="1" x14ac:dyDescent="0.25">
      <c r="B83" s="1062"/>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row>
    <row r="84" spans="2:43" ht="15.95" hidden="1" customHeight="1" x14ac:dyDescent="0.25">
      <c r="B84" s="1062">
        <v>35</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row>
    <row r="85" spans="2:43" ht="15.95" hidden="1" customHeight="1" x14ac:dyDescent="0.25">
      <c r="B85" s="1062"/>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row>
    <row r="86" spans="2:43" ht="15.95" hidden="1" customHeight="1" x14ac:dyDescent="0.25">
      <c r="B86" s="1062">
        <v>36</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row>
    <row r="87" spans="2:43" ht="15.95" hidden="1" customHeight="1" x14ac:dyDescent="0.25">
      <c r="B87" s="1062"/>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row>
    <row r="88" spans="2:43" ht="15.95" hidden="1" customHeight="1" x14ac:dyDescent="0.25">
      <c r="B88" s="1062">
        <v>37</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row>
    <row r="89" spans="2:43" ht="15.95" hidden="1" customHeight="1" x14ac:dyDescent="0.25">
      <c r="B89" s="1062"/>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row>
    <row r="90" spans="2:43" ht="15.95" hidden="1" customHeight="1" x14ac:dyDescent="0.25">
      <c r="B90" s="1062">
        <v>38</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row>
    <row r="91" spans="2:43" ht="15.95" hidden="1" customHeight="1" x14ac:dyDescent="0.25">
      <c r="B91" s="1062"/>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row>
    <row r="92" spans="2:43" ht="15.95" hidden="1" customHeight="1" x14ac:dyDescent="0.25">
      <c r="B92" s="1062">
        <v>39</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row>
    <row r="93" spans="2:43" ht="15.95" hidden="1" customHeight="1" x14ac:dyDescent="0.25">
      <c r="B93" s="1062"/>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row>
    <row r="94" spans="2:43" ht="15.95" hidden="1" customHeight="1" x14ac:dyDescent="0.25">
      <c r="B94" s="1062">
        <v>40</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row>
    <row r="95" spans="2:43" ht="15.95" hidden="1" customHeight="1" x14ac:dyDescent="0.25">
      <c r="B95" s="1062"/>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row>
    <row r="96" spans="2:43" ht="15.95" hidden="1" customHeight="1" x14ac:dyDescent="0.25">
      <c r="B96" s="1062">
        <v>41</v>
      </c>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row>
    <row r="97" spans="2:43" ht="15.95" hidden="1" customHeight="1" x14ac:dyDescent="0.25">
      <c r="B97" s="1062"/>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row>
    <row r="98" spans="2:43" ht="15.95" hidden="1" customHeight="1" x14ac:dyDescent="0.25">
      <c r="B98" s="1062">
        <v>42</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row>
    <row r="99" spans="2:43" ht="15.95" hidden="1" customHeight="1" x14ac:dyDescent="0.25">
      <c r="B99" s="1062"/>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row>
    <row r="100" spans="2:43" ht="15.95" hidden="1" customHeight="1" x14ac:dyDescent="0.25">
      <c r="B100" s="1062">
        <v>43</v>
      </c>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row>
    <row r="101" spans="2:43" ht="15.95" hidden="1" customHeight="1" x14ac:dyDescent="0.25">
      <c r="B101" s="1062"/>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row>
    <row r="102" spans="2:43" ht="15.95" hidden="1" customHeight="1" x14ac:dyDescent="0.25">
      <c r="B102" s="1062">
        <v>44</v>
      </c>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row>
    <row r="103" spans="2:43" ht="15.95" hidden="1" customHeight="1" x14ac:dyDescent="0.25">
      <c r="B103" s="1062"/>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row>
    <row r="104" spans="2:43" ht="15.95" hidden="1" customHeight="1" x14ac:dyDescent="0.25">
      <c r="B104" s="1062">
        <v>45</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row>
    <row r="105" spans="2:43" ht="15.95" hidden="1" customHeight="1" x14ac:dyDescent="0.25">
      <c r="B105" s="1062"/>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row>
    <row r="106" spans="2:43" ht="15.95" hidden="1" customHeight="1" x14ac:dyDescent="0.25">
      <c r="B106" s="1062">
        <v>46</v>
      </c>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row>
    <row r="107" spans="2:43" ht="15.95" hidden="1" customHeight="1" x14ac:dyDescent="0.25">
      <c r="B107" s="1062"/>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row>
    <row r="108" spans="2:43" ht="15.95" hidden="1" customHeight="1" x14ac:dyDescent="0.25">
      <c r="B108" s="1062">
        <v>47</v>
      </c>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row>
    <row r="109" spans="2:43" ht="15.95" hidden="1" customHeight="1" x14ac:dyDescent="0.25">
      <c r="B109" s="1062"/>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row>
    <row r="110" spans="2:43" ht="15.95" hidden="1" customHeight="1" x14ac:dyDescent="0.25">
      <c r="B110" s="1062">
        <v>48</v>
      </c>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row>
    <row r="111" spans="2:43" ht="15.95" hidden="1" customHeight="1" x14ac:dyDescent="0.25">
      <c r="B111" s="1062"/>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row>
    <row r="112" spans="2:43" ht="15.95" hidden="1" customHeight="1" x14ac:dyDescent="0.25">
      <c r="B112" s="1062">
        <v>49</v>
      </c>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row>
    <row r="113" spans="2:43" ht="15.95" hidden="1" customHeight="1" x14ac:dyDescent="0.25">
      <c r="B113" s="1062"/>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row>
    <row r="114" spans="2:43" ht="15.95" hidden="1" customHeight="1" x14ac:dyDescent="0.25">
      <c r="B114" s="1062">
        <v>50</v>
      </c>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row>
    <row r="115" spans="2:43" ht="15.95" hidden="1" customHeight="1" x14ac:dyDescent="0.25">
      <c r="B115" s="1062"/>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row>
    <row r="116" spans="2:43" ht="15.95" hidden="1" customHeight="1" x14ac:dyDescent="0.25">
      <c r="B116" s="1062">
        <v>51</v>
      </c>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row>
    <row r="117" spans="2:43" ht="15.95" hidden="1" customHeight="1" x14ac:dyDescent="0.25">
      <c r="B117" s="1062"/>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row>
    <row r="118" spans="2:43" ht="15.95" hidden="1" customHeight="1" x14ac:dyDescent="0.25">
      <c r="B118" s="1062">
        <v>52</v>
      </c>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row>
    <row r="119" spans="2:43" ht="15.95" hidden="1" customHeight="1" x14ac:dyDescent="0.25">
      <c r="B119" s="1062"/>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row>
    <row r="120" spans="2:43" ht="15.95" hidden="1" customHeight="1" x14ac:dyDescent="0.25">
      <c r="B120" s="1062">
        <v>53</v>
      </c>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row>
    <row r="121" spans="2:43" ht="15.95" hidden="1" customHeight="1" x14ac:dyDescent="0.25">
      <c r="B121" s="1062"/>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row>
    <row r="122" spans="2:43" ht="15.95" hidden="1" customHeight="1" x14ac:dyDescent="0.25">
      <c r="B122" s="1062">
        <v>54</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row>
    <row r="123" spans="2:43" ht="15.95" hidden="1" customHeight="1" x14ac:dyDescent="0.25">
      <c r="B123" s="1062"/>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row>
    <row r="124" spans="2:43" ht="15.95" hidden="1" customHeight="1" x14ac:dyDescent="0.25">
      <c r="B124" s="1062">
        <v>55</v>
      </c>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row>
    <row r="125" spans="2:43" ht="15.95" hidden="1" customHeight="1" x14ac:dyDescent="0.25">
      <c r="B125" s="1062"/>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row>
    <row r="126" spans="2:43" ht="15.95" hidden="1" customHeight="1" x14ac:dyDescent="0.25">
      <c r="B126" s="1062">
        <v>56</v>
      </c>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row>
    <row r="127" spans="2:43" ht="15.95" hidden="1" customHeight="1" x14ac:dyDescent="0.25">
      <c r="B127" s="1062"/>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row>
    <row r="128" spans="2:43" ht="15.95" hidden="1" customHeight="1" x14ac:dyDescent="0.25">
      <c r="B128" s="1062">
        <v>57</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row>
    <row r="129" spans="2:43" ht="15.95" hidden="1" customHeight="1" x14ac:dyDescent="0.25">
      <c r="B129" s="1062"/>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row>
    <row r="130" spans="2:43" ht="15.95" hidden="1" customHeight="1" x14ac:dyDescent="0.25">
      <c r="B130" s="1062">
        <v>58</v>
      </c>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row>
    <row r="131" spans="2:43" ht="15.95" hidden="1" customHeight="1" x14ac:dyDescent="0.25">
      <c r="B131" s="1062"/>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row>
    <row r="132" spans="2:43" ht="15.95" hidden="1" customHeight="1" x14ac:dyDescent="0.25">
      <c r="B132" s="1062">
        <v>59</v>
      </c>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row>
    <row r="133" spans="2:43" ht="15.95" hidden="1" customHeight="1" x14ac:dyDescent="0.25">
      <c r="B133" s="1062"/>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row>
    <row r="134" spans="2:43" ht="15.95" hidden="1" customHeight="1" x14ac:dyDescent="0.25">
      <c r="B134" s="1062">
        <v>60</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row>
    <row r="135" spans="2:43" ht="15.95" hidden="1" customHeight="1" x14ac:dyDescent="0.25">
      <c r="B135" s="1062"/>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row>
    <row r="136" spans="2:43" ht="15.95" hidden="1" customHeight="1" x14ac:dyDescent="0.25">
      <c r="B136" s="1062">
        <v>61</v>
      </c>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row>
    <row r="137" spans="2:43" ht="15.95" hidden="1" customHeight="1" x14ac:dyDescent="0.25">
      <c r="B137" s="1062"/>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row>
    <row r="138" spans="2:43" ht="15.95" hidden="1" customHeight="1" x14ac:dyDescent="0.25">
      <c r="B138" s="1062">
        <v>62</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row>
    <row r="139" spans="2:43" ht="15.95" hidden="1" customHeight="1" x14ac:dyDescent="0.25">
      <c r="B139" s="1062"/>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row>
    <row r="140" spans="2:43" ht="15.95" hidden="1" customHeight="1" x14ac:dyDescent="0.25">
      <c r="B140" s="1062">
        <v>63</v>
      </c>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row>
    <row r="141" spans="2:43" ht="15.95" hidden="1" customHeight="1" x14ac:dyDescent="0.25">
      <c r="B141" s="1062"/>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row>
    <row r="142" spans="2:43" ht="15.95" hidden="1" customHeight="1" x14ac:dyDescent="0.25">
      <c r="B142" s="1062">
        <v>64</v>
      </c>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row>
    <row r="143" spans="2:43" ht="15.95" hidden="1" customHeight="1" x14ac:dyDescent="0.25">
      <c r="B143" s="1062"/>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row>
    <row r="144" spans="2:43" ht="15.95" hidden="1" customHeight="1" x14ac:dyDescent="0.25">
      <c r="B144" s="1062">
        <v>65</v>
      </c>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row>
    <row r="145" spans="2:43" ht="15.95" hidden="1" customHeight="1" x14ac:dyDescent="0.25">
      <c r="B145" s="1062"/>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row>
    <row r="146" spans="2:43" ht="15.95" hidden="1" customHeight="1" x14ac:dyDescent="0.25">
      <c r="B146" s="1062">
        <v>66</v>
      </c>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row>
    <row r="147" spans="2:43" ht="15.95" hidden="1" customHeight="1" x14ac:dyDescent="0.25">
      <c r="B147" s="1062"/>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row>
    <row r="148" spans="2:43" ht="15.95" hidden="1" customHeight="1" x14ac:dyDescent="0.25">
      <c r="B148" s="1062">
        <v>67</v>
      </c>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row>
    <row r="149" spans="2:43" ht="15.95" hidden="1" customHeight="1" x14ac:dyDescent="0.25">
      <c r="B149" s="1062"/>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row>
    <row r="150" spans="2:43" ht="15.95" hidden="1" customHeight="1" x14ac:dyDescent="0.25">
      <c r="B150" s="1062">
        <v>68</v>
      </c>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row>
    <row r="151" spans="2:43" ht="15.95" hidden="1" customHeight="1" x14ac:dyDescent="0.25">
      <c r="B151" s="1062"/>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row>
    <row r="152" spans="2:43" ht="15.95" hidden="1" customHeight="1" x14ac:dyDescent="0.25">
      <c r="B152" s="1062">
        <v>69</v>
      </c>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row>
    <row r="153" spans="2:43" ht="15.95" hidden="1" customHeight="1" x14ac:dyDescent="0.25">
      <c r="B153" s="1062"/>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row>
    <row r="154" spans="2:43" ht="15.95" hidden="1" customHeight="1" x14ac:dyDescent="0.25">
      <c r="B154" s="1062">
        <v>70</v>
      </c>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row>
    <row r="155" spans="2:43" ht="15.95" hidden="1" customHeight="1" x14ac:dyDescent="0.25">
      <c r="B155" s="1062"/>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row>
    <row r="156" spans="2:43" ht="15.95" hidden="1" customHeight="1" x14ac:dyDescent="0.25">
      <c r="B156" s="1062">
        <v>71</v>
      </c>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row>
    <row r="157" spans="2:43" ht="15.95" hidden="1" customHeight="1" x14ac:dyDescent="0.25">
      <c r="B157" s="1062"/>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row>
    <row r="158" spans="2:43" ht="15.95" hidden="1" customHeight="1" x14ac:dyDescent="0.25">
      <c r="B158" s="1062">
        <v>72</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3" ht="15.95" hidden="1" customHeight="1" x14ac:dyDescent="0.25">
      <c r="B159" s="1062"/>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3" ht="15.95" hidden="1" customHeight="1" x14ac:dyDescent="0.25">
      <c r="B160" s="1062">
        <v>73</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hidden="1" customHeight="1" x14ac:dyDescent="0.25">
      <c r="B161" s="1062"/>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hidden="1" customHeight="1" x14ac:dyDescent="0.25">
      <c r="B162" s="1062">
        <v>74</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hidden="1" customHeight="1" x14ac:dyDescent="0.25">
      <c r="B163" s="1062"/>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hidden="1" customHeight="1" x14ac:dyDescent="0.25">
      <c r="B164" s="1062">
        <v>75</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hidden="1" customHeight="1" x14ac:dyDescent="0.25">
      <c r="B165" s="1062"/>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hidden="1" customHeight="1" x14ac:dyDescent="0.25">
      <c r="B166" s="1062">
        <v>76</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hidden="1" customHeight="1" x14ac:dyDescent="0.25">
      <c r="B167" s="1062"/>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hidden="1" customHeight="1" x14ac:dyDescent="0.25">
      <c r="B168" s="1062">
        <v>77</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hidden="1" customHeight="1" x14ac:dyDescent="0.25">
      <c r="B169" s="1062"/>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hidden="1" customHeight="1" x14ac:dyDescent="0.25">
      <c r="B170" s="1062">
        <v>78</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hidden="1" customHeight="1" x14ac:dyDescent="0.25">
      <c r="B171" s="1062"/>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hidden="1" customHeight="1" x14ac:dyDescent="0.25">
      <c r="B172" s="1062">
        <v>79</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hidden="1" customHeight="1" x14ac:dyDescent="0.25">
      <c r="B173" s="1062"/>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hidden="1" customHeight="1" x14ac:dyDescent="0.25">
      <c r="B174" s="1062">
        <v>80</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hidden="1" customHeight="1" x14ac:dyDescent="0.25">
      <c r="B175" s="1062"/>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hidden="1" customHeight="1" x14ac:dyDescent="0.25">
      <c r="B176" s="1062">
        <v>81</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hidden="1" customHeight="1" x14ac:dyDescent="0.25">
      <c r="B177" s="1062"/>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hidden="1" customHeight="1" x14ac:dyDescent="0.25">
      <c r="B178" s="1062">
        <v>82</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hidden="1" customHeight="1" x14ac:dyDescent="0.25">
      <c r="B179" s="1062"/>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hidden="1" customHeight="1" x14ac:dyDescent="0.25">
      <c r="B180" s="1062">
        <v>83</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hidden="1" customHeight="1" x14ac:dyDescent="0.25">
      <c r="B181" s="1062"/>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hidden="1" customHeight="1" x14ac:dyDescent="0.25">
      <c r="B182" s="1062">
        <v>84</v>
      </c>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hidden="1" customHeight="1" x14ac:dyDescent="0.25">
      <c r="B183" s="1062"/>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hidden="1" customHeight="1" x14ac:dyDescent="0.25">
      <c r="B184" s="1062">
        <v>85</v>
      </c>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hidden="1" customHeight="1" x14ac:dyDescent="0.25">
      <c r="B185" s="1062"/>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hidden="1" customHeight="1" x14ac:dyDescent="0.25">
      <c r="B186" s="1062">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hidden="1" customHeight="1" x14ac:dyDescent="0.25">
      <c r="B187" s="1062"/>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hidden="1" customHeight="1" x14ac:dyDescent="0.25">
      <c r="B188" s="1062">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hidden="1" customHeight="1" x14ac:dyDescent="0.25">
      <c r="B189" s="1062"/>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hidden="1" customHeight="1" x14ac:dyDescent="0.25">
      <c r="B190" s="1062">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hidden="1" customHeight="1" x14ac:dyDescent="0.25">
      <c r="B191" s="1062"/>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hidden="1" customHeight="1" x14ac:dyDescent="0.25">
      <c r="B192" s="1062">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7" ht="15.95" hidden="1" customHeight="1" x14ac:dyDescent="0.25">
      <c r="B193" s="1062"/>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7" ht="15.95" hidden="1" customHeight="1" x14ac:dyDescent="0.25">
      <c r="B194" s="1062">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7" ht="15.95" hidden="1" customHeight="1" x14ac:dyDescent="0.25">
      <c r="B195" s="1062"/>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7" ht="15.95" hidden="1" customHeight="1" x14ac:dyDescent="0.25">
      <c r="B196" s="1062">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7" ht="15.95" hidden="1" customHeight="1" x14ac:dyDescent="0.25">
      <c r="B197" s="1062"/>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7" ht="15.95" hidden="1" customHeight="1" x14ac:dyDescent="0.25">
      <c r="B198" s="1062">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7" ht="15.95" hidden="1" customHeight="1" x14ac:dyDescent="0.25">
      <c r="B199" s="1062"/>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7" ht="15.95" customHeight="1" x14ac:dyDescent="0.25">
      <c r="B200" s="136" t="str">
        <f>FOOT1</f>
        <v>Ameren Missouri BizSavers program</v>
      </c>
      <c r="C200" s="136"/>
      <c r="D200" s="136"/>
      <c r="E200" s="136"/>
      <c r="F200" s="136"/>
      <c r="G200" s="136"/>
      <c r="H200" s="136"/>
      <c r="I200" s="136"/>
      <c r="J200" s="136"/>
      <c r="K200" s="136"/>
      <c r="L200" s="136"/>
      <c r="M200" s="729" t="str">
        <f>FOOTDISCLAIM</f>
        <v/>
      </c>
      <c r="N200" s="729"/>
      <c r="O200" s="729"/>
      <c r="P200" s="729"/>
      <c r="Q200" s="729"/>
      <c r="R200" s="729"/>
      <c r="S200" s="729"/>
      <c r="T200" s="729"/>
      <c r="U200" s="729"/>
      <c r="V200" s="729"/>
      <c r="W200" s="729"/>
      <c r="X200" s="729"/>
      <c r="Y200" s="729"/>
      <c r="Z200" s="729"/>
      <c r="AA200" s="729"/>
      <c r="AB200" s="729"/>
      <c r="AC200" s="729"/>
      <c r="AD200" s="729"/>
      <c r="AE200" s="729"/>
      <c r="AF200" s="729"/>
      <c r="AG200" s="729"/>
      <c r="AH200" s="136"/>
      <c r="AI200" s="136"/>
      <c r="AJ200" s="136"/>
      <c r="AK200" s="136"/>
      <c r="AL200" s="136"/>
      <c r="AM200" s="136"/>
      <c r="AN200" s="136"/>
      <c r="AO200" s="136"/>
      <c r="AP200" s="136"/>
      <c r="AQ200" s="136"/>
      <c r="AR200" s="300" t="str">
        <f>FOOT4</f>
        <v/>
      </c>
      <c r="AU200" s="1067">
        <f>SUM(AU18:AU199)</f>
        <v>0</v>
      </c>
    </row>
    <row r="201" spans="2:47" ht="15.95" customHeight="1" x14ac:dyDescent="0.25">
      <c r="B201" s="136" t="str">
        <f>FOOT2</f>
        <v>Toll-Free 866-941-7299</v>
      </c>
      <c r="C201" s="136"/>
      <c r="D201" s="136"/>
      <c r="E201" s="136"/>
      <c r="F201" s="136"/>
      <c r="G201" s="136"/>
      <c r="H201" s="136"/>
      <c r="I201" s="136"/>
      <c r="J201" s="136"/>
      <c r="K201" s="136"/>
      <c r="L201" s="136"/>
      <c r="M201" s="729"/>
      <c r="N201" s="729"/>
      <c r="O201" s="729"/>
      <c r="P201" s="729"/>
      <c r="Q201" s="729"/>
      <c r="R201" s="729"/>
      <c r="S201" s="729"/>
      <c r="T201" s="729"/>
      <c r="U201" s="729"/>
      <c r="V201" s="729"/>
      <c r="W201" s="729"/>
      <c r="X201" s="729"/>
      <c r="Y201" s="729"/>
      <c r="Z201" s="729"/>
      <c r="AA201" s="729"/>
      <c r="AB201" s="729"/>
      <c r="AC201" s="729"/>
      <c r="AD201" s="729"/>
      <c r="AE201" s="729"/>
      <c r="AF201" s="729"/>
      <c r="AG201" s="729"/>
      <c r="AH201" s="136"/>
      <c r="AI201" s="136"/>
      <c r="AJ201" s="136"/>
      <c r="AK201" s="136"/>
      <c r="AL201" s="136"/>
      <c r="AM201" s="136"/>
      <c r="AN201" s="136"/>
      <c r="AO201" s="136"/>
      <c r="AP201" s="136"/>
      <c r="AQ201" s="136"/>
      <c r="AR201" s="300" t="str">
        <f>FOOT5</f>
        <v/>
      </c>
      <c r="AU201" s="1068"/>
    </row>
    <row r="202" spans="2:47" ht="15.95" customHeight="1" x14ac:dyDescent="0.25">
      <c r="B202" s="138" t="str">
        <f>FOOT3</f>
        <v>BizSavers@ameren.com</v>
      </c>
      <c r="C202" s="136"/>
      <c r="D202" s="136"/>
      <c r="E202" s="136"/>
      <c r="F202" s="136"/>
      <c r="G202" s="136"/>
      <c r="H202" s="136"/>
      <c r="I202" s="136"/>
      <c r="J202" s="136"/>
      <c r="K202" s="136"/>
      <c r="L202" s="136"/>
      <c r="M202" s="139"/>
      <c r="N202" s="136"/>
      <c r="O202" s="136"/>
      <c r="P202" s="139"/>
      <c r="Q202" s="139"/>
      <c r="R202" s="139"/>
      <c r="S202" s="139"/>
      <c r="T202" s="139"/>
      <c r="U202" s="139"/>
      <c r="V202" s="139"/>
      <c r="W202" s="140" t="str">
        <f>VERSION</f>
        <v>New Construction v3.8.0</v>
      </c>
      <c r="X202" s="139"/>
      <c r="Y202" s="139"/>
      <c r="Z202" s="139"/>
      <c r="AA202" s="139"/>
      <c r="AB202" s="139"/>
      <c r="AC202" s="139"/>
      <c r="AD202" s="139"/>
      <c r="AE202" s="136"/>
      <c r="AF202" s="136"/>
      <c r="AG202" s="136"/>
      <c r="AH202" s="136"/>
      <c r="AI202" s="136"/>
      <c r="AJ202" s="136"/>
      <c r="AK202" s="136"/>
      <c r="AL202" s="136"/>
      <c r="AM202" s="136"/>
      <c r="AN202" s="136"/>
      <c r="AO202" s="136"/>
      <c r="AP202" s="136"/>
      <c r="AQ202" s="136"/>
      <c r="AR202" s="300" t="str">
        <f>FOOT6</f>
        <v>Product of TRC Companies</v>
      </c>
    </row>
    <row r="203" spans="2:47" ht="15" hidden="1" customHeight="1" x14ac:dyDescent="0.25"/>
    <row r="204" spans="2:47" ht="15" hidden="1" customHeight="1" x14ac:dyDescent="0.25"/>
    <row r="205" spans="2:47" ht="15" hidden="1" customHeight="1" x14ac:dyDescent="0.25"/>
  </sheetData>
  <sheetProtection algorithmName="SHA-512" hashValue="9U8M31+LxAsjtfMHNiGYEGv7JleUfpnBv6a48v61FqkEgcr3tuQpLEzSXiMGtMkMAxd260tjsdbB55E2mwesrg==" saltValue="Y/b5YiISD8HpRC6NKK9fNA==" spinCount="100000" sheet="1" objects="1" scenarios="1" selectLockedCells="1"/>
  <mergeCells count="315">
    <mergeCell ref="AI44:AJ45"/>
    <mergeCell ref="AK44:AN45"/>
    <mergeCell ref="AO44:AQ45"/>
    <mergeCell ref="AU44:AU45"/>
    <mergeCell ref="AV44:AV45"/>
    <mergeCell ref="B44:B45"/>
    <mergeCell ref="C44:M45"/>
    <mergeCell ref="N44:S45"/>
    <mergeCell ref="T44:U45"/>
    <mergeCell ref="V44:W45"/>
    <mergeCell ref="X44:AA45"/>
    <mergeCell ref="AB44:AD45"/>
    <mergeCell ref="AE44:AF45"/>
    <mergeCell ref="AG44:AH45"/>
    <mergeCell ref="AI42:AJ43"/>
    <mergeCell ref="AK42:AN43"/>
    <mergeCell ref="AO42:AQ43"/>
    <mergeCell ref="AU42:AU43"/>
    <mergeCell ref="AV42:AV43"/>
    <mergeCell ref="B40:B41"/>
    <mergeCell ref="C40:M41"/>
    <mergeCell ref="N40:S41"/>
    <mergeCell ref="T40:U41"/>
    <mergeCell ref="V40:W41"/>
    <mergeCell ref="B42:B43"/>
    <mergeCell ref="C42:M43"/>
    <mergeCell ref="N42:S43"/>
    <mergeCell ref="T42:U43"/>
    <mergeCell ref="V42:W43"/>
    <mergeCell ref="X42:AA43"/>
    <mergeCell ref="AB42:AD43"/>
    <mergeCell ref="AE42:AF43"/>
    <mergeCell ref="AG42:AH43"/>
    <mergeCell ref="X40:AA41"/>
    <mergeCell ref="AB40:AD41"/>
    <mergeCell ref="AE40:AF41"/>
    <mergeCell ref="AG40:AH41"/>
    <mergeCell ref="AI40:AJ41"/>
    <mergeCell ref="AI36:AJ37"/>
    <mergeCell ref="AK36:AN37"/>
    <mergeCell ref="AO36:AQ37"/>
    <mergeCell ref="AU36:AU37"/>
    <mergeCell ref="AV36:AV37"/>
    <mergeCell ref="AI38:AJ39"/>
    <mergeCell ref="AK38:AN39"/>
    <mergeCell ref="AO38:AQ39"/>
    <mergeCell ref="AU38:AU39"/>
    <mergeCell ref="AV38:AV39"/>
    <mergeCell ref="AK40:AN41"/>
    <mergeCell ref="AO40:AQ41"/>
    <mergeCell ref="AU40:AU41"/>
    <mergeCell ref="AV40:AV41"/>
    <mergeCell ref="B38:B39"/>
    <mergeCell ref="C38:M39"/>
    <mergeCell ref="N38:S39"/>
    <mergeCell ref="T38:U39"/>
    <mergeCell ref="V38:W39"/>
    <mergeCell ref="X38:AA39"/>
    <mergeCell ref="AB38:AD39"/>
    <mergeCell ref="AE38:AF39"/>
    <mergeCell ref="AG38:AH39"/>
    <mergeCell ref="B36:B37"/>
    <mergeCell ref="C36:M37"/>
    <mergeCell ref="N36:S37"/>
    <mergeCell ref="T36:U37"/>
    <mergeCell ref="V36:W37"/>
    <mergeCell ref="X36:AA37"/>
    <mergeCell ref="AB36:AD37"/>
    <mergeCell ref="AE36:AF37"/>
    <mergeCell ref="AG36:AH37"/>
    <mergeCell ref="M200:AG201"/>
    <mergeCell ref="AG20:AH21"/>
    <mergeCell ref="AI20:AJ21"/>
    <mergeCell ref="AI16:AJ17"/>
    <mergeCell ref="AK16:AN17"/>
    <mergeCell ref="AO16:AQ17"/>
    <mergeCell ref="AU200:AU201"/>
    <mergeCell ref="AU26:AU27"/>
    <mergeCell ref="AU28:AU29"/>
    <mergeCell ref="AU30:AU31"/>
    <mergeCell ref="AU32:AU33"/>
    <mergeCell ref="AU34:AU35"/>
    <mergeCell ref="AK34:AN35"/>
    <mergeCell ref="AO34:AQ35"/>
    <mergeCell ref="AE16:AF17"/>
    <mergeCell ref="AG16:AH17"/>
    <mergeCell ref="AB24:AD25"/>
    <mergeCell ref="AE24:AF25"/>
    <mergeCell ref="N34:S35"/>
    <mergeCell ref="T34:U35"/>
    <mergeCell ref="V34:W35"/>
    <mergeCell ref="X34:AA35"/>
    <mergeCell ref="V20:W21"/>
    <mergeCell ref="AB16:AD17"/>
    <mergeCell ref="B20:B21"/>
    <mergeCell ref="B22:B23"/>
    <mergeCell ref="B24:B25"/>
    <mergeCell ref="B26:B27"/>
    <mergeCell ref="B28:B29"/>
    <mergeCell ref="B30:B31"/>
    <mergeCell ref="B32:B33"/>
    <mergeCell ref="B34:B35"/>
    <mergeCell ref="AU16:AU17"/>
    <mergeCell ref="AU18:AU19"/>
    <mergeCell ref="AU20:AU21"/>
    <mergeCell ref="AU22:AU23"/>
    <mergeCell ref="AU24:AU25"/>
    <mergeCell ref="B18:B19"/>
    <mergeCell ref="C20:M21"/>
    <mergeCell ref="C26:M27"/>
    <mergeCell ref="AG32:AH33"/>
    <mergeCell ref="X20:AA21"/>
    <mergeCell ref="V26:W27"/>
    <mergeCell ref="X26:AA27"/>
    <mergeCell ref="AI34:AJ35"/>
    <mergeCell ref="AO18:AQ19"/>
    <mergeCell ref="AB20:AD21"/>
    <mergeCell ref="AE20:AF21"/>
    <mergeCell ref="B64:B6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52:B153"/>
    <mergeCell ref="B154:B155"/>
    <mergeCell ref="B156:B157"/>
    <mergeCell ref="B158:B15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4:B145"/>
    <mergeCell ref="B146:B147"/>
    <mergeCell ref="B148:B149"/>
    <mergeCell ref="B150:B151"/>
    <mergeCell ref="B198:B199"/>
    <mergeCell ref="B186:B187"/>
    <mergeCell ref="B188:B189"/>
    <mergeCell ref="B190:B191"/>
    <mergeCell ref="B192:B193"/>
    <mergeCell ref="B194:B195"/>
    <mergeCell ref="B196:B197"/>
    <mergeCell ref="B184:B185"/>
    <mergeCell ref="AE32:AF33"/>
    <mergeCell ref="B180:B181"/>
    <mergeCell ref="B182:B183"/>
    <mergeCell ref="B160:B161"/>
    <mergeCell ref="B138:B139"/>
    <mergeCell ref="B140:B141"/>
    <mergeCell ref="B162:B163"/>
    <mergeCell ref="B164:B165"/>
    <mergeCell ref="B166:B167"/>
    <mergeCell ref="B168:B169"/>
    <mergeCell ref="B170:B171"/>
    <mergeCell ref="B172:B173"/>
    <mergeCell ref="B174:B175"/>
    <mergeCell ref="B176:B177"/>
    <mergeCell ref="B178:B179"/>
    <mergeCell ref="B142:B143"/>
    <mergeCell ref="AQ1:AR1"/>
    <mergeCell ref="AQ2:AR3"/>
    <mergeCell ref="R9:AD10"/>
    <mergeCell ref="Z11:AC11"/>
    <mergeCell ref="R12:U13"/>
    <mergeCell ref="V12:Y13"/>
    <mergeCell ref="Z12:AC13"/>
    <mergeCell ref="R11:U11"/>
    <mergeCell ref="V11:Y11"/>
    <mergeCell ref="AH1:AK1"/>
    <mergeCell ref="AL1:AP1"/>
    <mergeCell ref="AH2:AK3"/>
    <mergeCell ref="AL2:AP3"/>
    <mergeCell ref="AB34:AD35"/>
    <mergeCell ref="AE34:AF35"/>
    <mergeCell ref="AG34:AH35"/>
    <mergeCell ref="N20:S21"/>
    <mergeCell ref="T20:U21"/>
    <mergeCell ref="N26:S27"/>
    <mergeCell ref="T26:U27"/>
    <mergeCell ref="AV16:AV17"/>
    <mergeCell ref="AV18:AV19"/>
    <mergeCell ref="AK24:AN25"/>
    <mergeCell ref="AO26:AQ27"/>
    <mergeCell ref="AB26:AD27"/>
    <mergeCell ref="AE26:AF27"/>
    <mergeCell ref="AG26:AH27"/>
    <mergeCell ref="AI26:AJ27"/>
    <mergeCell ref="AK26:AN27"/>
    <mergeCell ref="AB22:AD23"/>
    <mergeCell ref="AE22:AF23"/>
    <mergeCell ref="AG22:AH23"/>
    <mergeCell ref="AI22:AJ23"/>
    <mergeCell ref="AK22:AN23"/>
    <mergeCell ref="AE18:AF19"/>
    <mergeCell ref="AG18:AH19"/>
    <mergeCell ref="AI18:AJ19"/>
    <mergeCell ref="AK18:AN19"/>
    <mergeCell ref="AB18:AD19"/>
    <mergeCell ref="AV20:AV21"/>
    <mergeCell ref="AV26:AV27"/>
    <mergeCell ref="AK20:AN21"/>
    <mergeCell ref="AO20:AQ21"/>
    <mergeCell ref="AO22:AQ23"/>
    <mergeCell ref="AU14:AU15"/>
    <mergeCell ref="AV14:AV15"/>
    <mergeCell ref="AK14:AN15"/>
    <mergeCell ref="AO14:AQ15"/>
    <mergeCell ref="B16:B17"/>
    <mergeCell ref="C16:M17"/>
    <mergeCell ref="N16:S17"/>
    <mergeCell ref="T16:U17"/>
    <mergeCell ref="V16:W17"/>
    <mergeCell ref="X16:AA17"/>
    <mergeCell ref="C18:M19"/>
    <mergeCell ref="N18:S19"/>
    <mergeCell ref="T18:U19"/>
    <mergeCell ref="V18:W19"/>
    <mergeCell ref="X18:AA19"/>
    <mergeCell ref="C14:M15"/>
    <mergeCell ref="N14:S15"/>
    <mergeCell ref="T14:U15"/>
    <mergeCell ref="V14:W15"/>
    <mergeCell ref="X14:AA15"/>
    <mergeCell ref="AB14:AD15"/>
    <mergeCell ref="AE14:AF15"/>
    <mergeCell ref="AG14:AH15"/>
    <mergeCell ref="AI14:AJ15"/>
    <mergeCell ref="AI28:AJ29"/>
    <mergeCell ref="C22:M23"/>
    <mergeCell ref="N22:S23"/>
    <mergeCell ref="T22:U23"/>
    <mergeCell ref="V22:W23"/>
    <mergeCell ref="X22:AA23"/>
    <mergeCell ref="AV22:AV23"/>
    <mergeCell ref="C24:M25"/>
    <mergeCell ref="N24:S25"/>
    <mergeCell ref="T24:U25"/>
    <mergeCell ref="V24:W25"/>
    <mergeCell ref="X24:AA25"/>
    <mergeCell ref="AV24:AV25"/>
    <mergeCell ref="AG24:AH25"/>
    <mergeCell ref="AI24:AJ25"/>
    <mergeCell ref="AO24:AQ25"/>
    <mergeCell ref="AK28:AN29"/>
    <mergeCell ref="AO28:AQ29"/>
    <mergeCell ref="AB32:AD33"/>
    <mergeCell ref="C28:M29"/>
    <mergeCell ref="N28:S29"/>
    <mergeCell ref="T28:U29"/>
    <mergeCell ref="V28:W29"/>
    <mergeCell ref="X28:AA29"/>
    <mergeCell ref="AB28:AD29"/>
    <mergeCell ref="AE28:AF29"/>
    <mergeCell ref="AG28:AH29"/>
    <mergeCell ref="C34:M35"/>
    <mergeCell ref="AV28:AV29"/>
    <mergeCell ref="AV34:AV35"/>
    <mergeCell ref="AK30:AN31"/>
    <mergeCell ref="AO30:AQ31"/>
    <mergeCell ref="AV30:AV31"/>
    <mergeCell ref="C32:M33"/>
    <mergeCell ref="N32:S33"/>
    <mergeCell ref="T32:U33"/>
    <mergeCell ref="V32:W33"/>
    <mergeCell ref="X32:AA33"/>
    <mergeCell ref="AI32:AJ33"/>
    <mergeCell ref="AK32:AN33"/>
    <mergeCell ref="AO32:AQ33"/>
    <mergeCell ref="AV32:AV33"/>
    <mergeCell ref="C30:M31"/>
    <mergeCell ref="N30:S31"/>
    <mergeCell ref="T30:U31"/>
    <mergeCell ref="V30:W31"/>
    <mergeCell ref="X30:AA31"/>
    <mergeCell ref="AB30:AD31"/>
    <mergeCell ref="AE30:AF31"/>
    <mergeCell ref="AG30:AH31"/>
    <mergeCell ref="AI30:AJ31"/>
  </mergeCells>
  <conditionalFormatting sqref="AQ2:AR3">
    <cfRule type="cellIs" dxfId="219" priority="3" operator="equal">
      <formula>1</formula>
    </cfRule>
    <cfRule type="cellIs" dxfId="218" priority="4" operator="between">
      <formula>0.51</formula>
      <formula>0.99</formula>
    </cfRule>
    <cfRule type="cellIs" dxfId="217" priority="5" operator="lessThanOrEqual">
      <formula>0.5</formula>
    </cfRule>
  </conditionalFormatting>
  <conditionalFormatting sqref="AH2 AL2">
    <cfRule type="expression" dxfId="216" priority="1">
      <formula>PROJSTATUS=PROJSTATELI</formula>
    </cfRule>
    <cfRule type="expression" dxfId="215" priority="2">
      <formula>PROJSTATUS=PROJSTATREVIEW</formula>
    </cfRule>
    <cfRule type="expression" dxfId="214" priority="6">
      <formula>PROJSTATUS=PROJSTATPREAPPROVE</formula>
    </cfRule>
    <cfRule type="expression" dxfId="213" priority="7">
      <formula>PROJSTATUS=PROJSTATSTANDARD</formula>
    </cfRule>
    <cfRule type="expression" dxfId="212" priority="8">
      <formula>PROJSTATUS=PROJSTATEXP</formula>
    </cfRule>
  </conditionalFormatting>
  <dataValidations count="3">
    <dataValidation type="decimal" allowBlank="1" showInputMessage="1" showErrorMessage="1" error="Please enter a numerical value" prompt="Reference the &quot;Unit of Measure&quot; column to ensure you enter the correct value based on unit type." sqref="V16:W45" xr:uid="{00000000-0002-0000-1A00-000000000000}">
      <formula1>0</formula1>
      <formula2>99999</formula2>
    </dataValidation>
    <dataValidation type="decimal" allowBlank="1" showInputMessage="1" showErrorMessage="1" error="Please enter a numerical value" sqref="AE16:AH45" xr:uid="{00000000-0002-0000-1A00-000001000000}">
      <formula1>0</formula1>
      <formula2>999999</formula2>
    </dataValidation>
    <dataValidation type="list" allowBlank="1" showInputMessage="1" showErrorMessage="1" sqref="C16:M45" xr:uid="{00000000-0002-0000-1A00-000002000000}">
      <formula1>PMEMOTOREFF1</formula1>
    </dataValidation>
  </dataValidations>
  <hyperlinks>
    <hyperlink ref="B202" r:id="rId1" display="NIPSCO.Savings@LMCO.com" xr:uid="{00000000-0004-0000-1A00-000000000000}"/>
  </hyperlinks>
  <pageMargins left="0.25" right="0.25" top="0.25" bottom="0.25" header="0.25" footer="0.25"/>
  <pageSetup scale="64" fitToHeight="0" orientation="landscape"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pageSetUpPr fitToPage="1"/>
  </sheetPr>
  <dimension ref="A1:BZ202"/>
  <sheetViews>
    <sheetView showGridLines="0" showRowColHeaders="0" zoomScale="85" zoomScaleNormal="85" workbookViewId="0">
      <selection activeCell="AU4" sqref="AU4:AY14"/>
    </sheetView>
  </sheetViews>
  <sheetFormatPr defaultColWidth="0" defaultRowHeight="0" customHeight="1" zeroHeight="1" x14ac:dyDescent="0.25"/>
  <cols>
    <col min="1" max="45" width="4.7109375" customWidth="1"/>
    <col min="46" max="46" width="4.7109375" hidden="1" customWidth="1"/>
    <col min="47" max="71" width="9.140625" hidden="1" customWidth="1"/>
    <col min="72" max="78" width="9.140625" customWidth="1"/>
    <col min="79" max="16384" width="9.140625" hidden="1"/>
  </cols>
  <sheetData>
    <row r="1" spans="2:58" ht="15.95" customHeight="1" x14ac:dyDescent="0.25">
      <c r="AH1" s="60"/>
      <c r="AI1" s="61"/>
      <c r="AJ1" s="62"/>
      <c r="AL1" s="60"/>
      <c r="AM1" s="60"/>
      <c r="AN1" s="60"/>
      <c r="AO1" s="60"/>
      <c r="AQ1" s="60"/>
      <c r="AR1" s="62"/>
    </row>
    <row r="2" spans="2:58" ht="15.95" customHeight="1" x14ac:dyDescent="0.25">
      <c r="AH2" s="1076" t="s">
        <v>494</v>
      </c>
      <c r="AI2" s="1076"/>
      <c r="AJ2" s="1076"/>
      <c r="AL2" s="1077" t="s">
        <v>495</v>
      </c>
      <c r="AM2" s="1077"/>
      <c r="AN2" s="1077"/>
      <c r="AO2" s="1077"/>
      <c r="AQ2" s="1076" t="s">
        <v>499</v>
      </c>
      <c r="AR2" s="1076"/>
    </row>
    <row r="3" spans="2:58" ht="15.95" customHeight="1" x14ac:dyDescent="0.25">
      <c r="AH3" s="1078" t="str">
        <f ca="1">INCENSTATUS</f>
        <v>---</v>
      </c>
      <c r="AI3" s="1079"/>
      <c r="AJ3" s="1080"/>
      <c r="AL3" s="1084" t="str">
        <f ca="1">PROJSTATUS</f>
        <v>Please Complete Initial Application</v>
      </c>
      <c r="AM3" s="1085"/>
      <c r="AN3" s="1085"/>
      <c r="AO3" s="1086"/>
      <c r="AQ3" s="1090">
        <f ca="1">PROGRESSSTATUS</f>
        <v>0</v>
      </c>
      <c r="AR3" s="1091"/>
    </row>
    <row r="4" spans="2:58" ht="15.95" customHeight="1" x14ac:dyDescent="0.25">
      <c r="AH4" s="1081"/>
      <c r="AI4" s="1082"/>
      <c r="AJ4" s="1083"/>
      <c r="AL4" s="1087"/>
      <c r="AM4" s="1088"/>
      <c r="AN4" s="1088"/>
      <c r="AO4" s="1089"/>
      <c r="AQ4" s="1092"/>
      <c r="AR4" s="1093"/>
    </row>
    <row r="5" spans="2:58" ht="15.95" customHeight="1" x14ac:dyDescent="0.25"/>
    <row r="6" spans="2:58" ht="15.95" customHeight="1" x14ac:dyDescent="0.25"/>
    <row r="7" spans="2:58" ht="15.95" customHeight="1" x14ac:dyDescent="0.25"/>
    <row r="8" spans="2:58" ht="15.95" customHeight="1" x14ac:dyDescent="0.25"/>
    <row r="9" spans="2:58" s="63" customFormat="1" ht="15.95" customHeight="1" x14ac:dyDescent="0.25">
      <c r="B9" s="135"/>
      <c r="C9" s="135"/>
      <c r="D9" s="135"/>
      <c r="E9" s="135"/>
      <c r="F9" s="135"/>
      <c r="G9" s="135"/>
      <c r="H9" s="135"/>
      <c r="I9" s="135"/>
      <c r="J9" s="135"/>
      <c r="K9" s="135"/>
      <c r="L9" s="135"/>
      <c r="M9" s="135"/>
      <c r="N9" s="135"/>
      <c r="O9" s="135"/>
      <c r="P9" s="135"/>
      <c r="Q9" s="135"/>
      <c r="R9" s="1096" t="str">
        <f>CONCATENATE(M3S7," ","Summary")</f>
        <v>M3S7 Summary</v>
      </c>
      <c r="S9" s="1096"/>
      <c r="T9" s="1096"/>
      <c r="U9" s="1096"/>
      <c r="V9" s="1096"/>
      <c r="W9" s="1096"/>
      <c r="X9" s="1096"/>
      <c r="Y9" s="1096"/>
      <c r="Z9" s="1096"/>
      <c r="AA9" s="1096"/>
      <c r="AB9" s="1096"/>
      <c r="AC9" s="1096"/>
      <c r="AD9" s="1096"/>
      <c r="AE9" s="135"/>
      <c r="AF9" s="135"/>
      <c r="AG9" s="135"/>
      <c r="AH9" s="135"/>
      <c r="AI9" s="135"/>
      <c r="AJ9" s="135"/>
      <c r="AK9" s="135"/>
      <c r="AL9" s="135"/>
      <c r="AM9" s="135"/>
      <c r="AN9" s="135"/>
      <c r="AO9" s="135"/>
      <c r="AP9" s="135"/>
      <c r="AQ9" s="135"/>
      <c r="AR9" s="135"/>
      <c r="AU9"/>
      <c r="AV9"/>
      <c r="AW9"/>
      <c r="AX9"/>
      <c r="AY9"/>
    </row>
    <row r="10" spans="2:58" ht="15.95" customHeight="1" x14ac:dyDescent="0.25">
      <c r="B10" s="135"/>
      <c r="C10" s="135"/>
      <c r="D10" s="135"/>
      <c r="E10" s="135"/>
      <c r="F10" s="135"/>
      <c r="G10" s="135"/>
      <c r="H10" s="135"/>
      <c r="I10" s="135"/>
      <c r="J10" s="135"/>
      <c r="K10" s="135"/>
      <c r="L10" s="135"/>
      <c r="M10" s="135"/>
      <c r="N10" s="135"/>
      <c r="O10" s="135"/>
      <c r="P10" s="135"/>
      <c r="Q10" s="135"/>
      <c r="R10" s="1096"/>
      <c r="S10" s="1096"/>
      <c r="T10" s="1096"/>
      <c r="U10" s="1096"/>
      <c r="V10" s="1096"/>
      <c r="W10" s="1096"/>
      <c r="X10" s="1096"/>
      <c r="Y10" s="1096"/>
      <c r="Z10" s="1096"/>
      <c r="AA10" s="1096"/>
      <c r="AB10" s="1096"/>
      <c r="AC10" s="1096"/>
      <c r="AD10" s="1096"/>
      <c r="AE10" s="135"/>
      <c r="AF10" s="135"/>
      <c r="AG10" s="135"/>
      <c r="AH10" s="135"/>
      <c r="AI10" s="135"/>
      <c r="AJ10" s="135"/>
      <c r="AK10" s="135"/>
      <c r="AL10" s="135"/>
      <c r="AM10" s="135"/>
      <c r="AN10" s="135"/>
      <c r="AO10" s="135"/>
      <c r="AP10" s="135"/>
      <c r="AQ10" s="135"/>
      <c r="AR10" s="135"/>
    </row>
    <row r="11" spans="2:58" ht="15.95" customHeight="1" x14ac:dyDescent="0.25">
      <c r="B11" s="135"/>
      <c r="C11" s="135"/>
      <c r="D11" s="135"/>
      <c r="E11" s="135"/>
      <c r="F11" s="135"/>
      <c r="G11" s="135"/>
      <c r="H11" s="135"/>
      <c r="I11" s="135"/>
      <c r="J11" s="135"/>
      <c r="K11" s="135"/>
      <c r="L11" s="135"/>
      <c r="M11" s="135"/>
      <c r="N11" s="135"/>
      <c r="O11" s="135"/>
      <c r="P11" s="135"/>
      <c r="Q11" s="135"/>
      <c r="R11" s="1094" t="s">
        <v>69</v>
      </c>
      <c r="S11" s="1094"/>
      <c r="T11" s="1094"/>
      <c r="U11" s="1094"/>
      <c r="V11" s="1094" t="s">
        <v>70</v>
      </c>
      <c r="W11" s="1094"/>
      <c r="X11" s="1094"/>
      <c r="Y11" s="1094"/>
      <c r="Z11" s="1094" t="s">
        <v>218</v>
      </c>
      <c r="AA11" s="1094"/>
      <c r="AB11" s="1094"/>
      <c r="AC11" s="1094"/>
      <c r="AD11" s="1094"/>
      <c r="AE11" s="135"/>
      <c r="AF11" s="135"/>
      <c r="AG11" s="135"/>
      <c r="AH11" s="135"/>
      <c r="AI11" s="135"/>
      <c r="AJ11" s="135"/>
      <c r="AK11" s="135"/>
      <c r="AL11" s="135"/>
      <c r="AM11" s="135"/>
      <c r="AN11" s="135"/>
      <c r="AO11" s="135"/>
      <c r="AP11" s="135"/>
      <c r="AQ11" s="135"/>
      <c r="AR11" s="135"/>
    </row>
    <row r="12" spans="2:58" ht="15.95" customHeight="1" x14ac:dyDescent="0.25">
      <c r="B12" s="135"/>
      <c r="C12" s="135"/>
      <c r="D12" s="135"/>
      <c r="E12" s="135"/>
      <c r="F12" s="135"/>
      <c r="G12" s="135"/>
      <c r="H12" s="135"/>
      <c r="I12" s="135"/>
      <c r="J12" s="135"/>
      <c r="K12" s="135"/>
      <c r="L12" s="135"/>
      <c r="M12" s="135"/>
      <c r="N12" s="135"/>
      <c r="O12" s="135"/>
      <c r="P12" s="135"/>
      <c r="Q12" s="135"/>
      <c r="R12" s="1075">
        <f>SUM(AO16:AQ199)</f>
        <v>0</v>
      </c>
      <c r="S12" s="1075"/>
      <c r="T12" s="1075"/>
      <c r="U12" s="1075"/>
      <c r="V12" s="1075">
        <f>AU200</f>
        <v>0</v>
      </c>
      <c r="W12" s="1075"/>
      <c r="X12" s="1075"/>
      <c r="Y12" s="1075"/>
      <c r="Z12" s="1095">
        <f>SUM(AK16:AN199)</f>
        <v>0</v>
      </c>
      <c r="AA12" s="1095"/>
      <c r="AB12" s="1095"/>
      <c r="AC12" s="1095"/>
      <c r="AD12" s="1095"/>
      <c r="AE12" s="135"/>
      <c r="AF12" s="135"/>
      <c r="AG12" s="135"/>
      <c r="AH12" s="135"/>
      <c r="AI12" s="135"/>
      <c r="AJ12" s="135"/>
      <c r="AK12" s="135"/>
      <c r="AL12" s="135"/>
      <c r="AM12" s="135"/>
      <c r="AN12" s="135"/>
      <c r="AO12" s="135"/>
      <c r="AP12" s="135"/>
      <c r="AQ12" s="135"/>
      <c r="AR12" s="135"/>
    </row>
    <row r="13" spans="2:58" s="63" customFormat="1" ht="15.95" customHeight="1" x14ac:dyDescent="0.25">
      <c r="B13" s="135"/>
      <c r="C13" s="135"/>
      <c r="D13" s="135"/>
      <c r="E13" s="135"/>
      <c r="F13" s="135"/>
      <c r="G13" s="135"/>
      <c r="H13" s="135"/>
      <c r="I13" s="135"/>
      <c r="J13" s="135"/>
      <c r="K13" s="135"/>
      <c r="L13" s="135"/>
      <c r="M13" s="135"/>
      <c r="N13" s="135"/>
      <c r="O13" s="135"/>
      <c r="P13" s="135"/>
      <c r="Q13" s="135"/>
      <c r="R13" s="189"/>
      <c r="S13" s="189"/>
      <c r="T13" s="189"/>
      <c r="U13" s="189"/>
      <c r="V13" s="189"/>
      <c r="W13" s="189"/>
      <c r="X13" s="189"/>
      <c r="Y13" s="189"/>
      <c r="Z13" s="190"/>
      <c r="AA13" s="190"/>
      <c r="AB13" s="190"/>
      <c r="AC13" s="190"/>
      <c r="AD13" s="190"/>
      <c r="AE13" s="135"/>
      <c r="AF13" s="135"/>
      <c r="AG13" s="135"/>
      <c r="AH13" s="135"/>
      <c r="AI13" s="135"/>
      <c r="AJ13" s="135"/>
      <c r="AK13" s="135"/>
      <c r="AL13" s="135"/>
      <c r="AM13" s="135"/>
      <c r="AN13" s="135"/>
      <c r="AO13" s="135"/>
      <c r="AP13" s="135"/>
      <c r="AQ13" s="135"/>
      <c r="AR13" s="135"/>
      <c r="AU13"/>
      <c r="AV13"/>
      <c r="AW13"/>
      <c r="AX13"/>
      <c r="AY13"/>
    </row>
    <row r="14" spans="2:58" ht="15.95" customHeight="1" x14ac:dyDescent="0.25">
      <c r="B14" s="135"/>
      <c r="C14" s="135"/>
      <c r="D14" s="135"/>
      <c r="E14" s="135"/>
      <c r="F14" s="135"/>
      <c r="G14" s="135"/>
      <c r="H14" s="135"/>
      <c r="I14" s="135"/>
      <c r="J14" s="135"/>
      <c r="K14" s="135"/>
      <c r="L14" s="135"/>
      <c r="M14" s="135"/>
      <c r="N14" s="135"/>
      <c r="O14" s="135"/>
      <c r="P14" s="135"/>
      <c r="Q14" s="135"/>
      <c r="R14" s="63"/>
      <c r="S14" s="63"/>
      <c r="T14" s="63"/>
      <c r="U14" s="63"/>
      <c r="V14" s="63"/>
      <c r="W14" s="63"/>
      <c r="X14" s="63"/>
      <c r="Y14" s="63"/>
      <c r="Z14" s="63"/>
      <c r="AA14" s="63"/>
      <c r="AB14" s="63"/>
      <c r="AC14" s="63"/>
      <c r="AD14" s="63"/>
      <c r="AE14" s="135"/>
      <c r="AF14" s="135"/>
      <c r="AG14" s="135"/>
      <c r="AH14" s="135"/>
      <c r="AI14" s="135"/>
      <c r="AJ14" s="135"/>
      <c r="AK14" s="135"/>
      <c r="AL14" s="135"/>
      <c r="AM14" s="135"/>
      <c r="AN14" s="135"/>
      <c r="AO14" s="135"/>
      <c r="AP14" s="135"/>
      <c r="AQ14" s="135"/>
      <c r="AR14" s="135"/>
      <c r="AS14" s="63"/>
      <c r="AT14" s="63"/>
      <c r="AZ14" s="63"/>
      <c r="BA14" s="63"/>
      <c r="BB14" s="63"/>
      <c r="BC14" s="63"/>
      <c r="BD14" s="63"/>
      <c r="BE14" s="63"/>
      <c r="BF14" s="63"/>
    </row>
    <row r="15" spans="2:58" ht="15.95" customHeight="1" x14ac:dyDescent="0.25"/>
    <row r="16" spans="2:58" ht="15.95" customHeight="1" x14ac:dyDescent="0.25"/>
    <row r="17" ht="15.95" customHeight="1" x14ac:dyDescent="0.25"/>
    <row r="18" ht="15.95" customHeight="1" x14ac:dyDescent="0.25"/>
    <row r="19" ht="15.95" customHeight="1" x14ac:dyDescent="0.25"/>
    <row r="20" ht="15.95" customHeight="1" x14ac:dyDescent="0.25"/>
    <row r="21" ht="15.95" customHeight="1" x14ac:dyDescent="0.25"/>
    <row r="22" ht="15.95" customHeight="1" x14ac:dyDescent="0.25"/>
    <row r="23" ht="15.95" customHeight="1" x14ac:dyDescent="0.25"/>
    <row r="24" ht="15.95" customHeight="1" x14ac:dyDescent="0.25"/>
    <row r="25" ht="15.95" customHeight="1" x14ac:dyDescent="0.25"/>
    <row r="26" ht="15.95" customHeight="1" x14ac:dyDescent="0.25"/>
    <row r="27" ht="15.95" customHeight="1" x14ac:dyDescent="0.25"/>
    <row r="28" ht="15.95" customHeight="1" x14ac:dyDescent="0.25"/>
    <row r="29" ht="15.95" customHeight="1" x14ac:dyDescent="0.25"/>
    <row r="30" ht="15.95" customHeight="1" x14ac:dyDescent="0.25"/>
    <row r="31" ht="15.95" customHeight="1" x14ac:dyDescent="0.25"/>
    <row r="32" ht="15.95" customHeight="1" x14ac:dyDescent="0.25"/>
    <row r="33" spans="2:58" ht="15.95" customHeight="1" x14ac:dyDescent="0.25"/>
    <row r="34" spans="2:58" ht="15.95" customHeight="1" x14ac:dyDescent="0.25"/>
    <row r="35" spans="2:58" ht="15.95" customHeight="1" x14ac:dyDescent="0.25"/>
    <row r="36" spans="2:58" ht="15.95" customHeight="1" x14ac:dyDescent="0.25"/>
    <row r="37" spans="2:58" ht="15.95" customHeight="1" x14ac:dyDescent="0.25"/>
    <row r="38" spans="2:58" ht="15.95" customHeight="1" x14ac:dyDescent="0.25"/>
    <row r="39" spans="2:58" ht="15.95" customHeight="1" x14ac:dyDescent="0.25"/>
    <row r="40" spans="2:58" ht="15.95" customHeight="1" x14ac:dyDescent="0.25"/>
    <row r="41" spans="2:58" ht="15.95" customHeight="1" x14ac:dyDescent="0.25"/>
    <row r="42" spans="2:58" ht="15.95" customHeight="1" x14ac:dyDescent="0.25"/>
    <row r="43" spans="2:58" ht="15.95" customHeight="1" x14ac:dyDescent="0.25"/>
    <row r="44" spans="2:58" ht="15.95" customHeight="1" x14ac:dyDescent="0.25"/>
    <row r="45" spans="2:58" ht="15.95" customHeight="1" x14ac:dyDescent="0.25"/>
    <row r="46" spans="2:58" ht="15.95" hidden="1" customHeight="1" x14ac:dyDescent="0.25">
      <c r="B46" s="1063">
        <v>15</v>
      </c>
      <c r="C46" s="1028"/>
      <c r="D46" s="1029"/>
      <c r="E46" s="1029"/>
      <c r="F46" s="1029"/>
      <c r="G46" s="1029"/>
      <c r="H46" s="1029"/>
      <c r="I46" s="1029"/>
      <c r="J46" s="1029"/>
      <c r="K46" s="1029"/>
      <c r="L46" s="1029"/>
      <c r="M46" s="1030"/>
      <c r="N46" s="1034" t="str">
        <f>IF(C46="","",INDEX(PMGHVAC[Base Desc 1],MATCH(C46,PMGHVAC[Eff Desc 1],0)))</f>
        <v/>
      </c>
      <c r="O46" s="1035"/>
      <c r="P46" s="1035"/>
      <c r="Q46" s="1035"/>
      <c r="R46" s="1035"/>
      <c r="S46" s="1036"/>
      <c r="T46" s="1040" t="str">
        <f>IF(C46="","",INDEX(PMGHVAC[Unit],MATCH(C46,PMGHVAC[Eff Desc 1],0)))</f>
        <v/>
      </c>
      <c r="U46" s="1041"/>
      <c r="V46" s="1044"/>
      <c r="W46" s="1045"/>
      <c r="X46" s="1028"/>
      <c r="Y46" s="1029"/>
      <c r="Z46" s="1029"/>
      <c r="AA46" s="1030"/>
      <c r="AB46" s="1028"/>
      <c r="AC46" s="1029"/>
      <c r="AD46" s="1030"/>
      <c r="AE46" s="1048"/>
      <c r="AF46" s="1049"/>
      <c r="AG46" s="1048"/>
      <c r="AH46" s="1049"/>
      <c r="AI46" s="1022" t="str">
        <f>IF(C46="","",INDEX(PMGHVAC[Inc Rate Unit],MATCH(C46,PMGHVAC[Eff Desc 1],0)))</f>
        <v/>
      </c>
      <c r="AJ46" s="1024"/>
      <c r="AK46" s="1069" t="str">
        <f>IF(OR(C46="",V46="",X46="",AB46="",AE46="",AG46=""),"",ROUND(V46*INDEX(PMGHVAC[Savings per Unit therms],MATCH(C46,PMGHVAC[Eff Desc 1],0)),0))</f>
        <v/>
      </c>
      <c r="AL46" s="1070"/>
      <c r="AM46" s="1070"/>
      <c r="AN46" s="1071"/>
      <c r="AO46" s="1022" t="str">
        <f>IF(OR(C46="",V46="",X46="",AB46="",AE46="",AG46=""),"",MIN(AU46,ROUND(V46*AI46,2)))</f>
        <v/>
      </c>
      <c r="AP46" s="1023"/>
      <c r="AQ46" s="1024"/>
      <c r="AR46" s="135"/>
      <c r="AS46" s="63"/>
      <c r="AT46" s="63"/>
      <c r="AU46" s="976" t="str">
        <f t="shared" ref="AU46" si="0">IF(OR(I46="",Q46="",S46="",U46="",Y46="",AB46="",AE46="",AG46=""),"",(ROUND((AE46+AG46)*S46,2)))</f>
        <v/>
      </c>
      <c r="AV46" s="63"/>
      <c r="AW46" s="63"/>
      <c r="AX46" s="63"/>
      <c r="AY46" s="63"/>
      <c r="AZ46" s="63"/>
      <c r="BA46" s="63"/>
      <c r="BB46" s="63"/>
      <c r="BC46" s="63"/>
      <c r="BD46" s="63"/>
      <c r="BE46" s="63"/>
      <c r="BF46" s="63"/>
    </row>
    <row r="47" spans="2:58" ht="15.95" hidden="1" customHeight="1" x14ac:dyDescent="0.25">
      <c r="B47" s="1063"/>
      <c r="C47" s="1031"/>
      <c r="D47" s="1032"/>
      <c r="E47" s="1032"/>
      <c r="F47" s="1032"/>
      <c r="G47" s="1032"/>
      <c r="H47" s="1032"/>
      <c r="I47" s="1032"/>
      <c r="J47" s="1032"/>
      <c r="K47" s="1032"/>
      <c r="L47" s="1032"/>
      <c r="M47" s="1033"/>
      <c r="N47" s="1037"/>
      <c r="O47" s="1038"/>
      <c r="P47" s="1038"/>
      <c r="Q47" s="1038"/>
      <c r="R47" s="1038"/>
      <c r="S47" s="1039"/>
      <c r="T47" s="1042"/>
      <c r="U47" s="1043"/>
      <c r="V47" s="1046"/>
      <c r="W47" s="1047"/>
      <c r="X47" s="1031"/>
      <c r="Y47" s="1032"/>
      <c r="Z47" s="1032"/>
      <c r="AA47" s="1033"/>
      <c r="AB47" s="1031"/>
      <c r="AC47" s="1032"/>
      <c r="AD47" s="1033"/>
      <c r="AE47" s="1050"/>
      <c r="AF47" s="1051"/>
      <c r="AG47" s="1050"/>
      <c r="AH47" s="1051"/>
      <c r="AI47" s="1025"/>
      <c r="AJ47" s="1027"/>
      <c r="AK47" s="1072"/>
      <c r="AL47" s="1073"/>
      <c r="AM47" s="1073"/>
      <c r="AN47" s="1074"/>
      <c r="AO47" s="1025"/>
      <c r="AP47" s="1026"/>
      <c r="AQ47" s="1027"/>
      <c r="AR47" s="135"/>
      <c r="AS47" s="63"/>
      <c r="AT47" s="63"/>
      <c r="AU47" s="977"/>
      <c r="AV47" s="63"/>
      <c r="AW47" s="63"/>
      <c r="AX47" s="63"/>
      <c r="AY47" s="63"/>
      <c r="AZ47" s="63"/>
      <c r="BA47" s="63"/>
      <c r="BB47" s="63"/>
      <c r="BC47" s="63"/>
      <c r="BD47" s="63"/>
      <c r="BE47" s="63"/>
      <c r="BF47" s="63"/>
    </row>
    <row r="48" spans="2:58" ht="15.95" hidden="1" customHeight="1" x14ac:dyDescent="0.25">
      <c r="B48" s="1062">
        <v>17</v>
      </c>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row>
    <row r="49" spans="2:43" ht="15.95" hidden="1" customHeight="1" x14ac:dyDescent="0.25">
      <c r="B49" s="1062"/>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row>
    <row r="50" spans="2:43" ht="15.95" hidden="1" customHeight="1" x14ac:dyDescent="0.25">
      <c r="B50" s="1062">
        <v>18</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row>
    <row r="51" spans="2:43" ht="15.95" hidden="1" customHeight="1" x14ac:dyDescent="0.25">
      <c r="B51" s="1062"/>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row>
    <row r="52" spans="2:43" ht="15.95" hidden="1" customHeight="1" x14ac:dyDescent="0.25">
      <c r="B52" s="1062">
        <v>19</v>
      </c>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row>
    <row r="53" spans="2:43" ht="15.95" hidden="1" customHeight="1" x14ac:dyDescent="0.25">
      <c r="B53" s="1062"/>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row>
    <row r="54" spans="2:43" ht="15.95" hidden="1" customHeight="1" x14ac:dyDescent="0.25">
      <c r="B54" s="1062">
        <v>20</v>
      </c>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row>
    <row r="55" spans="2:43" ht="15.95" hidden="1" customHeight="1" x14ac:dyDescent="0.25">
      <c r="B55" s="1062"/>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row>
    <row r="56" spans="2:43" ht="15.95" hidden="1" customHeight="1" x14ac:dyDescent="0.25">
      <c r="B56" s="1062">
        <v>21</v>
      </c>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row>
    <row r="57" spans="2:43" ht="15.95" hidden="1" customHeight="1" x14ac:dyDescent="0.25">
      <c r="B57" s="1062"/>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row>
    <row r="58" spans="2:43" ht="15.95" hidden="1" customHeight="1" x14ac:dyDescent="0.25">
      <c r="B58" s="1062">
        <v>22</v>
      </c>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row>
    <row r="59" spans="2:43" ht="15.95" hidden="1" customHeight="1" x14ac:dyDescent="0.25">
      <c r="B59" s="1062"/>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row>
    <row r="60" spans="2:43" ht="15.95" hidden="1" customHeight="1" x14ac:dyDescent="0.25">
      <c r="B60" s="1062">
        <v>23</v>
      </c>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row>
    <row r="61" spans="2:43" ht="15.95" hidden="1" customHeight="1" x14ac:dyDescent="0.25">
      <c r="B61" s="1062"/>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row>
    <row r="62" spans="2:43" ht="15.95" hidden="1" customHeight="1" x14ac:dyDescent="0.25">
      <c r="B62" s="1062">
        <v>24</v>
      </c>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row>
    <row r="63" spans="2:43" ht="15.95" hidden="1" customHeight="1" x14ac:dyDescent="0.25">
      <c r="B63" s="1062"/>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row>
    <row r="64" spans="2:43" ht="15.95" hidden="1" customHeight="1" x14ac:dyDescent="0.25">
      <c r="B64" s="1062">
        <v>25</v>
      </c>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row>
    <row r="65" spans="2:43" ht="15.95" hidden="1" customHeight="1" x14ac:dyDescent="0.25">
      <c r="B65" s="1062"/>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row>
    <row r="66" spans="2:43" ht="15.95" hidden="1" customHeight="1" x14ac:dyDescent="0.25">
      <c r="B66" s="1062">
        <v>26</v>
      </c>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row>
    <row r="67" spans="2:43" ht="15.95" hidden="1" customHeight="1" x14ac:dyDescent="0.25">
      <c r="B67" s="1062"/>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row>
    <row r="68" spans="2:43" ht="15.95" hidden="1" customHeight="1" x14ac:dyDescent="0.25">
      <c r="B68" s="1062">
        <v>27</v>
      </c>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row>
    <row r="69" spans="2:43" ht="15.95" hidden="1" customHeight="1" x14ac:dyDescent="0.25">
      <c r="B69" s="1062"/>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row>
    <row r="70" spans="2:43" ht="15.95" hidden="1" customHeight="1" x14ac:dyDescent="0.25">
      <c r="B70" s="1062">
        <v>28</v>
      </c>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row>
    <row r="71" spans="2:43" ht="15.95" hidden="1" customHeight="1" x14ac:dyDescent="0.25">
      <c r="B71" s="1062"/>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row>
    <row r="72" spans="2:43" ht="15.95" hidden="1" customHeight="1" x14ac:dyDescent="0.25">
      <c r="B72" s="1062">
        <v>29</v>
      </c>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row>
    <row r="73" spans="2:43" ht="15.95" hidden="1" customHeight="1" x14ac:dyDescent="0.25">
      <c r="B73" s="1062"/>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row>
    <row r="74" spans="2:43" ht="15.95" hidden="1" customHeight="1" x14ac:dyDescent="0.25">
      <c r="B74" s="1062">
        <v>30</v>
      </c>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row>
    <row r="75" spans="2:43" ht="15.95" hidden="1" customHeight="1" x14ac:dyDescent="0.25">
      <c r="B75" s="1062"/>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row>
    <row r="76" spans="2:43" ht="15.95" hidden="1" customHeight="1" x14ac:dyDescent="0.25">
      <c r="B76" s="1062">
        <v>31</v>
      </c>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row>
    <row r="77" spans="2:43" ht="15.95" hidden="1" customHeight="1" x14ac:dyDescent="0.25">
      <c r="B77" s="1062"/>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row>
    <row r="78" spans="2:43" ht="15.95" hidden="1" customHeight="1" x14ac:dyDescent="0.25">
      <c r="B78" s="1062">
        <v>32</v>
      </c>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row>
    <row r="79" spans="2:43" ht="15.95" hidden="1" customHeight="1" x14ac:dyDescent="0.25">
      <c r="B79" s="1062"/>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row>
    <row r="80" spans="2:43" ht="15.95" hidden="1" customHeight="1" x14ac:dyDescent="0.25">
      <c r="B80" s="1062">
        <v>33</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row>
    <row r="81" spans="2:43" ht="15.95" hidden="1" customHeight="1" x14ac:dyDescent="0.25">
      <c r="B81" s="1062"/>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row>
    <row r="82" spans="2:43" ht="15.95" hidden="1" customHeight="1" x14ac:dyDescent="0.25">
      <c r="B82" s="1062">
        <v>34</v>
      </c>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row>
    <row r="83" spans="2:43" ht="15.95" hidden="1" customHeight="1" x14ac:dyDescent="0.25">
      <c r="B83" s="1062"/>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row>
    <row r="84" spans="2:43" ht="15.95" hidden="1" customHeight="1" x14ac:dyDescent="0.25">
      <c r="B84" s="1062">
        <v>35</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row>
    <row r="85" spans="2:43" ht="15.95" hidden="1" customHeight="1" x14ac:dyDescent="0.25">
      <c r="B85" s="1062"/>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row>
    <row r="86" spans="2:43" ht="15.95" hidden="1" customHeight="1" x14ac:dyDescent="0.25">
      <c r="B86" s="1062">
        <v>36</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row>
    <row r="87" spans="2:43" ht="15.95" hidden="1" customHeight="1" x14ac:dyDescent="0.25">
      <c r="B87" s="1062"/>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row>
    <row r="88" spans="2:43" ht="15.95" hidden="1" customHeight="1" x14ac:dyDescent="0.25">
      <c r="B88" s="1062">
        <v>37</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row>
    <row r="89" spans="2:43" ht="15.95" hidden="1" customHeight="1" x14ac:dyDescent="0.25">
      <c r="B89" s="1062"/>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row>
    <row r="90" spans="2:43" ht="15.95" hidden="1" customHeight="1" x14ac:dyDescent="0.25">
      <c r="B90" s="1062">
        <v>38</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row>
    <row r="91" spans="2:43" ht="15.95" hidden="1" customHeight="1" x14ac:dyDescent="0.25">
      <c r="B91" s="1062"/>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row>
    <row r="92" spans="2:43" ht="15.95" hidden="1" customHeight="1" x14ac:dyDescent="0.25">
      <c r="B92" s="1062">
        <v>39</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row>
    <row r="93" spans="2:43" ht="15.95" hidden="1" customHeight="1" x14ac:dyDescent="0.25">
      <c r="B93" s="1062"/>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row>
    <row r="94" spans="2:43" ht="15.95" hidden="1" customHeight="1" x14ac:dyDescent="0.25">
      <c r="B94" s="1062">
        <v>40</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row>
    <row r="95" spans="2:43" ht="15.95" hidden="1" customHeight="1" x14ac:dyDescent="0.25">
      <c r="B95" s="1062"/>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row>
    <row r="96" spans="2:43" ht="15.95" hidden="1" customHeight="1" x14ac:dyDescent="0.25">
      <c r="B96" s="1062">
        <v>41</v>
      </c>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row>
    <row r="97" spans="2:43" ht="15.95" hidden="1" customHeight="1" x14ac:dyDescent="0.25">
      <c r="B97" s="1062"/>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row>
    <row r="98" spans="2:43" ht="15.95" hidden="1" customHeight="1" x14ac:dyDescent="0.25">
      <c r="B98" s="1062">
        <v>42</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row>
    <row r="99" spans="2:43" ht="15.95" hidden="1" customHeight="1" x14ac:dyDescent="0.25">
      <c r="B99" s="1062"/>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row>
    <row r="100" spans="2:43" ht="15.95" hidden="1" customHeight="1" x14ac:dyDescent="0.25">
      <c r="B100" s="1062">
        <v>43</v>
      </c>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row>
    <row r="101" spans="2:43" ht="15.95" hidden="1" customHeight="1" x14ac:dyDescent="0.25">
      <c r="B101" s="1062"/>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row>
    <row r="102" spans="2:43" ht="15.95" hidden="1" customHeight="1" x14ac:dyDescent="0.25">
      <c r="B102" s="1062">
        <v>44</v>
      </c>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row>
    <row r="103" spans="2:43" ht="15.95" hidden="1" customHeight="1" x14ac:dyDescent="0.25">
      <c r="B103" s="1062"/>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row>
    <row r="104" spans="2:43" ht="15.95" hidden="1" customHeight="1" x14ac:dyDescent="0.25">
      <c r="B104" s="1062">
        <v>45</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row>
    <row r="105" spans="2:43" ht="15.95" hidden="1" customHeight="1" x14ac:dyDescent="0.25">
      <c r="B105" s="1062"/>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row>
    <row r="106" spans="2:43" ht="15.95" hidden="1" customHeight="1" x14ac:dyDescent="0.25">
      <c r="B106" s="1062">
        <v>46</v>
      </c>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row>
    <row r="107" spans="2:43" ht="15.95" hidden="1" customHeight="1" x14ac:dyDescent="0.25">
      <c r="B107" s="1062"/>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row>
    <row r="108" spans="2:43" ht="15.95" hidden="1" customHeight="1" x14ac:dyDescent="0.25">
      <c r="B108" s="1062">
        <v>47</v>
      </c>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row>
    <row r="109" spans="2:43" ht="15.95" hidden="1" customHeight="1" x14ac:dyDescent="0.25">
      <c r="B109" s="1062"/>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row>
    <row r="110" spans="2:43" ht="15.95" hidden="1" customHeight="1" x14ac:dyDescent="0.25">
      <c r="B110" s="1062">
        <v>48</v>
      </c>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row>
    <row r="111" spans="2:43" ht="15.95" hidden="1" customHeight="1" x14ac:dyDescent="0.25">
      <c r="B111" s="1062"/>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row>
    <row r="112" spans="2:43" ht="15.95" hidden="1" customHeight="1" x14ac:dyDescent="0.25">
      <c r="B112" s="1062">
        <v>49</v>
      </c>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row>
    <row r="113" spans="2:43" ht="15.95" hidden="1" customHeight="1" x14ac:dyDescent="0.25">
      <c r="B113" s="1062"/>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row>
    <row r="114" spans="2:43" ht="15.95" hidden="1" customHeight="1" x14ac:dyDescent="0.25">
      <c r="B114" s="1062">
        <v>50</v>
      </c>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row>
    <row r="115" spans="2:43" ht="15.95" hidden="1" customHeight="1" x14ac:dyDescent="0.25">
      <c r="B115" s="1062"/>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row>
    <row r="116" spans="2:43" ht="15.95" hidden="1" customHeight="1" x14ac:dyDescent="0.25">
      <c r="B116" s="1062">
        <v>51</v>
      </c>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row>
    <row r="117" spans="2:43" ht="15.95" hidden="1" customHeight="1" x14ac:dyDescent="0.25">
      <c r="B117" s="1062"/>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row>
    <row r="118" spans="2:43" ht="15.95" hidden="1" customHeight="1" x14ac:dyDescent="0.25">
      <c r="B118" s="1062">
        <v>52</v>
      </c>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row>
    <row r="119" spans="2:43" ht="15.95" hidden="1" customHeight="1" x14ac:dyDescent="0.25">
      <c r="B119" s="1062"/>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row>
    <row r="120" spans="2:43" ht="15.95" hidden="1" customHeight="1" x14ac:dyDescent="0.25">
      <c r="B120" s="1062">
        <v>53</v>
      </c>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row>
    <row r="121" spans="2:43" ht="15.95" hidden="1" customHeight="1" x14ac:dyDescent="0.25">
      <c r="B121" s="1062"/>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row>
    <row r="122" spans="2:43" ht="15.95" hidden="1" customHeight="1" x14ac:dyDescent="0.25">
      <c r="B122" s="1062">
        <v>54</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row>
    <row r="123" spans="2:43" ht="15.95" hidden="1" customHeight="1" x14ac:dyDescent="0.25">
      <c r="B123" s="1062"/>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row>
    <row r="124" spans="2:43" ht="15.95" hidden="1" customHeight="1" x14ac:dyDescent="0.25">
      <c r="B124" s="1062">
        <v>55</v>
      </c>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row>
    <row r="125" spans="2:43" ht="15.95" hidden="1" customHeight="1" x14ac:dyDescent="0.25">
      <c r="B125" s="1062"/>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row>
    <row r="126" spans="2:43" ht="15.95" hidden="1" customHeight="1" x14ac:dyDescent="0.25">
      <c r="B126" s="1062">
        <v>56</v>
      </c>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row>
    <row r="127" spans="2:43" ht="15.95" hidden="1" customHeight="1" x14ac:dyDescent="0.25">
      <c r="B127" s="1062"/>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row>
    <row r="128" spans="2:43" ht="15.95" hidden="1" customHeight="1" x14ac:dyDescent="0.25">
      <c r="B128" s="1062">
        <v>57</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row>
    <row r="129" spans="2:43" ht="15.95" hidden="1" customHeight="1" x14ac:dyDescent="0.25">
      <c r="B129" s="1062"/>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row>
    <row r="130" spans="2:43" ht="15.95" hidden="1" customHeight="1" x14ac:dyDescent="0.25">
      <c r="B130" s="1062">
        <v>58</v>
      </c>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row>
    <row r="131" spans="2:43" ht="15.95" hidden="1" customHeight="1" x14ac:dyDescent="0.25">
      <c r="B131" s="1062"/>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row>
    <row r="132" spans="2:43" ht="15.95" hidden="1" customHeight="1" x14ac:dyDescent="0.25">
      <c r="B132" s="1062">
        <v>59</v>
      </c>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row>
    <row r="133" spans="2:43" ht="15.95" hidden="1" customHeight="1" x14ac:dyDescent="0.25">
      <c r="B133" s="1062"/>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row>
    <row r="134" spans="2:43" ht="15.95" hidden="1" customHeight="1" x14ac:dyDescent="0.25">
      <c r="B134" s="1062">
        <v>60</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row>
    <row r="135" spans="2:43" ht="15.95" hidden="1" customHeight="1" x14ac:dyDescent="0.25">
      <c r="B135" s="1062"/>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row>
    <row r="136" spans="2:43" ht="15.95" hidden="1" customHeight="1" x14ac:dyDescent="0.25">
      <c r="B136" s="1062">
        <v>61</v>
      </c>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row>
    <row r="137" spans="2:43" ht="15.95" hidden="1" customHeight="1" x14ac:dyDescent="0.25">
      <c r="B137" s="1062"/>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row>
    <row r="138" spans="2:43" ht="15.95" hidden="1" customHeight="1" x14ac:dyDescent="0.25">
      <c r="B138" s="1062">
        <v>62</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row>
    <row r="139" spans="2:43" ht="15.95" hidden="1" customHeight="1" x14ac:dyDescent="0.25">
      <c r="B139" s="1062"/>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row>
    <row r="140" spans="2:43" ht="15.95" hidden="1" customHeight="1" x14ac:dyDescent="0.25">
      <c r="B140" s="1062">
        <v>63</v>
      </c>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row>
    <row r="141" spans="2:43" ht="15.95" hidden="1" customHeight="1" x14ac:dyDescent="0.25">
      <c r="B141" s="1062"/>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row>
    <row r="142" spans="2:43" ht="15.95" hidden="1" customHeight="1" x14ac:dyDescent="0.25">
      <c r="B142" s="1062">
        <v>64</v>
      </c>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row>
    <row r="143" spans="2:43" ht="15.95" hidden="1" customHeight="1" x14ac:dyDescent="0.25">
      <c r="B143" s="1062"/>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row>
    <row r="144" spans="2:43" ht="15.95" hidden="1" customHeight="1" x14ac:dyDescent="0.25">
      <c r="B144" s="1062">
        <v>65</v>
      </c>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row>
    <row r="145" spans="2:43" ht="15.95" hidden="1" customHeight="1" x14ac:dyDescent="0.25">
      <c r="B145" s="1062"/>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row>
    <row r="146" spans="2:43" ht="15.95" hidden="1" customHeight="1" x14ac:dyDescent="0.25">
      <c r="B146" s="1062">
        <v>66</v>
      </c>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row>
    <row r="147" spans="2:43" ht="15.95" hidden="1" customHeight="1" x14ac:dyDescent="0.25">
      <c r="B147" s="1062"/>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row>
    <row r="148" spans="2:43" ht="15.95" hidden="1" customHeight="1" x14ac:dyDescent="0.25">
      <c r="B148" s="1062">
        <v>67</v>
      </c>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row>
    <row r="149" spans="2:43" ht="15.95" hidden="1" customHeight="1" x14ac:dyDescent="0.25">
      <c r="B149" s="1062"/>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row>
    <row r="150" spans="2:43" ht="15.95" hidden="1" customHeight="1" x14ac:dyDescent="0.25">
      <c r="B150" s="1062">
        <v>68</v>
      </c>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row>
    <row r="151" spans="2:43" ht="15.95" hidden="1" customHeight="1" x14ac:dyDescent="0.25">
      <c r="B151" s="1062"/>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row>
    <row r="152" spans="2:43" ht="15.95" hidden="1" customHeight="1" x14ac:dyDescent="0.25">
      <c r="B152" s="1062">
        <v>69</v>
      </c>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row>
    <row r="153" spans="2:43" ht="15.95" hidden="1" customHeight="1" x14ac:dyDescent="0.25">
      <c r="B153" s="1062"/>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row>
    <row r="154" spans="2:43" ht="15.95" hidden="1" customHeight="1" x14ac:dyDescent="0.25">
      <c r="B154" s="1062">
        <v>70</v>
      </c>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row>
    <row r="155" spans="2:43" ht="15.95" hidden="1" customHeight="1" x14ac:dyDescent="0.25">
      <c r="B155" s="1062"/>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row>
    <row r="156" spans="2:43" ht="15.95" hidden="1" customHeight="1" x14ac:dyDescent="0.25">
      <c r="B156" s="1062">
        <v>71</v>
      </c>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row>
    <row r="157" spans="2:43" ht="15.95" hidden="1" customHeight="1" x14ac:dyDescent="0.25">
      <c r="B157" s="1062"/>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row>
    <row r="158" spans="2:43" ht="15.95" hidden="1" customHeight="1" x14ac:dyDescent="0.25">
      <c r="B158" s="1062">
        <v>72</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3" ht="15.95" hidden="1" customHeight="1" x14ac:dyDescent="0.25">
      <c r="B159" s="1062"/>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3" ht="15.95" hidden="1" customHeight="1" x14ac:dyDescent="0.25">
      <c r="B160" s="1062">
        <v>73</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hidden="1" customHeight="1" x14ac:dyDescent="0.25">
      <c r="B161" s="1062"/>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hidden="1" customHeight="1" x14ac:dyDescent="0.25">
      <c r="B162" s="1062">
        <v>74</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hidden="1" customHeight="1" x14ac:dyDescent="0.25">
      <c r="B163" s="1062"/>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hidden="1" customHeight="1" x14ac:dyDescent="0.25">
      <c r="B164" s="1062">
        <v>75</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hidden="1" customHeight="1" x14ac:dyDescent="0.25">
      <c r="B165" s="1062"/>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hidden="1" customHeight="1" x14ac:dyDescent="0.25">
      <c r="B166" s="1062">
        <v>76</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hidden="1" customHeight="1" x14ac:dyDescent="0.25">
      <c r="B167" s="1062"/>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hidden="1" customHeight="1" x14ac:dyDescent="0.25">
      <c r="B168" s="1062">
        <v>77</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hidden="1" customHeight="1" x14ac:dyDescent="0.25">
      <c r="B169" s="1062"/>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hidden="1" customHeight="1" x14ac:dyDescent="0.25">
      <c r="B170" s="1062">
        <v>78</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hidden="1" customHeight="1" x14ac:dyDescent="0.25">
      <c r="B171" s="1062"/>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hidden="1" customHeight="1" x14ac:dyDescent="0.25">
      <c r="B172" s="1062">
        <v>79</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hidden="1" customHeight="1" x14ac:dyDescent="0.25">
      <c r="B173" s="1062"/>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hidden="1" customHeight="1" x14ac:dyDescent="0.25">
      <c r="B174" s="1062">
        <v>80</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hidden="1" customHeight="1" x14ac:dyDescent="0.25">
      <c r="B175" s="1062"/>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hidden="1" customHeight="1" x14ac:dyDescent="0.25">
      <c r="B176" s="1062">
        <v>81</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hidden="1" customHeight="1" x14ac:dyDescent="0.25">
      <c r="B177" s="1062"/>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hidden="1" customHeight="1" x14ac:dyDescent="0.25">
      <c r="B178" s="1062">
        <v>82</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hidden="1" customHeight="1" x14ac:dyDescent="0.25">
      <c r="B179" s="1062"/>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hidden="1" customHeight="1" x14ac:dyDescent="0.25">
      <c r="B180" s="1062">
        <v>83</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hidden="1" customHeight="1" x14ac:dyDescent="0.25">
      <c r="B181" s="1062"/>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hidden="1" customHeight="1" x14ac:dyDescent="0.25">
      <c r="B182" s="1062">
        <v>84</v>
      </c>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hidden="1" customHeight="1" x14ac:dyDescent="0.25">
      <c r="B183" s="1062"/>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hidden="1" customHeight="1" x14ac:dyDescent="0.25">
      <c r="B184" s="1062">
        <v>85</v>
      </c>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hidden="1" customHeight="1" x14ac:dyDescent="0.25">
      <c r="B185" s="1062"/>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hidden="1" customHeight="1" x14ac:dyDescent="0.25">
      <c r="B186" s="1062">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hidden="1" customHeight="1" x14ac:dyDescent="0.25">
      <c r="B187" s="1062"/>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hidden="1" customHeight="1" x14ac:dyDescent="0.25">
      <c r="B188" s="1062">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hidden="1" customHeight="1" x14ac:dyDescent="0.25">
      <c r="B189" s="1062"/>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hidden="1" customHeight="1" x14ac:dyDescent="0.25">
      <c r="B190" s="1062">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hidden="1" customHeight="1" x14ac:dyDescent="0.25">
      <c r="B191" s="1062"/>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hidden="1" customHeight="1" x14ac:dyDescent="0.25">
      <c r="B192" s="1062">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7" ht="15.95" hidden="1" customHeight="1" x14ac:dyDescent="0.25">
      <c r="B193" s="1062"/>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7" ht="15.95" hidden="1" customHeight="1" x14ac:dyDescent="0.25">
      <c r="B194" s="1062">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7" ht="15.95" hidden="1" customHeight="1" x14ac:dyDescent="0.25">
      <c r="B195" s="1062"/>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7" ht="15.95" hidden="1" customHeight="1" x14ac:dyDescent="0.25">
      <c r="B196" s="1062">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7" ht="15.95" hidden="1" customHeight="1" x14ac:dyDescent="0.25">
      <c r="B197" s="1062"/>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7" ht="15.95" hidden="1" customHeight="1" x14ac:dyDescent="0.25">
      <c r="B198" s="1062">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7" ht="15.95" hidden="1" customHeight="1" x14ac:dyDescent="0.25">
      <c r="B199" s="1062"/>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7" ht="15.95" customHeight="1" x14ac:dyDescent="0.25">
      <c r="B200" s="114" t="str">
        <f>FOOT1</f>
        <v>Ameren Missouri BizSavers program</v>
      </c>
      <c r="C200" s="114"/>
      <c r="D200" s="114"/>
      <c r="E200" s="114"/>
      <c r="F200" s="114"/>
      <c r="G200" s="114"/>
      <c r="H200" s="114"/>
      <c r="I200" s="114"/>
      <c r="J200" s="114"/>
      <c r="K200" s="114"/>
      <c r="L200" s="114"/>
      <c r="M200" s="1097" t="str">
        <f>FOOTDISCLAIM</f>
        <v/>
      </c>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14"/>
      <c r="AI200" s="114"/>
      <c r="AJ200" s="114"/>
      <c r="AK200" s="114"/>
      <c r="AL200" s="114"/>
      <c r="AM200" s="114"/>
      <c r="AN200" s="114"/>
      <c r="AO200" s="114"/>
      <c r="AP200" s="114"/>
      <c r="AQ200" s="114"/>
      <c r="AR200" s="300" t="str">
        <f>FOOT4</f>
        <v/>
      </c>
      <c r="AU200" s="1067">
        <f>SUM(AU16:AU199)</f>
        <v>0</v>
      </c>
    </row>
    <row r="201" spans="2:47" ht="15.95" customHeight="1" x14ac:dyDescent="0.25">
      <c r="B201" s="114" t="str">
        <f>FOOT2</f>
        <v>Toll-Free 866-941-7299</v>
      </c>
      <c r="C201" s="114"/>
      <c r="D201" s="114"/>
      <c r="E201" s="114"/>
      <c r="F201" s="114"/>
      <c r="G201" s="114"/>
      <c r="H201" s="114"/>
      <c r="I201" s="114"/>
      <c r="J201" s="114"/>
      <c r="K201" s="114"/>
      <c r="L201" s="114"/>
      <c r="M201" s="1097"/>
      <c r="N201" s="1097"/>
      <c r="O201" s="1097"/>
      <c r="P201" s="1097"/>
      <c r="Q201" s="1097"/>
      <c r="R201" s="1097"/>
      <c r="S201" s="1097"/>
      <c r="T201" s="1097"/>
      <c r="U201" s="1097"/>
      <c r="V201" s="1097"/>
      <c r="W201" s="1097"/>
      <c r="X201" s="1097"/>
      <c r="Y201" s="1097"/>
      <c r="Z201" s="1097"/>
      <c r="AA201" s="1097"/>
      <c r="AB201" s="1097"/>
      <c r="AC201" s="1097"/>
      <c r="AD201" s="1097"/>
      <c r="AE201" s="1097"/>
      <c r="AF201" s="1097"/>
      <c r="AG201" s="1097"/>
      <c r="AH201" s="114"/>
      <c r="AI201" s="114"/>
      <c r="AJ201" s="114"/>
      <c r="AK201" s="114"/>
      <c r="AL201" s="114"/>
      <c r="AM201" s="114"/>
      <c r="AN201" s="114"/>
      <c r="AO201" s="114"/>
      <c r="AP201" s="114"/>
      <c r="AQ201" s="114"/>
      <c r="AR201" s="300" t="str">
        <f>FOOT5</f>
        <v/>
      </c>
      <c r="AU201" s="1068"/>
    </row>
    <row r="202" spans="2:47" ht="15.95" customHeight="1" x14ac:dyDescent="0.25">
      <c r="B202" s="115" t="str">
        <f>FOOT3</f>
        <v>BizSavers@ameren.com</v>
      </c>
      <c r="C202" s="114"/>
      <c r="D202" s="114"/>
      <c r="E202" s="114"/>
      <c r="F202" s="114"/>
      <c r="G202" s="114"/>
      <c r="H202" s="114"/>
      <c r="I202" s="114"/>
      <c r="J202" s="114"/>
      <c r="K202" s="114"/>
      <c r="L202" s="114"/>
      <c r="M202" s="116"/>
      <c r="N202" s="114"/>
      <c r="O202" s="114"/>
      <c r="P202" s="116"/>
      <c r="Q202" s="116"/>
      <c r="R202" s="116"/>
      <c r="S202" s="116"/>
      <c r="T202" s="116"/>
      <c r="U202" s="116"/>
      <c r="V202" s="116"/>
      <c r="W202" s="117" t="str">
        <f>VERSION</f>
        <v>New Construction v3.8.0</v>
      </c>
      <c r="X202" s="116"/>
      <c r="Y202" s="116"/>
      <c r="Z202" s="116"/>
      <c r="AA202" s="116"/>
      <c r="AB202" s="116"/>
      <c r="AC202" s="116"/>
      <c r="AD202" s="116"/>
      <c r="AE202" s="114"/>
      <c r="AF202" s="114"/>
      <c r="AG202" s="114"/>
      <c r="AH202" s="114"/>
      <c r="AI202" s="114"/>
      <c r="AJ202" s="114"/>
      <c r="AK202" s="114"/>
      <c r="AL202" s="114"/>
      <c r="AM202" s="114"/>
      <c r="AN202" s="114"/>
      <c r="AO202" s="114"/>
      <c r="AP202" s="114"/>
      <c r="AQ202" s="114"/>
      <c r="AR202" s="300" t="str">
        <f>FOOT6</f>
        <v>Product of TRC Companies</v>
      </c>
    </row>
  </sheetData>
  <sheetProtection algorithmName="SHA-512" hashValue="eu1J4/WX+QIbrg365m/iT9BYAiDYK8SmPg/254aTv8TQO2tSXvG7RN3jnxoKqa7ymIr7WjaUfkzS42qY4a/vHQ==" saltValue="rLUUttbijp5GeUcRevzbSA==" spinCount="100000" sheet="1" objects="1" scenarios="1" selectLockedCells="1"/>
  <mergeCells count="104">
    <mergeCell ref="B46:B47"/>
    <mergeCell ref="B48:B49"/>
    <mergeCell ref="B50:B51"/>
    <mergeCell ref="B52:B53"/>
    <mergeCell ref="B54:B55"/>
    <mergeCell ref="B56:B57"/>
    <mergeCell ref="B58:B59"/>
    <mergeCell ref="B60:B61"/>
    <mergeCell ref="B62:B63"/>
    <mergeCell ref="AU200:AU201"/>
    <mergeCell ref="B64:B65"/>
    <mergeCell ref="B88:B89"/>
    <mergeCell ref="B66:B67"/>
    <mergeCell ref="B68:B69"/>
    <mergeCell ref="B70:B71"/>
    <mergeCell ref="B72:B73"/>
    <mergeCell ref="B74:B75"/>
    <mergeCell ref="B76:B77"/>
    <mergeCell ref="B78:B79"/>
    <mergeCell ref="B80:B81"/>
    <mergeCell ref="B82:B83"/>
    <mergeCell ref="B84:B85"/>
    <mergeCell ref="B86:B87"/>
    <mergeCell ref="B180:B181"/>
    <mergeCell ref="B112:B113"/>
    <mergeCell ref="B90:B91"/>
    <mergeCell ref="B92:B93"/>
    <mergeCell ref="B94:B95"/>
    <mergeCell ref="B96:B97"/>
    <mergeCell ref="B98:B99"/>
    <mergeCell ref="B100:B101"/>
    <mergeCell ref="B102:B103"/>
    <mergeCell ref="B136:B137"/>
    <mergeCell ref="B114:B115"/>
    <mergeCell ref="B116:B117"/>
    <mergeCell ref="B118:B119"/>
    <mergeCell ref="B120:B121"/>
    <mergeCell ref="B104:B105"/>
    <mergeCell ref="B106:B107"/>
    <mergeCell ref="B108:B109"/>
    <mergeCell ref="B110:B111"/>
    <mergeCell ref="B122:B123"/>
    <mergeCell ref="B124:B125"/>
    <mergeCell ref="B126:B127"/>
    <mergeCell ref="B128:B129"/>
    <mergeCell ref="B130:B131"/>
    <mergeCell ref="B132:B133"/>
    <mergeCell ref="B134:B135"/>
    <mergeCell ref="M200:AG201"/>
    <mergeCell ref="B198:B199"/>
    <mergeCell ref="B186:B187"/>
    <mergeCell ref="B188:B189"/>
    <mergeCell ref="B190:B191"/>
    <mergeCell ref="B192:B193"/>
    <mergeCell ref="B194:B195"/>
    <mergeCell ref="B196:B197"/>
    <mergeCell ref="B184:B185"/>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74:B175"/>
    <mergeCell ref="B178:B179"/>
    <mergeCell ref="B162:B163"/>
    <mergeCell ref="B164:B165"/>
    <mergeCell ref="B166:B167"/>
    <mergeCell ref="B168:B169"/>
    <mergeCell ref="B170:B171"/>
    <mergeCell ref="B172:B173"/>
    <mergeCell ref="B176:B177"/>
    <mergeCell ref="R12:U12"/>
    <mergeCell ref="V12:Y12"/>
    <mergeCell ref="AH2:AJ2"/>
    <mergeCell ref="AL2:AO2"/>
    <mergeCell ref="AQ2:AR2"/>
    <mergeCell ref="AH3:AJ4"/>
    <mergeCell ref="AL3:AO4"/>
    <mergeCell ref="AQ3:AR4"/>
    <mergeCell ref="Z11:AD11"/>
    <mergeCell ref="Z12:AD12"/>
    <mergeCell ref="R9:AD10"/>
    <mergeCell ref="R11:U11"/>
    <mergeCell ref="V11:Y11"/>
    <mergeCell ref="AG46:AH47"/>
    <mergeCell ref="AI46:AJ47"/>
    <mergeCell ref="AK46:AN47"/>
    <mergeCell ref="AO46:AQ47"/>
    <mergeCell ref="AU46:AU47"/>
    <mergeCell ref="C46:M47"/>
    <mergeCell ref="N46:S47"/>
    <mergeCell ref="T46:U47"/>
    <mergeCell ref="V46:W47"/>
    <mergeCell ref="X46:AA47"/>
    <mergeCell ref="AB46:AD47"/>
    <mergeCell ref="AE46:AF47"/>
  </mergeCells>
  <conditionalFormatting sqref="AH3 AL3">
    <cfRule type="expression" dxfId="211" priority="4">
      <formula>PROJSTATUS="Pre-approval Required"</formula>
    </cfRule>
    <cfRule type="expression" dxfId="210" priority="5">
      <formula>PROJSTATUS="Prescriptive Only No Preapproval Required"</formula>
    </cfRule>
    <cfRule type="expression" dxfId="209" priority="6">
      <formula>PROJSTATUS="APP EXPIRED"</formula>
    </cfRule>
  </conditionalFormatting>
  <conditionalFormatting sqref="AQ3:AR4">
    <cfRule type="cellIs" dxfId="208" priority="1" operator="equal">
      <formula>1</formula>
    </cfRule>
    <cfRule type="cellIs" dxfId="207" priority="2" operator="between">
      <formula>0.51</formula>
      <formula>0.99</formula>
    </cfRule>
    <cfRule type="cellIs" dxfId="206" priority="3" operator="lessThanOrEqual">
      <formula>0.5</formula>
    </cfRule>
  </conditionalFormatting>
  <dataValidations count="3">
    <dataValidation type="decimal" allowBlank="1" showInputMessage="1" showErrorMessage="1" error="Please enter a numerical value" sqref="AE46:AH47" xr:uid="{00000000-0002-0000-1B00-000000000000}">
      <formula1>0</formula1>
      <formula2>999999</formula2>
    </dataValidation>
    <dataValidation type="decimal" allowBlank="1" showInputMessage="1" showErrorMessage="1" error="Please enter a numerical value" prompt="Reference the &quot;Unit of Measure&quot; column to ensure you enter the correct value based on unit type." sqref="V46:W47" xr:uid="{00000000-0002-0000-1B00-000001000000}">
      <formula1>0</formula1>
      <formula2>99999</formula2>
    </dataValidation>
    <dataValidation type="list" allowBlank="1" showInputMessage="1" showErrorMessage="1" sqref="C46:M47" xr:uid="{00000000-0002-0000-1B00-000002000000}">
      <formula1>PMGHVACEFF1</formula1>
    </dataValidation>
  </dataValidations>
  <hyperlinks>
    <hyperlink ref="B202" r:id="rId1" display="NIPSCO.Savings@LMCO.com" xr:uid="{00000000-0004-0000-1B00-000000000000}"/>
  </hyperlinks>
  <pageMargins left="0.25" right="0.25" top="0.25" bottom="0.25" header="0.25" footer="0.25"/>
  <pageSetup scale="64" fitToHeight="0" orientation="landscape"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pageSetUpPr fitToPage="1"/>
  </sheetPr>
  <dimension ref="A1:BZ202"/>
  <sheetViews>
    <sheetView showGridLines="0" showRowColHeaders="0" zoomScaleNormal="100" workbookViewId="0">
      <selection activeCell="C16" sqref="C16:M17"/>
    </sheetView>
  </sheetViews>
  <sheetFormatPr defaultColWidth="0" defaultRowHeight="0" customHeight="1" zeroHeight="1" x14ac:dyDescent="0.25"/>
  <cols>
    <col min="1" max="45" width="4.7109375" customWidth="1"/>
    <col min="46" max="46" width="4.7109375" hidden="1" customWidth="1"/>
    <col min="47" max="71" width="9.140625" hidden="1" customWidth="1"/>
    <col min="72" max="78" width="9.140625" customWidth="1"/>
    <col min="79" max="16384" width="9.140625" hidden="1"/>
  </cols>
  <sheetData>
    <row r="1" spans="2:47" ht="15.95" customHeight="1" x14ac:dyDescent="0.25">
      <c r="AH1" s="60"/>
      <c r="AI1" s="61"/>
      <c r="AJ1" s="62"/>
      <c r="AL1" s="60"/>
      <c r="AM1" s="60"/>
      <c r="AN1" s="60"/>
      <c r="AO1" s="60"/>
      <c r="AQ1" s="60"/>
      <c r="AR1" s="62"/>
    </row>
    <row r="2" spans="2:47" ht="15.95" customHeight="1" x14ac:dyDescent="0.25">
      <c r="AH2" s="1076" t="s">
        <v>494</v>
      </c>
      <c r="AI2" s="1076"/>
      <c r="AJ2" s="1076"/>
      <c r="AL2" s="1077" t="s">
        <v>495</v>
      </c>
      <c r="AM2" s="1077"/>
      <c r="AN2" s="1077"/>
      <c r="AO2" s="1077"/>
      <c r="AQ2" s="1076" t="s">
        <v>499</v>
      </c>
      <c r="AR2" s="1076"/>
    </row>
    <row r="3" spans="2:47" ht="15.95" customHeight="1" x14ac:dyDescent="0.25">
      <c r="AH3" s="1078" t="str">
        <f ca="1">INCENSTATUS</f>
        <v>---</v>
      </c>
      <c r="AI3" s="1079"/>
      <c r="AJ3" s="1080"/>
      <c r="AL3" s="1084" t="str">
        <f ca="1">PROJSTATUS</f>
        <v>Please Complete Initial Application</v>
      </c>
      <c r="AM3" s="1085"/>
      <c r="AN3" s="1085"/>
      <c r="AO3" s="1086"/>
      <c r="AQ3" s="1090">
        <f ca="1">PROGRESSSTATUS</f>
        <v>0</v>
      </c>
      <c r="AR3" s="1091"/>
    </row>
    <row r="4" spans="2:47" ht="15.95" customHeight="1" x14ac:dyDescent="0.25">
      <c r="AH4" s="1081"/>
      <c r="AI4" s="1082"/>
      <c r="AJ4" s="1083"/>
      <c r="AL4" s="1087"/>
      <c r="AM4" s="1088"/>
      <c r="AN4" s="1088"/>
      <c r="AO4" s="1089"/>
      <c r="AQ4" s="1092"/>
      <c r="AR4" s="1093"/>
    </row>
    <row r="5" spans="2:47" ht="15.95" customHeight="1" x14ac:dyDescent="0.25"/>
    <row r="6" spans="2:47" ht="15.95" customHeight="1" x14ac:dyDescent="0.25"/>
    <row r="7" spans="2:47" ht="15.95" customHeight="1" x14ac:dyDescent="0.25"/>
    <row r="8" spans="2:47" ht="15.95" customHeight="1" x14ac:dyDescent="0.25"/>
    <row r="9" spans="2:47" s="63" customFormat="1" ht="15.95" customHeight="1" x14ac:dyDescent="0.25">
      <c r="B9" s="135"/>
      <c r="C9" s="135"/>
      <c r="D9" s="135"/>
      <c r="E9" s="135"/>
      <c r="F9" s="135"/>
      <c r="G9" s="135"/>
      <c r="H9" s="135"/>
      <c r="I9" s="135"/>
      <c r="J9" s="135"/>
      <c r="K9" s="135"/>
      <c r="L9" s="135"/>
      <c r="M9" s="135"/>
      <c r="N9" s="135"/>
      <c r="O9" s="135"/>
      <c r="P9" s="135"/>
      <c r="Q9" s="135"/>
      <c r="R9" s="1096" t="str">
        <f>CONCATENATE(M3S8," ","Summary")</f>
        <v>M3S8 Summary</v>
      </c>
      <c r="S9" s="1096"/>
      <c r="T9" s="1096"/>
      <c r="U9" s="1096"/>
      <c r="V9" s="1096"/>
      <c r="W9" s="1096"/>
      <c r="X9" s="1096"/>
      <c r="Y9" s="1096"/>
      <c r="Z9" s="1096"/>
      <c r="AA9" s="1096"/>
      <c r="AB9" s="1096"/>
      <c r="AC9" s="1096"/>
      <c r="AD9" s="1096"/>
      <c r="AE9" s="135"/>
      <c r="AF9" s="135"/>
      <c r="AG9" s="135"/>
      <c r="AH9" s="135"/>
      <c r="AI9" s="135"/>
      <c r="AJ9" s="135"/>
      <c r="AK9" s="135"/>
      <c r="AL9" s="135"/>
      <c r="AM9" s="135"/>
      <c r="AN9" s="135"/>
      <c r="AO9" s="135"/>
      <c r="AP9" s="135"/>
      <c r="AQ9" s="135"/>
      <c r="AR9" s="135"/>
    </row>
    <row r="10" spans="2:47" ht="15.95" customHeight="1" x14ac:dyDescent="0.25">
      <c r="B10" s="135"/>
      <c r="C10" s="135"/>
      <c r="D10" s="135"/>
      <c r="E10" s="135"/>
      <c r="F10" s="135"/>
      <c r="G10" s="135"/>
      <c r="H10" s="135"/>
      <c r="I10" s="135"/>
      <c r="J10" s="135"/>
      <c r="K10" s="135"/>
      <c r="L10" s="135"/>
      <c r="M10" s="135"/>
      <c r="N10" s="135"/>
      <c r="O10" s="135"/>
      <c r="P10" s="135"/>
      <c r="Q10" s="135"/>
      <c r="R10" s="1096"/>
      <c r="S10" s="1096"/>
      <c r="T10" s="1096"/>
      <c r="U10" s="1096"/>
      <c r="V10" s="1096"/>
      <c r="W10" s="1096"/>
      <c r="X10" s="1096"/>
      <c r="Y10" s="1096"/>
      <c r="Z10" s="1096"/>
      <c r="AA10" s="1096"/>
      <c r="AB10" s="1096"/>
      <c r="AC10" s="1096"/>
      <c r="AD10" s="1096"/>
      <c r="AE10" s="135"/>
      <c r="AF10" s="135"/>
      <c r="AG10" s="135"/>
      <c r="AH10" s="135"/>
      <c r="AI10" s="135"/>
      <c r="AJ10" s="135"/>
      <c r="AK10" s="135"/>
      <c r="AL10" s="135"/>
      <c r="AM10" s="135"/>
      <c r="AN10" s="135"/>
      <c r="AO10" s="135"/>
      <c r="AP10" s="135"/>
      <c r="AQ10" s="135"/>
      <c r="AR10" s="135"/>
    </row>
    <row r="11" spans="2:47" ht="15.95" customHeight="1" x14ac:dyDescent="0.25">
      <c r="B11" s="135"/>
      <c r="C11" s="135"/>
      <c r="D11" s="135"/>
      <c r="E11" s="135"/>
      <c r="F11" s="135"/>
      <c r="G11" s="135"/>
      <c r="H11" s="135"/>
      <c r="I11" s="135"/>
      <c r="J11" s="135"/>
      <c r="K11" s="135"/>
      <c r="L11" s="135"/>
      <c r="M11" s="135"/>
      <c r="N11" s="135"/>
      <c r="O11" s="135"/>
      <c r="P11" s="135"/>
      <c r="Q11" s="135"/>
      <c r="R11" s="1094" t="s">
        <v>69</v>
      </c>
      <c r="S11" s="1094"/>
      <c r="T11" s="1094"/>
      <c r="U11" s="1094"/>
      <c r="V11" s="1094" t="s">
        <v>70</v>
      </c>
      <c r="W11" s="1094"/>
      <c r="X11" s="1094"/>
      <c r="Y11" s="1094"/>
      <c r="Z11" s="1094" t="s">
        <v>218</v>
      </c>
      <c r="AA11" s="1094"/>
      <c r="AB11" s="1094"/>
      <c r="AC11" s="1094"/>
      <c r="AD11" s="1094"/>
      <c r="AE11" s="135"/>
      <c r="AF11" s="135"/>
      <c r="AG11" s="135"/>
      <c r="AH11" s="135"/>
      <c r="AI11" s="135"/>
      <c r="AJ11" s="135"/>
      <c r="AK11" s="135"/>
      <c r="AL11" s="135"/>
      <c r="AM11" s="135"/>
      <c r="AN11" s="135"/>
      <c r="AO11" s="135"/>
      <c r="AP11" s="135"/>
      <c r="AQ11" s="135"/>
      <c r="AR11" s="135"/>
    </row>
    <row r="12" spans="2:47" ht="15.95" customHeight="1" x14ac:dyDescent="0.25">
      <c r="B12" s="135"/>
      <c r="C12" s="135"/>
      <c r="D12" s="135"/>
      <c r="E12" s="135"/>
      <c r="F12" s="135"/>
      <c r="G12" s="135"/>
      <c r="H12" s="135"/>
      <c r="I12" s="135"/>
      <c r="J12" s="135"/>
      <c r="K12" s="135"/>
      <c r="L12" s="135"/>
      <c r="M12" s="135"/>
      <c r="N12" s="135"/>
      <c r="O12" s="135"/>
      <c r="P12" s="135"/>
      <c r="Q12" s="135"/>
      <c r="R12" s="1075">
        <f>SUM(AO16:AQ199)</f>
        <v>0</v>
      </c>
      <c r="S12" s="1075"/>
      <c r="T12" s="1075"/>
      <c r="U12" s="1075"/>
      <c r="V12" s="1075">
        <f>AU200</f>
        <v>0</v>
      </c>
      <c r="W12" s="1075"/>
      <c r="X12" s="1075"/>
      <c r="Y12" s="1075"/>
      <c r="Z12" s="1095">
        <f>SUM(AK16:AN199)</f>
        <v>0</v>
      </c>
      <c r="AA12" s="1095"/>
      <c r="AB12" s="1095"/>
      <c r="AC12" s="1095"/>
      <c r="AD12" s="1095"/>
      <c r="AE12" s="135"/>
      <c r="AF12" s="135"/>
      <c r="AG12" s="135"/>
      <c r="AH12" s="135"/>
      <c r="AI12" s="135"/>
      <c r="AJ12" s="135"/>
      <c r="AK12" s="135"/>
      <c r="AL12" s="135"/>
      <c r="AM12" s="135"/>
      <c r="AN12" s="135"/>
      <c r="AO12" s="135"/>
      <c r="AP12" s="135"/>
      <c r="AQ12" s="135"/>
      <c r="AR12" s="135"/>
    </row>
    <row r="13" spans="2:47" s="63" customFormat="1" ht="15.95" customHeight="1" x14ac:dyDescent="0.25">
      <c r="B13" s="135"/>
      <c r="C13" s="135"/>
      <c r="D13" s="135"/>
      <c r="E13" s="135"/>
      <c r="F13" s="135"/>
      <c r="G13" s="135"/>
      <c r="H13" s="135"/>
      <c r="I13" s="135"/>
      <c r="J13" s="135"/>
      <c r="K13" s="135"/>
      <c r="L13" s="135"/>
      <c r="M13" s="135"/>
      <c r="N13" s="135"/>
      <c r="O13" s="135"/>
      <c r="P13" s="135"/>
      <c r="Q13" s="135"/>
      <c r="R13" s="189"/>
      <c r="S13" s="189"/>
      <c r="T13" s="189"/>
      <c r="U13" s="189"/>
      <c r="V13" s="189"/>
      <c r="W13" s="189"/>
      <c r="X13" s="189"/>
      <c r="Y13" s="189"/>
      <c r="Z13" s="190"/>
      <c r="AA13" s="190"/>
      <c r="AB13" s="190"/>
      <c r="AC13" s="190"/>
      <c r="AD13" s="190"/>
      <c r="AE13" s="135"/>
      <c r="AF13" s="135"/>
      <c r="AG13" s="135"/>
      <c r="AH13" s="135"/>
      <c r="AI13" s="135"/>
      <c r="AJ13" s="135"/>
      <c r="AK13" s="135"/>
      <c r="AL13" s="135"/>
      <c r="AM13" s="135"/>
      <c r="AN13" s="135"/>
      <c r="AO13" s="135"/>
      <c r="AP13" s="135"/>
      <c r="AQ13" s="135"/>
      <c r="AR13" s="135"/>
    </row>
    <row r="14" spans="2:47" ht="15.95" customHeight="1" x14ac:dyDescent="0.25">
      <c r="B14" s="135"/>
      <c r="C14" s="1060" t="s">
        <v>98</v>
      </c>
      <c r="D14" s="1060"/>
      <c r="E14" s="1060"/>
      <c r="F14" s="1060"/>
      <c r="G14" s="1060"/>
      <c r="H14" s="1060"/>
      <c r="I14" s="1060"/>
      <c r="J14" s="1060"/>
      <c r="K14" s="1060"/>
      <c r="L14" s="1060"/>
      <c r="M14" s="1060"/>
      <c r="N14" s="1060" t="s">
        <v>100</v>
      </c>
      <c r="O14" s="1060"/>
      <c r="P14" s="1060"/>
      <c r="Q14" s="1060"/>
      <c r="R14" s="1060"/>
      <c r="S14" s="1060"/>
      <c r="T14" s="1060" t="s">
        <v>99</v>
      </c>
      <c r="U14" s="1060"/>
      <c r="V14" s="1060" t="s">
        <v>91</v>
      </c>
      <c r="W14" s="1060"/>
      <c r="X14" s="1060" t="s">
        <v>108</v>
      </c>
      <c r="Y14" s="1060"/>
      <c r="Z14" s="1060"/>
      <c r="AA14" s="1060"/>
      <c r="AB14" s="1060" t="s">
        <v>101</v>
      </c>
      <c r="AC14" s="1060"/>
      <c r="AD14" s="1060"/>
      <c r="AE14" s="1060" t="s">
        <v>96</v>
      </c>
      <c r="AF14" s="1060"/>
      <c r="AG14" s="1060" t="s">
        <v>97</v>
      </c>
      <c r="AH14" s="1060"/>
      <c r="AI14" s="1060" t="s">
        <v>94</v>
      </c>
      <c r="AJ14" s="1060"/>
      <c r="AK14" s="1060" t="s">
        <v>106</v>
      </c>
      <c r="AL14" s="1060"/>
      <c r="AM14" s="1060"/>
      <c r="AN14" s="1060"/>
      <c r="AO14" s="1060" t="s">
        <v>92</v>
      </c>
      <c r="AP14" s="1060"/>
      <c r="AQ14" s="1060"/>
      <c r="AR14" s="135"/>
      <c r="AU14" s="1076" t="s">
        <v>216</v>
      </c>
    </row>
    <row r="15" spans="2:47" ht="15.95" customHeight="1" thickBot="1" x14ac:dyDescent="0.3">
      <c r="B15" s="135"/>
      <c r="C15" s="1061"/>
      <c r="D15" s="1061"/>
      <c r="E15" s="1061"/>
      <c r="F15" s="1061"/>
      <c r="G15" s="1061"/>
      <c r="H15" s="1061"/>
      <c r="I15" s="1061"/>
      <c r="J15" s="1061"/>
      <c r="K15" s="1061"/>
      <c r="L15" s="1061"/>
      <c r="M15" s="1061"/>
      <c r="N15" s="1061"/>
      <c r="O15" s="1061"/>
      <c r="P15" s="1061"/>
      <c r="Q15" s="1061"/>
      <c r="R15" s="1061"/>
      <c r="S15" s="1061"/>
      <c r="T15" s="1061"/>
      <c r="U15" s="1061"/>
      <c r="V15" s="1061"/>
      <c r="W15" s="1061"/>
      <c r="X15" s="1061"/>
      <c r="Y15" s="1061"/>
      <c r="Z15" s="1061"/>
      <c r="AA15" s="1061"/>
      <c r="AB15" s="1061"/>
      <c r="AC15" s="1061"/>
      <c r="AD15" s="1061"/>
      <c r="AE15" s="1061"/>
      <c r="AF15" s="1061"/>
      <c r="AG15" s="1061"/>
      <c r="AH15" s="1061"/>
      <c r="AI15" s="1061"/>
      <c r="AJ15" s="1061"/>
      <c r="AK15" s="1061"/>
      <c r="AL15" s="1061"/>
      <c r="AM15" s="1061"/>
      <c r="AN15" s="1061"/>
      <c r="AO15" s="1061"/>
      <c r="AP15" s="1061"/>
      <c r="AQ15" s="1061"/>
      <c r="AR15" s="135"/>
      <c r="AU15" s="1098"/>
    </row>
    <row r="16" spans="2:47" ht="15.95" customHeight="1" x14ac:dyDescent="0.25">
      <c r="B16" s="1064">
        <v>1</v>
      </c>
      <c r="C16" s="1028"/>
      <c r="D16" s="1029"/>
      <c r="E16" s="1029"/>
      <c r="F16" s="1029"/>
      <c r="G16" s="1029"/>
      <c r="H16" s="1029"/>
      <c r="I16" s="1029"/>
      <c r="J16" s="1029"/>
      <c r="K16" s="1029"/>
      <c r="L16" s="1029"/>
      <c r="M16" s="1030"/>
      <c r="N16" s="1034" t="str">
        <f>IF(C16="","",INDEX(PMGWATER[Base Desc 1],MATCH(C16,PMGWATER[Eff Desc 1],0)))</f>
        <v/>
      </c>
      <c r="O16" s="1035"/>
      <c r="P16" s="1035"/>
      <c r="Q16" s="1035"/>
      <c r="R16" s="1035"/>
      <c r="S16" s="1036"/>
      <c r="T16" s="1040" t="str">
        <f>IF(C16="","",INDEX(PMGWATER[Unit],MATCH(C16,PMGWATER[Eff Desc 1],0)))</f>
        <v/>
      </c>
      <c r="U16" s="1041"/>
      <c r="V16" s="1044"/>
      <c r="W16" s="1045"/>
      <c r="X16" s="1028"/>
      <c r="Y16" s="1029"/>
      <c r="Z16" s="1029"/>
      <c r="AA16" s="1030"/>
      <c r="AB16" s="1028"/>
      <c r="AC16" s="1029"/>
      <c r="AD16" s="1030"/>
      <c r="AE16" s="1048"/>
      <c r="AF16" s="1049"/>
      <c r="AG16" s="1048"/>
      <c r="AH16" s="1049"/>
      <c r="AI16" s="1052" t="str">
        <f>IF(C16="","",INDEX(PMGWATER[Inc Rate Unit],MATCH(C16,PMGWATER[Eff Desc 1],0)))</f>
        <v/>
      </c>
      <c r="AJ16" s="1053"/>
      <c r="AK16" s="1069" t="str">
        <f>IF(OR(C16="",V16="",X16="",AB16="",AE16="",AG16=""),"",ROUND(V16*INDEX(PMGWATER[Savings per Unit therms],MATCH(C16,PMGWATER[Eff Desc 1],0)),0))</f>
        <v/>
      </c>
      <c r="AL16" s="1070"/>
      <c r="AM16" s="1070"/>
      <c r="AN16" s="1071"/>
      <c r="AO16" s="1022" t="str">
        <f>IF(OR(C16="",V16="",X16="",AB16="",AE16="",AG16=""),"",MIN(AU16,ROUND(V16*AI16,2)))</f>
        <v/>
      </c>
      <c r="AP16" s="1023"/>
      <c r="AQ16" s="1024"/>
      <c r="AR16" s="135"/>
      <c r="AU16" s="1067" t="str">
        <f>IF(OR(V16="",X16="",AB16="",AE16="",AG16=""),"",(ROUND(AE16,2)+ROUND(AG16,2))*V16)</f>
        <v/>
      </c>
    </row>
    <row r="17" spans="2:47" ht="15.95" customHeight="1" x14ac:dyDescent="0.25">
      <c r="B17" s="1064"/>
      <c r="C17" s="1031"/>
      <c r="D17" s="1032"/>
      <c r="E17" s="1032"/>
      <c r="F17" s="1032"/>
      <c r="G17" s="1032"/>
      <c r="H17" s="1032"/>
      <c r="I17" s="1032"/>
      <c r="J17" s="1032"/>
      <c r="K17" s="1032"/>
      <c r="L17" s="1032"/>
      <c r="M17" s="1033"/>
      <c r="N17" s="1037"/>
      <c r="O17" s="1038"/>
      <c r="P17" s="1038"/>
      <c r="Q17" s="1038"/>
      <c r="R17" s="1038"/>
      <c r="S17" s="1039"/>
      <c r="T17" s="1042"/>
      <c r="U17" s="1043"/>
      <c r="V17" s="1046"/>
      <c r="W17" s="1047"/>
      <c r="X17" s="1031"/>
      <c r="Y17" s="1032"/>
      <c r="Z17" s="1032"/>
      <c r="AA17" s="1033"/>
      <c r="AB17" s="1031"/>
      <c r="AC17" s="1032"/>
      <c r="AD17" s="1033"/>
      <c r="AE17" s="1050"/>
      <c r="AF17" s="1051"/>
      <c r="AG17" s="1050"/>
      <c r="AH17" s="1051"/>
      <c r="AI17" s="1054"/>
      <c r="AJ17" s="1055"/>
      <c r="AK17" s="1072"/>
      <c r="AL17" s="1073"/>
      <c r="AM17" s="1073"/>
      <c r="AN17" s="1074"/>
      <c r="AO17" s="1025"/>
      <c r="AP17" s="1026"/>
      <c r="AQ17" s="1027"/>
      <c r="AR17" s="135"/>
      <c r="AU17" s="1068"/>
    </row>
    <row r="18" spans="2:47" ht="15.95" customHeight="1" x14ac:dyDescent="0.25">
      <c r="B18" s="1063">
        <v>2</v>
      </c>
      <c r="C18" s="1028"/>
      <c r="D18" s="1029"/>
      <c r="E18" s="1029"/>
      <c r="F18" s="1029"/>
      <c r="G18" s="1029"/>
      <c r="H18" s="1029"/>
      <c r="I18" s="1029"/>
      <c r="J18" s="1029"/>
      <c r="K18" s="1029"/>
      <c r="L18" s="1029"/>
      <c r="M18" s="1030"/>
      <c r="N18" s="1034" t="str">
        <f>IF(C18="","",INDEX(PMGWATER[Base Desc 1],MATCH(C18,PMGWATER[Eff Desc 1],0)))</f>
        <v/>
      </c>
      <c r="O18" s="1035"/>
      <c r="P18" s="1035"/>
      <c r="Q18" s="1035"/>
      <c r="R18" s="1035"/>
      <c r="S18" s="1036"/>
      <c r="T18" s="1040" t="str">
        <f>IF(C18="","",INDEX(PMGWATER[Unit],MATCH(C18,PMGWATER[Eff Desc 1],0)))</f>
        <v/>
      </c>
      <c r="U18" s="1041"/>
      <c r="V18" s="1044"/>
      <c r="W18" s="1045"/>
      <c r="X18" s="1028"/>
      <c r="Y18" s="1029"/>
      <c r="Z18" s="1029"/>
      <c r="AA18" s="1030"/>
      <c r="AB18" s="1028"/>
      <c r="AC18" s="1029"/>
      <c r="AD18" s="1030"/>
      <c r="AE18" s="1048"/>
      <c r="AF18" s="1049"/>
      <c r="AG18" s="1048"/>
      <c r="AH18" s="1049"/>
      <c r="AI18" s="1052" t="str">
        <f>IF(C18="","",INDEX(PMGWATER[Inc Rate Unit],MATCH(C18,PMGWATER[Eff Desc 1],0)))</f>
        <v/>
      </c>
      <c r="AJ18" s="1053"/>
      <c r="AK18" s="1069" t="str">
        <f>IF(OR(C18="",V18="",X18="",AB18="",AE18="",AG18=""),"",ROUND(V18*INDEX(PMGWATER[Savings per Unit therms],MATCH(C18,PMGWATER[Eff Desc 1],0)),0))</f>
        <v/>
      </c>
      <c r="AL18" s="1070"/>
      <c r="AM18" s="1070"/>
      <c r="AN18" s="1071"/>
      <c r="AO18" s="1022" t="str">
        <f>IF(OR(C18="",V18="",X18="",AB18="",AE18="",AG18=""),"",MIN(AU18,ROUND(V18*AI18,2)))</f>
        <v/>
      </c>
      <c r="AP18" s="1023"/>
      <c r="AQ18" s="1024"/>
      <c r="AR18" s="135"/>
      <c r="AU18" s="1067" t="str">
        <f>IF(OR(C18="",V18="",X18="",AB18="",AE18="",AG18=""),"",(ROUND(AE18,2)+ROUND(AG18,2))*V18)</f>
        <v/>
      </c>
    </row>
    <row r="19" spans="2:47" ht="15.95" customHeight="1" x14ac:dyDescent="0.25">
      <c r="B19" s="1063"/>
      <c r="C19" s="1031"/>
      <c r="D19" s="1032"/>
      <c r="E19" s="1032"/>
      <c r="F19" s="1032"/>
      <c r="G19" s="1032"/>
      <c r="H19" s="1032"/>
      <c r="I19" s="1032"/>
      <c r="J19" s="1032"/>
      <c r="K19" s="1032"/>
      <c r="L19" s="1032"/>
      <c r="M19" s="1033"/>
      <c r="N19" s="1037"/>
      <c r="O19" s="1038"/>
      <c r="P19" s="1038"/>
      <c r="Q19" s="1038"/>
      <c r="R19" s="1038"/>
      <c r="S19" s="1039"/>
      <c r="T19" s="1042"/>
      <c r="U19" s="1043"/>
      <c r="V19" s="1046"/>
      <c r="W19" s="1047"/>
      <c r="X19" s="1031"/>
      <c r="Y19" s="1032"/>
      <c r="Z19" s="1032"/>
      <c r="AA19" s="1033"/>
      <c r="AB19" s="1031"/>
      <c r="AC19" s="1032"/>
      <c r="AD19" s="1033"/>
      <c r="AE19" s="1050"/>
      <c r="AF19" s="1051"/>
      <c r="AG19" s="1050"/>
      <c r="AH19" s="1051"/>
      <c r="AI19" s="1054"/>
      <c r="AJ19" s="1055"/>
      <c r="AK19" s="1072"/>
      <c r="AL19" s="1073"/>
      <c r="AM19" s="1073"/>
      <c r="AN19" s="1074"/>
      <c r="AO19" s="1025"/>
      <c r="AP19" s="1026"/>
      <c r="AQ19" s="1027"/>
      <c r="AR19" s="135"/>
      <c r="AU19" s="1068"/>
    </row>
    <row r="20" spans="2:47" ht="15.95" customHeight="1" x14ac:dyDescent="0.25">
      <c r="B20" s="1063">
        <v>3</v>
      </c>
      <c r="C20" s="1028"/>
      <c r="D20" s="1029"/>
      <c r="E20" s="1029"/>
      <c r="F20" s="1029"/>
      <c r="G20" s="1029"/>
      <c r="H20" s="1029"/>
      <c r="I20" s="1029"/>
      <c r="J20" s="1029"/>
      <c r="K20" s="1029"/>
      <c r="L20" s="1029"/>
      <c r="M20" s="1030"/>
      <c r="N20" s="1034" t="str">
        <f>IF(C20="","",INDEX(PMGWATER[Base Desc 1],MATCH(C20,PMGWATER[Eff Desc 1],0)))</f>
        <v/>
      </c>
      <c r="O20" s="1035"/>
      <c r="P20" s="1035"/>
      <c r="Q20" s="1035"/>
      <c r="R20" s="1035"/>
      <c r="S20" s="1036"/>
      <c r="T20" s="1040" t="str">
        <f>IF(C20="","",INDEX(PMGWATER[Unit],MATCH(C20,PMGWATER[Eff Desc 1],0)))</f>
        <v/>
      </c>
      <c r="U20" s="1041"/>
      <c r="V20" s="1044"/>
      <c r="W20" s="1045"/>
      <c r="X20" s="1028"/>
      <c r="Y20" s="1029"/>
      <c r="Z20" s="1029"/>
      <c r="AA20" s="1030"/>
      <c r="AB20" s="1028"/>
      <c r="AC20" s="1029"/>
      <c r="AD20" s="1030"/>
      <c r="AE20" s="1048"/>
      <c r="AF20" s="1049"/>
      <c r="AG20" s="1048"/>
      <c r="AH20" s="1049"/>
      <c r="AI20" s="1052" t="str">
        <f>IF(C20="","",INDEX(PMGWATER[Inc Rate Unit],MATCH(C20,PMGWATER[Eff Desc 1],0)))</f>
        <v/>
      </c>
      <c r="AJ20" s="1053"/>
      <c r="AK20" s="1069" t="str">
        <f>IF(OR(C20="",V20="",X20="",AB20="",AE20="",AG20=""),"",ROUND(V20*INDEX(PMGWATER[Savings per Unit therms],MATCH(C20,PMGWATER[Eff Desc 1],0)),0))</f>
        <v/>
      </c>
      <c r="AL20" s="1070"/>
      <c r="AM20" s="1070"/>
      <c r="AN20" s="1071"/>
      <c r="AO20" s="1022" t="str">
        <f>IF(OR(C20="",V20="",X20="",AB20="",AE20="",AG20=""),"",MIN(AU20,ROUND(V20*AI20,2)))</f>
        <v/>
      </c>
      <c r="AP20" s="1023"/>
      <c r="AQ20" s="1024"/>
      <c r="AR20" s="135"/>
      <c r="AU20" s="1067" t="str">
        <f>IF(OR(C20="",V20="",X20="",AB20="",AE20="",AG20=""),"",(ROUND(AE20,2)+ROUND(AG20,2))*V20)</f>
        <v/>
      </c>
    </row>
    <row r="21" spans="2:47" ht="15.95" customHeight="1" x14ac:dyDescent="0.25">
      <c r="B21" s="1063"/>
      <c r="C21" s="1031"/>
      <c r="D21" s="1032"/>
      <c r="E21" s="1032"/>
      <c r="F21" s="1032"/>
      <c r="G21" s="1032"/>
      <c r="H21" s="1032"/>
      <c r="I21" s="1032"/>
      <c r="J21" s="1032"/>
      <c r="K21" s="1032"/>
      <c r="L21" s="1032"/>
      <c r="M21" s="1033"/>
      <c r="N21" s="1037"/>
      <c r="O21" s="1038"/>
      <c r="P21" s="1038"/>
      <c r="Q21" s="1038"/>
      <c r="R21" s="1038"/>
      <c r="S21" s="1039"/>
      <c r="T21" s="1042"/>
      <c r="U21" s="1043"/>
      <c r="V21" s="1046"/>
      <c r="W21" s="1047"/>
      <c r="X21" s="1031"/>
      <c r="Y21" s="1032"/>
      <c r="Z21" s="1032"/>
      <c r="AA21" s="1033"/>
      <c r="AB21" s="1031"/>
      <c r="AC21" s="1032"/>
      <c r="AD21" s="1033"/>
      <c r="AE21" s="1050"/>
      <c r="AF21" s="1051"/>
      <c r="AG21" s="1050"/>
      <c r="AH21" s="1051"/>
      <c r="AI21" s="1054"/>
      <c r="AJ21" s="1055"/>
      <c r="AK21" s="1072"/>
      <c r="AL21" s="1073"/>
      <c r="AM21" s="1073"/>
      <c r="AN21" s="1074"/>
      <c r="AO21" s="1025"/>
      <c r="AP21" s="1026"/>
      <c r="AQ21" s="1027"/>
      <c r="AR21" s="135"/>
      <c r="AU21" s="1068"/>
    </row>
    <row r="22" spans="2:47" ht="15.95" customHeight="1" x14ac:dyDescent="0.25">
      <c r="B22" s="1063">
        <v>4</v>
      </c>
      <c r="C22" s="1028"/>
      <c r="D22" s="1029"/>
      <c r="E22" s="1029"/>
      <c r="F22" s="1029"/>
      <c r="G22" s="1029"/>
      <c r="H22" s="1029"/>
      <c r="I22" s="1029"/>
      <c r="J22" s="1029"/>
      <c r="K22" s="1029"/>
      <c r="L22" s="1029"/>
      <c r="M22" s="1030"/>
      <c r="N22" s="1034" t="str">
        <f>IF(C22="","",INDEX(PMGWATER[Base Desc 1],MATCH(C22,PMGWATER[Eff Desc 1],0)))</f>
        <v/>
      </c>
      <c r="O22" s="1035"/>
      <c r="P22" s="1035"/>
      <c r="Q22" s="1035"/>
      <c r="R22" s="1035"/>
      <c r="S22" s="1036"/>
      <c r="T22" s="1040" t="str">
        <f>IF(C22="","",INDEX(PMGWATER[Unit],MATCH(C22,PMGWATER[Eff Desc 1],0)))</f>
        <v/>
      </c>
      <c r="U22" s="1041"/>
      <c r="V22" s="1044"/>
      <c r="W22" s="1045"/>
      <c r="X22" s="1028"/>
      <c r="Y22" s="1029"/>
      <c r="Z22" s="1029"/>
      <c r="AA22" s="1030"/>
      <c r="AB22" s="1028"/>
      <c r="AC22" s="1029"/>
      <c r="AD22" s="1030"/>
      <c r="AE22" s="1048"/>
      <c r="AF22" s="1049"/>
      <c r="AG22" s="1048"/>
      <c r="AH22" s="1049"/>
      <c r="AI22" s="1052" t="str">
        <f>IF(C22="","",INDEX(PMGWATER[Inc Rate Unit],MATCH(C22,PMGWATER[Eff Desc 1],0)))</f>
        <v/>
      </c>
      <c r="AJ22" s="1053"/>
      <c r="AK22" s="1069" t="str">
        <f>IF(OR(C22="",V22="",X22="",AB22="",AE22="",AG22=""),"",ROUND(V22*INDEX(PMGWATER[Savings per Unit therms],MATCH(C22,PMGWATER[Eff Desc 1],0)),0))</f>
        <v/>
      </c>
      <c r="AL22" s="1070"/>
      <c r="AM22" s="1070"/>
      <c r="AN22" s="1071"/>
      <c r="AO22" s="1022" t="str">
        <f>IF(OR(C22="",V22="",X22="",AB22="",AE22="",AG22=""),"",MIN(AU22,ROUND(V22*AI22,2)))</f>
        <v/>
      </c>
      <c r="AP22" s="1023"/>
      <c r="AQ22" s="1024"/>
      <c r="AR22" s="135"/>
      <c r="AU22" s="1067" t="str">
        <f>IF(OR(C22="",V22="",X22="",AB22="",AE22="",AG22=""),"",(ROUND(AE22,2)+ROUND(AG22,2))*V22)</f>
        <v/>
      </c>
    </row>
    <row r="23" spans="2:47" ht="15.95" customHeight="1" x14ac:dyDescent="0.25">
      <c r="B23" s="1063"/>
      <c r="C23" s="1031"/>
      <c r="D23" s="1032"/>
      <c r="E23" s="1032"/>
      <c r="F23" s="1032"/>
      <c r="G23" s="1032"/>
      <c r="H23" s="1032"/>
      <c r="I23" s="1032"/>
      <c r="J23" s="1032"/>
      <c r="K23" s="1032"/>
      <c r="L23" s="1032"/>
      <c r="M23" s="1033"/>
      <c r="N23" s="1037"/>
      <c r="O23" s="1038"/>
      <c r="P23" s="1038"/>
      <c r="Q23" s="1038"/>
      <c r="R23" s="1038"/>
      <c r="S23" s="1039"/>
      <c r="T23" s="1042"/>
      <c r="U23" s="1043"/>
      <c r="V23" s="1046"/>
      <c r="W23" s="1047"/>
      <c r="X23" s="1031"/>
      <c r="Y23" s="1032"/>
      <c r="Z23" s="1032"/>
      <c r="AA23" s="1033"/>
      <c r="AB23" s="1031"/>
      <c r="AC23" s="1032"/>
      <c r="AD23" s="1033"/>
      <c r="AE23" s="1050"/>
      <c r="AF23" s="1051"/>
      <c r="AG23" s="1050"/>
      <c r="AH23" s="1051"/>
      <c r="AI23" s="1054"/>
      <c r="AJ23" s="1055"/>
      <c r="AK23" s="1072"/>
      <c r="AL23" s="1073"/>
      <c r="AM23" s="1073"/>
      <c r="AN23" s="1074"/>
      <c r="AO23" s="1025"/>
      <c r="AP23" s="1026"/>
      <c r="AQ23" s="1027"/>
      <c r="AR23" s="135"/>
      <c r="AU23" s="1068"/>
    </row>
    <row r="24" spans="2:47" ht="15.95" customHeight="1" x14ac:dyDescent="0.25">
      <c r="B24" s="1063">
        <v>5</v>
      </c>
      <c r="C24" s="1028"/>
      <c r="D24" s="1029"/>
      <c r="E24" s="1029"/>
      <c r="F24" s="1029"/>
      <c r="G24" s="1029"/>
      <c r="H24" s="1029"/>
      <c r="I24" s="1029"/>
      <c r="J24" s="1029"/>
      <c r="K24" s="1029"/>
      <c r="L24" s="1029"/>
      <c r="M24" s="1030"/>
      <c r="N24" s="1034" t="str">
        <f>IF(C24="","",INDEX(PMGWATER[Base Desc 1],MATCH(C24,PMGWATER[Eff Desc 1],0)))</f>
        <v/>
      </c>
      <c r="O24" s="1035"/>
      <c r="P24" s="1035"/>
      <c r="Q24" s="1035"/>
      <c r="R24" s="1035"/>
      <c r="S24" s="1036"/>
      <c r="T24" s="1040" t="str">
        <f>IF(C24="","",INDEX(PMGWATER[Unit],MATCH(C24,PMGWATER[Eff Desc 1],0)))</f>
        <v/>
      </c>
      <c r="U24" s="1041"/>
      <c r="V24" s="1044"/>
      <c r="W24" s="1045"/>
      <c r="X24" s="1028"/>
      <c r="Y24" s="1029"/>
      <c r="Z24" s="1029"/>
      <c r="AA24" s="1030"/>
      <c r="AB24" s="1028"/>
      <c r="AC24" s="1029"/>
      <c r="AD24" s="1030"/>
      <c r="AE24" s="1048"/>
      <c r="AF24" s="1049"/>
      <c r="AG24" s="1048"/>
      <c r="AH24" s="1049"/>
      <c r="AI24" s="1052" t="str">
        <f>IF(C24="","",INDEX(PMGWATER[Inc Rate Unit],MATCH(C24,PMGWATER[Eff Desc 1],0)))</f>
        <v/>
      </c>
      <c r="AJ24" s="1053"/>
      <c r="AK24" s="1069" t="str">
        <f>IF(OR(C24="",V24="",X24="",AB24="",AE24="",AG24=""),"",ROUND(V24*INDEX(PMGWATER[Savings per Unit therms],MATCH(C24,PMGWATER[Eff Desc 1],0)),0))</f>
        <v/>
      </c>
      <c r="AL24" s="1070"/>
      <c r="AM24" s="1070"/>
      <c r="AN24" s="1071"/>
      <c r="AO24" s="1022" t="str">
        <f>IF(OR(C24="",V24="",X24="",AB24="",AE24="",AG24=""),"",MIN(AU24,ROUND(V24*AI24,2)))</f>
        <v/>
      </c>
      <c r="AP24" s="1023"/>
      <c r="AQ24" s="1024"/>
      <c r="AR24" s="135"/>
      <c r="AU24" s="1067" t="str">
        <f>IF(OR(C24="",V24="",X24="",AB24="",AE24="",AG24=""),"",(ROUND(AE24,2)+ROUND(AG24,2))*V24)</f>
        <v/>
      </c>
    </row>
    <row r="25" spans="2:47" ht="15.95" customHeight="1" x14ac:dyDescent="0.25">
      <c r="B25" s="1063"/>
      <c r="C25" s="1031"/>
      <c r="D25" s="1032"/>
      <c r="E25" s="1032"/>
      <c r="F25" s="1032"/>
      <c r="G25" s="1032"/>
      <c r="H25" s="1032"/>
      <c r="I25" s="1032"/>
      <c r="J25" s="1032"/>
      <c r="K25" s="1032"/>
      <c r="L25" s="1032"/>
      <c r="M25" s="1033"/>
      <c r="N25" s="1037"/>
      <c r="O25" s="1038"/>
      <c r="P25" s="1038"/>
      <c r="Q25" s="1038"/>
      <c r="R25" s="1038"/>
      <c r="S25" s="1039"/>
      <c r="T25" s="1042"/>
      <c r="U25" s="1043"/>
      <c r="V25" s="1046"/>
      <c r="W25" s="1047"/>
      <c r="X25" s="1031"/>
      <c r="Y25" s="1032"/>
      <c r="Z25" s="1032"/>
      <c r="AA25" s="1033"/>
      <c r="AB25" s="1031"/>
      <c r="AC25" s="1032"/>
      <c r="AD25" s="1033"/>
      <c r="AE25" s="1050"/>
      <c r="AF25" s="1051"/>
      <c r="AG25" s="1050"/>
      <c r="AH25" s="1051"/>
      <c r="AI25" s="1054"/>
      <c r="AJ25" s="1055"/>
      <c r="AK25" s="1072"/>
      <c r="AL25" s="1073"/>
      <c r="AM25" s="1073"/>
      <c r="AN25" s="1074"/>
      <c r="AO25" s="1025"/>
      <c r="AP25" s="1026"/>
      <c r="AQ25" s="1027"/>
      <c r="AR25" s="135"/>
      <c r="AU25" s="1068"/>
    </row>
    <row r="26" spans="2:47" ht="15.95" customHeight="1" x14ac:dyDescent="0.25">
      <c r="B26" s="1063">
        <v>6</v>
      </c>
      <c r="C26" s="1028"/>
      <c r="D26" s="1029"/>
      <c r="E26" s="1029"/>
      <c r="F26" s="1029"/>
      <c r="G26" s="1029"/>
      <c r="H26" s="1029"/>
      <c r="I26" s="1029"/>
      <c r="J26" s="1029"/>
      <c r="K26" s="1029"/>
      <c r="L26" s="1029"/>
      <c r="M26" s="1030"/>
      <c r="N26" s="1034" t="str">
        <f>IF(C26="","",INDEX(PMGWATER[Base Desc 1],MATCH(C26,PMGWATER[Eff Desc 1],0)))</f>
        <v/>
      </c>
      <c r="O26" s="1035"/>
      <c r="P26" s="1035"/>
      <c r="Q26" s="1035"/>
      <c r="R26" s="1035"/>
      <c r="S26" s="1036"/>
      <c r="T26" s="1040" t="str">
        <f>IF(C26="","",INDEX(PMGWATER[Unit],MATCH(C26,PMGWATER[Eff Desc 1],0)))</f>
        <v/>
      </c>
      <c r="U26" s="1041"/>
      <c r="V26" s="1044"/>
      <c r="W26" s="1045"/>
      <c r="X26" s="1028"/>
      <c r="Y26" s="1029"/>
      <c r="Z26" s="1029"/>
      <c r="AA26" s="1030"/>
      <c r="AB26" s="1028"/>
      <c r="AC26" s="1029"/>
      <c r="AD26" s="1030"/>
      <c r="AE26" s="1048"/>
      <c r="AF26" s="1049"/>
      <c r="AG26" s="1048"/>
      <c r="AH26" s="1049"/>
      <c r="AI26" s="1052" t="str">
        <f>IF(C26="","",INDEX(PMGWATER[Inc Rate Unit],MATCH(C26,PMGWATER[Eff Desc 1],0)))</f>
        <v/>
      </c>
      <c r="AJ26" s="1053"/>
      <c r="AK26" s="1069" t="str">
        <f>IF(OR(C26="",V26="",X26="",AB26="",AE26="",AG26=""),"",ROUND(V26*INDEX(PMGWATER[Savings per Unit therms],MATCH(C26,PMGWATER[Eff Desc 1],0)),0))</f>
        <v/>
      </c>
      <c r="AL26" s="1070"/>
      <c r="AM26" s="1070"/>
      <c r="AN26" s="1071"/>
      <c r="AO26" s="1022" t="str">
        <f>IF(OR(C26="",V26="",X26="",AB26="",AE26="",AG26=""),"",MIN(AU26,ROUND(V26*AI26,2)))</f>
        <v/>
      </c>
      <c r="AP26" s="1023"/>
      <c r="AQ26" s="1024"/>
      <c r="AR26" s="135"/>
      <c r="AU26" s="1067" t="str">
        <f>IF(OR(C26="",V26="",X26="",AB26="",AE26="",AG26=""),"",(ROUND(AE26,2)+ROUND(AG26,2))*V26)</f>
        <v/>
      </c>
    </row>
    <row r="27" spans="2:47" ht="15.95" customHeight="1" x14ac:dyDescent="0.25">
      <c r="B27" s="1063"/>
      <c r="C27" s="1031"/>
      <c r="D27" s="1032"/>
      <c r="E27" s="1032"/>
      <c r="F27" s="1032"/>
      <c r="G27" s="1032"/>
      <c r="H27" s="1032"/>
      <c r="I27" s="1032"/>
      <c r="J27" s="1032"/>
      <c r="K27" s="1032"/>
      <c r="L27" s="1032"/>
      <c r="M27" s="1033"/>
      <c r="N27" s="1037"/>
      <c r="O27" s="1038"/>
      <c r="P27" s="1038"/>
      <c r="Q27" s="1038"/>
      <c r="R27" s="1038"/>
      <c r="S27" s="1039"/>
      <c r="T27" s="1042"/>
      <c r="U27" s="1043"/>
      <c r="V27" s="1046"/>
      <c r="W27" s="1047"/>
      <c r="X27" s="1031"/>
      <c r="Y27" s="1032"/>
      <c r="Z27" s="1032"/>
      <c r="AA27" s="1033"/>
      <c r="AB27" s="1031"/>
      <c r="AC27" s="1032"/>
      <c r="AD27" s="1033"/>
      <c r="AE27" s="1050"/>
      <c r="AF27" s="1051"/>
      <c r="AG27" s="1050"/>
      <c r="AH27" s="1051"/>
      <c r="AI27" s="1054"/>
      <c r="AJ27" s="1055"/>
      <c r="AK27" s="1072"/>
      <c r="AL27" s="1073"/>
      <c r="AM27" s="1073"/>
      <c r="AN27" s="1074"/>
      <c r="AO27" s="1025"/>
      <c r="AP27" s="1026"/>
      <c r="AQ27" s="1027"/>
      <c r="AR27" s="135"/>
      <c r="AU27" s="1068"/>
    </row>
    <row r="28" spans="2:47" ht="15.95" customHeight="1" x14ac:dyDescent="0.25">
      <c r="B28" s="1063">
        <v>7</v>
      </c>
      <c r="C28" s="1028"/>
      <c r="D28" s="1029"/>
      <c r="E28" s="1029"/>
      <c r="F28" s="1029"/>
      <c r="G28" s="1029"/>
      <c r="H28" s="1029"/>
      <c r="I28" s="1029"/>
      <c r="J28" s="1029"/>
      <c r="K28" s="1029"/>
      <c r="L28" s="1029"/>
      <c r="M28" s="1030"/>
      <c r="N28" s="1034" t="str">
        <f>IF(C28="","",INDEX(PMGWATER[Base Desc 1],MATCH(C28,PMGWATER[Eff Desc 1],0)))</f>
        <v/>
      </c>
      <c r="O28" s="1035"/>
      <c r="P28" s="1035"/>
      <c r="Q28" s="1035"/>
      <c r="R28" s="1035"/>
      <c r="S28" s="1036"/>
      <c r="T28" s="1040" t="str">
        <f>IF(C28="","",INDEX(PMGWATER[Unit],MATCH(C28,PMGWATER[Eff Desc 1],0)))</f>
        <v/>
      </c>
      <c r="U28" s="1041"/>
      <c r="V28" s="1044"/>
      <c r="W28" s="1045"/>
      <c r="X28" s="1028"/>
      <c r="Y28" s="1029"/>
      <c r="Z28" s="1029"/>
      <c r="AA28" s="1030"/>
      <c r="AB28" s="1028"/>
      <c r="AC28" s="1029"/>
      <c r="AD28" s="1030"/>
      <c r="AE28" s="1048"/>
      <c r="AF28" s="1049"/>
      <c r="AG28" s="1048"/>
      <c r="AH28" s="1049"/>
      <c r="AI28" s="1052" t="str">
        <f>IF(C28="","",INDEX(PMGWATER[Inc Rate Unit],MATCH(C28,PMGWATER[Eff Desc 1],0)))</f>
        <v/>
      </c>
      <c r="AJ28" s="1053"/>
      <c r="AK28" s="1069" t="str">
        <f>IF(OR(C28="",V28="",X28="",AB28="",AE28="",AG28=""),"",ROUND(V28*INDEX(PMGWATER[Savings per Unit therms],MATCH(C28,PMGWATER[Eff Desc 1],0)),0))</f>
        <v/>
      </c>
      <c r="AL28" s="1070"/>
      <c r="AM28" s="1070"/>
      <c r="AN28" s="1071"/>
      <c r="AO28" s="1022" t="str">
        <f>IF(OR(C28="",V28="",X28="",AB28="",AE28="",AG28=""),"",MIN(AU28,ROUND(V28*AI28,2)))</f>
        <v/>
      </c>
      <c r="AP28" s="1023"/>
      <c r="AQ28" s="1024"/>
      <c r="AR28" s="135"/>
      <c r="AU28" s="1067" t="str">
        <f>IF(OR(C28="",V28="",X28="",AB28="",AE28="",AG28=""),"",(ROUND(AE28,2)+ROUND(AG28,2))*V28)</f>
        <v/>
      </c>
    </row>
    <row r="29" spans="2:47" ht="15.95" customHeight="1" x14ac:dyDescent="0.25">
      <c r="B29" s="1063"/>
      <c r="C29" s="1031"/>
      <c r="D29" s="1032"/>
      <c r="E29" s="1032"/>
      <c r="F29" s="1032"/>
      <c r="G29" s="1032"/>
      <c r="H29" s="1032"/>
      <c r="I29" s="1032"/>
      <c r="J29" s="1032"/>
      <c r="K29" s="1032"/>
      <c r="L29" s="1032"/>
      <c r="M29" s="1033"/>
      <c r="N29" s="1037"/>
      <c r="O29" s="1038"/>
      <c r="P29" s="1038"/>
      <c r="Q29" s="1038"/>
      <c r="R29" s="1038"/>
      <c r="S29" s="1039"/>
      <c r="T29" s="1042"/>
      <c r="U29" s="1043"/>
      <c r="V29" s="1046"/>
      <c r="W29" s="1047"/>
      <c r="X29" s="1031"/>
      <c r="Y29" s="1032"/>
      <c r="Z29" s="1032"/>
      <c r="AA29" s="1033"/>
      <c r="AB29" s="1031"/>
      <c r="AC29" s="1032"/>
      <c r="AD29" s="1033"/>
      <c r="AE29" s="1050"/>
      <c r="AF29" s="1051"/>
      <c r="AG29" s="1050"/>
      <c r="AH29" s="1051"/>
      <c r="AI29" s="1054"/>
      <c r="AJ29" s="1055"/>
      <c r="AK29" s="1072"/>
      <c r="AL29" s="1073"/>
      <c r="AM29" s="1073"/>
      <c r="AN29" s="1074"/>
      <c r="AO29" s="1025"/>
      <c r="AP29" s="1026"/>
      <c r="AQ29" s="1027"/>
      <c r="AR29" s="135"/>
      <c r="AU29" s="1068"/>
    </row>
    <row r="30" spans="2:47" ht="15.95" customHeight="1" x14ac:dyDescent="0.25">
      <c r="B30" s="1063">
        <v>8</v>
      </c>
      <c r="C30" s="1028"/>
      <c r="D30" s="1029"/>
      <c r="E30" s="1029"/>
      <c r="F30" s="1029"/>
      <c r="G30" s="1029"/>
      <c r="H30" s="1029"/>
      <c r="I30" s="1029"/>
      <c r="J30" s="1029"/>
      <c r="K30" s="1029"/>
      <c r="L30" s="1029"/>
      <c r="M30" s="1030"/>
      <c r="N30" s="1034" t="str">
        <f>IF(C30="","",INDEX(PMGWATER[Base Desc 1],MATCH(C30,PMGWATER[Eff Desc 1],0)))</f>
        <v/>
      </c>
      <c r="O30" s="1035"/>
      <c r="P30" s="1035"/>
      <c r="Q30" s="1035"/>
      <c r="R30" s="1035"/>
      <c r="S30" s="1036"/>
      <c r="T30" s="1040" t="str">
        <f>IF(C30="","",INDEX(PMGWATER[Unit],MATCH(C30,PMGWATER[Eff Desc 1],0)))</f>
        <v/>
      </c>
      <c r="U30" s="1041"/>
      <c r="V30" s="1044"/>
      <c r="W30" s="1045"/>
      <c r="X30" s="1028"/>
      <c r="Y30" s="1029"/>
      <c r="Z30" s="1029"/>
      <c r="AA30" s="1030"/>
      <c r="AB30" s="1028"/>
      <c r="AC30" s="1029"/>
      <c r="AD30" s="1030"/>
      <c r="AE30" s="1048"/>
      <c r="AF30" s="1049"/>
      <c r="AG30" s="1048"/>
      <c r="AH30" s="1049"/>
      <c r="AI30" s="1052" t="str">
        <f>IF(C30="","",INDEX(PMGWATER[Inc Rate Unit],MATCH(C30,PMGWATER[Eff Desc 1],0)))</f>
        <v/>
      </c>
      <c r="AJ30" s="1053"/>
      <c r="AK30" s="1069" t="str">
        <f>IF(OR(C30="",V30="",X30="",AB30="",AE30="",AG30=""),"",ROUND(V30*INDEX(PMGWATER[Savings per Unit therms],MATCH(C30,PMGWATER[Eff Desc 1],0)),0))</f>
        <v/>
      </c>
      <c r="AL30" s="1070"/>
      <c r="AM30" s="1070"/>
      <c r="AN30" s="1071"/>
      <c r="AO30" s="1022" t="str">
        <f>IF(OR(C30="",V30="",X30="",AB30="",AE30="",AG30=""),"",MIN(AU30,ROUND(V30*AI30,2)))</f>
        <v/>
      </c>
      <c r="AP30" s="1023"/>
      <c r="AQ30" s="1024"/>
      <c r="AR30" s="135"/>
      <c r="AU30" s="1067" t="str">
        <f>IF(OR(C30="",V30="",X30="",AB30="",AE30="",AG30=""),"",(ROUND(AE30,2)+ROUND(AG30,2))*V30)</f>
        <v/>
      </c>
    </row>
    <row r="31" spans="2:47" ht="15.95" customHeight="1" x14ac:dyDescent="0.25">
      <c r="B31" s="1063"/>
      <c r="C31" s="1031"/>
      <c r="D31" s="1032"/>
      <c r="E31" s="1032"/>
      <c r="F31" s="1032"/>
      <c r="G31" s="1032"/>
      <c r="H31" s="1032"/>
      <c r="I31" s="1032"/>
      <c r="J31" s="1032"/>
      <c r="K31" s="1032"/>
      <c r="L31" s="1032"/>
      <c r="M31" s="1033"/>
      <c r="N31" s="1037"/>
      <c r="O31" s="1038"/>
      <c r="P31" s="1038"/>
      <c r="Q31" s="1038"/>
      <c r="R31" s="1038"/>
      <c r="S31" s="1039"/>
      <c r="T31" s="1042"/>
      <c r="U31" s="1043"/>
      <c r="V31" s="1046"/>
      <c r="W31" s="1047"/>
      <c r="X31" s="1031"/>
      <c r="Y31" s="1032"/>
      <c r="Z31" s="1032"/>
      <c r="AA31" s="1033"/>
      <c r="AB31" s="1031"/>
      <c r="AC31" s="1032"/>
      <c r="AD31" s="1033"/>
      <c r="AE31" s="1050"/>
      <c r="AF31" s="1051"/>
      <c r="AG31" s="1050"/>
      <c r="AH31" s="1051"/>
      <c r="AI31" s="1054"/>
      <c r="AJ31" s="1055"/>
      <c r="AK31" s="1072"/>
      <c r="AL31" s="1073"/>
      <c r="AM31" s="1073"/>
      <c r="AN31" s="1074"/>
      <c r="AO31" s="1025"/>
      <c r="AP31" s="1026"/>
      <c r="AQ31" s="1027"/>
      <c r="AR31" s="135"/>
      <c r="AU31" s="1068"/>
    </row>
    <row r="32" spans="2:47" ht="15.95" customHeight="1" x14ac:dyDescent="0.25">
      <c r="B32" s="1063">
        <v>9</v>
      </c>
      <c r="C32" s="1028"/>
      <c r="D32" s="1029"/>
      <c r="E32" s="1029"/>
      <c r="F32" s="1029"/>
      <c r="G32" s="1029"/>
      <c r="H32" s="1029"/>
      <c r="I32" s="1029"/>
      <c r="J32" s="1029"/>
      <c r="K32" s="1029"/>
      <c r="L32" s="1029"/>
      <c r="M32" s="1030"/>
      <c r="N32" s="1034" t="str">
        <f>IF(C32="","",INDEX(PMGWATER[Base Desc 1],MATCH(C32,PMGWATER[Eff Desc 1],0)))</f>
        <v/>
      </c>
      <c r="O32" s="1035"/>
      <c r="P32" s="1035"/>
      <c r="Q32" s="1035"/>
      <c r="R32" s="1035"/>
      <c r="S32" s="1036"/>
      <c r="T32" s="1040" t="str">
        <f>IF(C32="","",INDEX(PMGWATER[Unit],MATCH(C32,PMGWATER[Eff Desc 1],0)))</f>
        <v/>
      </c>
      <c r="U32" s="1041"/>
      <c r="V32" s="1044"/>
      <c r="W32" s="1045"/>
      <c r="X32" s="1028"/>
      <c r="Y32" s="1029"/>
      <c r="Z32" s="1029"/>
      <c r="AA32" s="1030"/>
      <c r="AB32" s="1028"/>
      <c r="AC32" s="1029"/>
      <c r="AD32" s="1030"/>
      <c r="AE32" s="1048"/>
      <c r="AF32" s="1049"/>
      <c r="AG32" s="1048"/>
      <c r="AH32" s="1049"/>
      <c r="AI32" s="1052" t="str">
        <f>IF(C32="","",INDEX(PMGWATER[Inc Rate Unit],MATCH(C32,PMGWATER[Eff Desc 1],0)))</f>
        <v/>
      </c>
      <c r="AJ32" s="1053"/>
      <c r="AK32" s="1069" t="str">
        <f>IF(OR(C32="",V32="",X32="",AB32="",AE32="",AG32=""),"",ROUND(V32*INDEX(PMGWATER[Savings per Unit therms],MATCH(C32,PMGWATER[Eff Desc 1],0)),0))</f>
        <v/>
      </c>
      <c r="AL32" s="1070"/>
      <c r="AM32" s="1070"/>
      <c r="AN32" s="1071"/>
      <c r="AO32" s="1022" t="str">
        <f>IF(OR(C32="",V32="",X32="",AB32="",AE32="",AG32=""),"",MIN(AU32,ROUND(V32*AI32,2)))</f>
        <v/>
      </c>
      <c r="AP32" s="1023"/>
      <c r="AQ32" s="1024"/>
      <c r="AR32" s="135"/>
      <c r="AU32" s="1067" t="str">
        <f>IF(OR(C32="",V32="",X32="",AB32="",AE32="",AG32=""),"",(ROUND(AE32,2)+ROUND(AG32,2))*V32)</f>
        <v/>
      </c>
    </row>
    <row r="33" spans="2:47" ht="15.95" customHeight="1" x14ac:dyDescent="0.25">
      <c r="B33" s="1063"/>
      <c r="C33" s="1031"/>
      <c r="D33" s="1032"/>
      <c r="E33" s="1032"/>
      <c r="F33" s="1032"/>
      <c r="G33" s="1032"/>
      <c r="H33" s="1032"/>
      <c r="I33" s="1032"/>
      <c r="J33" s="1032"/>
      <c r="K33" s="1032"/>
      <c r="L33" s="1032"/>
      <c r="M33" s="1033"/>
      <c r="N33" s="1037"/>
      <c r="O33" s="1038"/>
      <c r="P33" s="1038"/>
      <c r="Q33" s="1038"/>
      <c r="R33" s="1038"/>
      <c r="S33" s="1039"/>
      <c r="T33" s="1042"/>
      <c r="U33" s="1043"/>
      <c r="V33" s="1046"/>
      <c r="W33" s="1047"/>
      <c r="X33" s="1031"/>
      <c r="Y33" s="1032"/>
      <c r="Z33" s="1032"/>
      <c r="AA33" s="1033"/>
      <c r="AB33" s="1031"/>
      <c r="AC33" s="1032"/>
      <c r="AD33" s="1033"/>
      <c r="AE33" s="1050"/>
      <c r="AF33" s="1051"/>
      <c r="AG33" s="1050"/>
      <c r="AH33" s="1051"/>
      <c r="AI33" s="1054"/>
      <c r="AJ33" s="1055"/>
      <c r="AK33" s="1072"/>
      <c r="AL33" s="1073"/>
      <c r="AM33" s="1073"/>
      <c r="AN33" s="1074"/>
      <c r="AO33" s="1025"/>
      <c r="AP33" s="1026"/>
      <c r="AQ33" s="1027"/>
      <c r="AR33" s="135"/>
      <c r="AU33" s="1068"/>
    </row>
    <row r="34" spans="2:47" ht="15.95" customHeight="1" x14ac:dyDescent="0.25">
      <c r="B34" s="1063">
        <v>10</v>
      </c>
      <c r="C34" s="1028"/>
      <c r="D34" s="1029"/>
      <c r="E34" s="1029"/>
      <c r="F34" s="1029"/>
      <c r="G34" s="1029"/>
      <c r="H34" s="1029"/>
      <c r="I34" s="1029"/>
      <c r="J34" s="1029"/>
      <c r="K34" s="1029"/>
      <c r="L34" s="1029"/>
      <c r="M34" s="1030"/>
      <c r="N34" s="1034" t="str">
        <f>IF(C34="","",INDEX(PMGWATER[Base Desc 1],MATCH(C34,PMGWATER[Eff Desc 1],0)))</f>
        <v/>
      </c>
      <c r="O34" s="1035"/>
      <c r="P34" s="1035"/>
      <c r="Q34" s="1035"/>
      <c r="R34" s="1035"/>
      <c r="S34" s="1036"/>
      <c r="T34" s="1040" t="str">
        <f>IF(C34="","",INDEX(PMGWATER[Unit],MATCH(C34,PMGWATER[Eff Desc 1],0)))</f>
        <v/>
      </c>
      <c r="U34" s="1041"/>
      <c r="V34" s="1044"/>
      <c r="W34" s="1045"/>
      <c r="X34" s="1028"/>
      <c r="Y34" s="1029"/>
      <c r="Z34" s="1029"/>
      <c r="AA34" s="1030"/>
      <c r="AB34" s="1028"/>
      <c r="AC34" s="1029"/>
      <c r="AD34" s="1030"/>
      <c r="AE34" s="1048"/>
      <c r="AF34" s="1049"/>
      <c r="AG34" s="1048"/>
      <c r="AH34" s="1049"/>
      <c r="AI34" s="1052" t="str">
        <f>IF(C34="","",INDEX(PMGWATER[Inc Rate Unit],MATCH(C34,PMGWATER[Eff Desc 1],0)))</f>
        <v/>
      </c>
      <c r="AJ34" s="1053"/>
      <c r="AK34" s="1069" t="str">
        <f>IF(OR(C34="",V34="",X34="",AB34="",AE34="",AG34=""),"",ROUND(V34*INDEX(PMGWATER[Savings per Unit therms],MATCH(C34,PMGWATER[Eff Desc 1],0)),0))</f>
        <v/>
      </c>
      <c r="AL34" s="1070"/>
      <c r="AM34" s="1070"/>
      <c r="AN34" s="1071"/>
      <c r="AO34" s="1022" t="str">
        <f>IF(OR(C34="",V34="",X34="",AB34="",AE34="",AG34=""),"",MIN(AU34,ROUND(V34*AI34,2)))</f>
        <v/>
      </c>
      <c r="AP34" s="1023"/>
      <c r="AQ34" s="1024"/>
      <c r="AR34" s="135"/>
      <c r="AU34" s="1067" t="str">
        <f>IF(OR(C34="",V34="",X34="",AB34="",AE34="",AG34=""),"",(ROUND(AE34,2)+ROUND(AG34,2))*V34)</f>
        <v/>
      </c>
    </row>
    <row r="35" spans="2:47" ht="15.95" customHeight="1" x14ac:dyDescent="0.25">
      <c r="B35" s="1063"/>
      <c r="C35" s="1031"/>
      <c r="D35" s="1032"/>
      <c r="E35" s="1032"/>
      <c r="F35" s="1032"/>
      <c r="G35" s="1032"/>
      <c r="H35" s="1032"/>
      <c r="I35" s="1032"/>
      <c r="J35" s="1032"/>
      <c r="K35" s="1032"/>
      <c r="L35" s="1032"/>
      <c r="M35" s="1033"/>
      <c r="N35" s="1037"/>
      <c r="O35" s="1038"/>
      <c r="P35" s="1038"/>
      <c r="Q35" s="1038"/>
      <c r="R35" s="1038"/>
      <c r="S35" s="1039"/>
      <c r="T35" s="1042"/>
      <c r="U35" s="1043"/>
      <c r="V35" s="1046"/>
      <c r="W35" s="1047"/>
      <c r="X35" s="1031"/>
      <c r="Y35" s="1032"/>
      <c r="Z35" s="1032"/>
      <c r="AA35" s="1033"/>
      <c r="AB35" s="1031"/>
      <c r="AC35" s="1032"/>
      <c r="AD35" s="1033"/>
      <c r="AE35" s="1050"/>
      <c r="AF35" s="1051"/>
      <c r="AG35" s="1050"/>
      <c r="AH35" s="1051"/>
      <c r="AI35" s="1054"/>
      <c r="AJ35" s="1055"/>
      <c r="AK35" s="1072"/>
      <c r="AL35" s="1073"/>
      <c r="AM35" s="1073"/>
      <c r="AN35" s="1074"/>
      <c r="AO35" s="1025"/>
      <c r="AP35" s="1026"/>
      <c r="AQ35" s="1027"/>
      <c r="AR35" s="135"/>
      <c r="AU35" s="1068"/>
    </row>
    <row r="36" spans="2:47" ht="15.95" customHeight="1" x14ac:dyDescent="0.25">
      <c r="B36" s="1063">
        <v>11</v>
      </c>
      <c r="C36" s="1028"/>
      <c r="D36" s="1029"/>
      <c r="E36" s="1029"/>
      <c r="F36" s="1029"/>
      <c r="G36" s="1029"/>
      <c r="H36" s="1029"/>
      <c r="I36" s="1029"/>
      <c r="J36" s="1029"/>
      <c r="K36" s="1029"/>
      <c r="L36" s="1029"/>
      <c r="M36" s="1030"/>
      <c r="N36" s="1034" t="str">
        <f>IF(C36="","",INDEX(PMGWATER[Base Desc 1],MATCH(C36,PMGWATER[Eff Desc 1],0)))</f>
        <v/>
      </c>
      <c r="O36" s="1035"/>
      <c r="P36" s="1035"/>
      <c r="Q36" s="1035"/>
      <c r="R36" s="1035"/>
      <c r="S36" s="1036"/>
      <c r="T36" s="1040" t="str">
        <f>IF(C36="","",INDEX(PMGWATER[Unit],MATCH(C36,PMGWATER[Eff Desc 1],0)))</f>
        <v/>
      </c>
      <c r="U36" s="1041"/>
      <c r="V36" s="1044"/>
      <c r="W36" s="1045"/>
      <c r="X36" s="1028"/>
      <c r="Y36" s="1029"/>
      <c r="Z36" s="1029"/>
      <c r="AA36" s="1030"/>
      <c r="AB36" s="1028"/>
      <c r="AC36" s="1029"/>
      <c r="AD36" s="1030"/>
      <c r="AE36" s="1048"/>
      <c r="AF36" s="1049"/>
      <c r="AG36" s="1048"/>
      <c r="AH36" s="1049"/>
      <c r="AI36" s="1052" t="str">
        <f>IF(C36="","",INDEX(PMGWATER[Inc Rate Unit],MATCH(C36,PMGWATER[Eff Desc 1],0)))</f>
        <v/>
      </c>
      <c r="AJ36" s="1053"/>
      <c r="AK36" s="1069" t="str">
        <f>IF(OR(C36="",V36="",X36="",AB36="",AE36="",AG36=""),"",ROUND(V36*INDEX(PMGWATER[Savings per Unit therms],MATCH(C36,PMGWATER[Eff Desc 1],0)),0))</f>
        <v/>
      </c>
      <c r="AL36" s="1070"/>
      <c r="AM36" s="1070"/>
      <c r="AN36" s="1071"/>
      <c r="AO36" s="1022" t="str">
        <f>IF(OR(C36="",V36="",X36="",AB36="",AE36="",AG36=""),"",MIN(AU36,ROUND(V36*AI36,2)))</f>
        <v/>
      </c>
      <c r="AP36" s="1023"/>
      <c r="AQ36" s="1024"/>
      <c r="AR36" s="135"/>
      <c r="AU36" s="1067" t="str">
        <f>IF(OR(C36="",V36="",X36="",AB36="",AE36="",AG36=""),"",(ROUND(AE36,2)+ROUND(AG36,2))*V36)</f>
        <v/>
      </c>
    </row>
    <row r="37" spans="2:47" ht="15.95" customHeight="1" x14ac:dyDescent="0.25">
      <c r="B37" s="1063"/>
      <c r="C37" s="1031"/>
      <c r="D37" s="1032"/>
      <c r="E37" s="1032"/>
      <c r="F37" s="1032"/>
      <c r="G37" s="1032"/>
      <c r="H37" s="1032"/>
      <c r="I37" s="1032"/>
      <c r="J37" s="1032"/>
      <c r="K37" s="1032"/>
      <c r="L37" s="1032"/>
      <c r="M37" s="1033"/>
      <c r="N37" s="1037"/>
      <c r="O37" s="1038"/>
      <c r="P37" s="1038"/>
      <c r="Q37" s="1038"/>
      <c r="R37" s="1038"/>
      <c r="S37" s="1039"/>
      <c r="T37" s="1042"/>
      <c r="U37" s="1043"/>
      <c r="V37" s="1046"/>
      <c r="W37" s="1047"/>
      <c r="X37" s="1031"/>
      <c r="Y37" s="1032"/>
      <c r="Z37" s="1032"/>
      <c r="AA37" s="1033"/>
      <c r="AB37" s="1031"/>
      <c r="AC37" s="1032"/>
      <c r="AD37" s="1033"/>
      <c r="AE37" s="1050"/>
      <c r="AF37" s="1051"/>
      <c r="AG37" s="1050"/>
      <c r="AH37" s="1051"/>
      <c r="AI37" s="1054"/>
      <c r="AJ37" s="1055"/>
      <c r="AK37" s="1072"/>
      <c r="AL37" s="1073"/>
      <c r="AM37" s="1073"/>
      <c r="AN37" s="1074"/>
      <c r="AO37" s="1025"/>
      <c r="AP37" s="1026"/>
      <c r="AQ37" s="1027"/>
      <c r="AR37" s="135"/>
      <c r="AU37" s="1068"/>
    </row>
    <row r="38" spans="2:47" ht="15.95" customHeight="1" x14ac:dyDescent="0.25">
      <c r="B38" s="1063">
        <v>12</v>
      </c>
      <c r="C38" s="1028"/>
      <c r="D38" s="1029"/>
      <c r="E38" s="1029"/>
      <c r="F38" s="1029"/>
      <c r="G38" s="1029"/>
      <c r="H38" s="1029"/>
      <c r="I38" s="1029"/>
      <c r="J38" s="1029"/>
      <c r="K38" s="1029"/>
      <c r="L38" s="1029"/>
      <c r="M38" s="1030"/>
      <c r="N38" s="1034" t="str">
        <f>IF(C38="","",INDEX(PMGWATER[Base Desc 1],MATCH(C38,PMGWATER[Eff Desc 1],0)))</f>
        <v/>
      </c>
      <c r="O38" s="1035"/>
      <c r="P38" s="1035"/>
      <c r="Q38" s="1035"/>
      <c r="R38" s="1035"/>
      <c r="S38" s="1036"/>
      <c r="T38" s="1040" t="str">
        <f>IF(C38="","",INDEX(PMGWATER[Unit],MATCH(C38,PMGWATER[Eff Desc 1],0)))</f>
        <v/>
      </c>
      <c r="U38" s="1041"/>
      <c r="V38" s="1044"/>
      <c r="W38" s="1045"/>
      <c r="X38" s="1028"/>
      <c r="Y38" s="1029"/>
      <c r="Z38" s="1029"/>
      <c r="AA38" s="1030"/>
      <c r="AB38" s="1028"/>
      <c r="AC38" s="1029"/>
      <c r="AD38" s="1030"/>
      <c r="AE38" s="1048"/>
      <c r="AF38" s="1049"/>
      <c r="AG38" s="1048"/>
      <c r="AH38" s="1049"/>
      <c r="AI38" s="1052" t="str">
        <f>IF(C38="","",INDEX(PMGWATER[Inc Rate Unit],MATCH(C38,PMGWATER[Eff Desc 1],0)))</f>
        <v/>
      </c>
      <c r="AJ38" s="1053"/>
      <c r="AK38" s="1069" t="str">
        <f>IF(OR(C38="",V38="",X38="",AB38="",AE38="",AG38=""),"",ROUND(V38*INDEX(PMGWATER[Savings per Unit therms],MATCH(C38,PMGWATER[Eff Desc 1],0)),0))</f>
        <v/>
      </c>
      <c r="AL38" s="1070"/>
      <c r="AM38" s="1070"/>
      <c r="AN38" s="1071"/>
      <c r="AO38" s="1022" t="str">
        <f>IF(OR(C38="",V38="",X38="",AB38="",AE38="",AG38=""),"",MIN(AU38,ROUND(V38*AI38,2)))</f>
        <v/>
      </c>
      <c r="AP38" s="1023"/>
      <c r="AQ38" s="1024"/>
      <c r="AR38" s="135"/>
      <c r="AU38" s="1067" t="str">
        <f>IF(OR(C38="",V38="",X38="",AB38="",AE38="",AG38=""),"",(ROUND(AE38,2)+ROUND(AG38,2))*V38)</f>
        <v/>
      </c>
    </row>
    <row r="39" spans="2:47" ht="15.95" customHeight="1" x14ac:dyDescent="0.25">
      <c r="B39" s="1063"/>
      <c r="C39" s="1031"/>
      <c r="D39" s="1032"/>
      <c r="E39" s="1032"/>
      <c r="F39" s="1032"/>
      <c r="G39" s="1032"/>
      <c r="H39" s="1032"/>
      <c r="I39" s="1032"/>
      <c r="J39" s="1032"/>
      <c r="K39" s="1032"/>
      <c r="L39" s="1032"/>
      <c r="M39" s="1033"/>
      <c r="N39" s="1037"/>
      <c r="O39" s="1038"/>
      <c r="P39" s="1038"/>
      <c r="Q39" s="1038"/>
      <c r="R39" s="1038"/>
      <c r="S39" s="1039"/>
      <c r="T39" s="1042"/>
      <c r="U39" s="1043"/>
      <c r="V39" s="1046"/>
      <c r="W39" s="1047"/>
      <c r="X39" s="1031"/>
      <c r="Y39" s="1032"/>
      <c r="Z39" s="1032"/>
      <c r="AA39" s="1033"/>
      <c r="AB39" s="1031"/>
      <c r="AC39" s="1032"/>
      <c r="AD39" s="1033"/>
      <c r="AE39" s="1050"/>
      <c r="AF39" s="1051"/>
      <c r="AG39" s="1050"/>
      <c r="AH39" s="1051"/>
      <c r="AI39" s="1054"/>
      <c r="AJ39" s="1055"/>
      <c r="AK39" s="1072"/>
      <c r="AL39" s="1073"/>
      <c r="AM39" s="1073"/>
      <c r="AN39" s="1074"/>
      <c r="AO39" s="1025"/>
      <c r="AP39" s="1026"/>
      <c r="AQ39" s="1027"/>
      <c r="AR39" s="135"/>
      <c r="AU39" s="1068"/>
    </row>
    <row r="40" spans="2:47" ht="15.95" customHeight="1" x14ac:dyDescent="0.25">
      <c r="B40" s="1063">
        <v>13</v>
      </c>
      <c r="C40" s="1028"/>
      <c r="D40" s="1029"/>
      <c r="E40" s="1029"/>
      <c r="F40" s="1029"/>
      <c r="G40" s="1029"/>
      <c r="H40" s="1029"/>
      <c r="I40" s="1029"/>
      <c r="J40" s="1029"/>
      <c r="K40" s="1029"/>
      <c r="L40" s="1029"/>
      <c r="M40" s="1030"/>
      <c r="N40" s="1034" t="str">
        <f>IF(C40="","",INDEX(PMGWATER[Base Desc 1],MATCH(C40,PMGWATER[Eff Desc 1],0)))</f>
        <v/>
      </c>
      <c r="O40" s="1035"/>
      <c r="P40" s="1035"/>
      <c r="Q40" s="1035"/>
      <c r="R40" s="1035"/>
      <c r="S40" s="1036"/>
      <c r="T40" s="1040" t="str">
        <f>IF(C40="","",INDEX(PMGWATER[Unit],MATCH(C40,PMGWATER[Eff Desc 1],0)))</f>
        <v/>
      </c>
      <c r="U40" s="1041"/>
      <c r="V40" s="1044"/>
      <c r="W40" s="1045"/>
      <c r="X40" s="1028"/>
      <c r="Y40" s="1029"/>
      <c r="Z40" s="1029"/>
      <c r="AA40" s="1030"/>
      <c r="AB40" s="1028"/>
      <c r="AC40" s="1029"/>
      <c r="AD40" s="1030"/>
      <c r="AE40" s="1048"/>
      <c r="AF40" s="1049"/>
      <c r="AG40" s="1048"/>
      <c r="AH40" s="1049"/>
      <c r="AI40" s="1052" t="str">
        <f>IF(C40="","",INDEX(PMGWATER[Inc Rate Unit],MATCH(C40,PMGWATER[Eff Desc 1],0)))</f>
        <v/>
      </c>
      <c r="AJ40" s="1053"/>
      <c r="AK40" s="1069" t="str">
        <f>IF(OR(C40="",V40="",X40="",AB40="",AE40="",AG40=""),"",ROUND(V40*INDEX(PMGWATER[Savings per Unit therms],MATCH(C40,PMGWATER[Eff Desc 1],0)),0))</f>
        <v/>
      </c>
      <c r="AL40" s="1070"/>
      <c r="AM40" s="1070"/>
      <c r="AN40" s="1071"/>
      <c r="AO40" s="1022" t="str">
        <f>IF(OR(C40="",V40="",X40="",AB40="",AE40="",AG40=""),"",MIN(AU40,ROUND(V40*AI40,2)))</f>
        <v/>
      </c>
      <c r="AP40" s="1023"/>
      <c r="AQ40" s="1024"/>
      <c r="AR40" s="135"/>
      <c r="AU40" s="1067" t="str">
        <f>IF(OR(C40="",V40="",X40="",AB40="",AE40="",AG40=""),"",(ROUND(AE40,2)+ROUND(AG40,2))*V40)</f>
        <v/>
      </c>
    </row>
    <row r="41" spans="2:47" ht="15.95" customHeight="1" x14ac:dyDescent="0.25">
      <c r="B41" s="1063"/>
      <c r="C41" s="1031"/>
      <c r="D41" s="1032"/>
      <c r="E41" s="1032"/>
      <c r="F41" s="1032"/>
      <c r="G41" s="1032"/>
      <c r="H41" s="1032"/>
      <c r="I41" s="1032"/>
      <c r="J41" s="1032"/>
      <c r="K41" s="1032"/>
      <c r="L41" s="1032"/>
      <c r="M41" s="1033"/>
      <c r="N41" s="1037"/>
      <c r="O41" s="1038"/>
      <c r="P41" s="1038"/>
      <c r="Q41" s="1038"/>
      <c r="R41" s="1038"/>
      <c r="S41" s="1039"/>
      <c r="T41" s="1042"/>
      <c r="U41" s="1043"/>
      <c r="V41" s="1046"/>
      <c r="W41" s="1047"/>
      <c r="X41" s="1031"/>
      <c r="Y41" s="1032"/>
      <c r="Z41" s="1032"/>
      <c r="AA41" s="1033"/>
      <c r="AB41" s="1031"/>
      <c r="AC41" s="1032"/>
      <c r="AD41" s="1033"/>
      <c r="AE41" s="1050"/>
      <c r="AF41" s="1051"/>
      <c r="AG41" s="1050"/>
      <c r="AH41" s="1051"/>
      <c r="AI41" s="1054"/>
      <c r="AJ41" s="1055"/>
      <c r="AK41" s="1072"/>
      <c r="AL41" s="1073"/>
      <c r="AM41" s="1073"/>
      <c r="AN41" s="1074"/>
      <c r="AO41" s="1025"/>
      <c r="AP41" s="1026"/>
      <c r="AQ41" s="1027"/>
      <c r="AR41" s="135"/>
      <c r="AU41" s="1068"/>
    </row>
    <row r="42" spans="2:47" ht="15.95" customHeight="1" x14ac:dyDescent="0.25">
      <c r="B42" s="1063">
        <v>14</v>
      </c>
      <c r="C42" s="1028"/>
      <c r="D42" s="1029"/>
      <c r="E42" s="1029"/>
      <c r="F42" s="1029"/>
      <c r="G42" s="1029"/>
      <c r="H42" s="1029"/>
      <c r="I42" s="1029"/>
      <c r="J42" s="1029"/>
      <c r="K42" s="1029"/>
      <c r="L42" s="1029"/>
      <c r="M42" s="1030"/>
      <c r="N42" s="1034" t="str">
        <f>IF(C42="","",INDEX(PMGWATER[Base Desc 1],MATCH(C42,PMGWATER[Eff Desc 1],0)))</f>
        <v/>
      </c>
      <c r="O42" s="1035"/>
      <c r="P42" s="1035"/>
      <c r="Q42" s="1035"/>
      <c r="R42" s="1035"/>
      <c r="S42" s="1036"/>
      <c r="T42" s="1040" t="str">
        <f>IF(C42="","",INDEX(PMGWATER[Unit],MATCH(C42,PMGWATER[Eff Desc 1],0)))</f>
        <v/>
      </c>
      <c r="U42" s="1041"/>
      <c r="V42" s="1044"/>
      <c r="W42" s="1045"/>
      <c r="X42" s="1028"/>
      <c r="Y42" s="1029"/>
      <c r="Z42" s="1029"/>
      <c r="AA42" s="1030"/>
      <c r="AB42" s="1028"/>
      <c r="AC42" s="1029"/>
      <c r="AD42" s="1030"/>
      <c r="AE42" s="1048"/>
      <c r="AF42" s="1049"/>
      <c r="AG42" s="1048"/>
      <c r="AH42" s="1049"/>
      <c r="AI42" s="1052" t="str">
        <f>IF(C42="","",INDEX(PMGWATER[Inc Rate Unit],MATCH(C42,PMGWATER[Eff Desc 1],0)))</f>
        <v/>
      </c>
      <c r="AJ42" s="1053"/>
      <c r="AK42" s="1069" t="str">
        <f>IF(OR(C42="",V42="",X42="",AB42="",AE42="",AG42=""),"",ROUND(V42*INDEX(PMGWATER[Savings per Unit therms],MATCH(C42,PMGWATER[Eff Desc 1],0)),0))</f>
        <v/>
      </c>
      <c r="AL42" s="1070"/>
      <c r="AM42" s="1070"/>
      <c r="AN42" s="1071"/>
      <c r="AO42" s="1022" t="str">
        <f>IF(OR(C42="",V42="",X42="",AB42="",AE42="",AG42=""),"",MIN(AU42,ROUND(V42*AI42,2)))</f>
        <v/>
      </c>
      <c r="AP42" s="1023"/>
      <c r="AQ42" s="1024"/>
      <c r="AR42" s="135"/>
      <c r="AU42" s="1067" t="str">
        <f>IF(OR(C42="",V42="",X42="",AB42="",AE42="",AG42=""),"",(ROUND(AE42,2)+ROUND(AG42,2))*V42)</f>
        <v/>
      </c>
    </row>
    <row r="43" spans="2:47" ht="15.95" customHeight="1" x14ac:dyDescent="0.25">
      <c r="B43" s="1063"/>
      <c r="C43" s="1031"/>
      <c r="D43" s="1032"/>
      <c r="E43" s="1032"/>
      <c r="F43" s="1032"/>
      <c r="G43" s="1032"/>
      <c r="H43" s="1032"/>
      <c r="I43" s="1032"/>
      <c r="J43" s="1032"/>
      <c r="K43" s="1032"/>
      <c r="L43" s="1032"/>
      <c r="M43" s="1033"/>
      <c r="N43" s="1037"/>
      <c r="O43" s="1038"/>
      <c r="P43" s="1038"/>
      <c r="Q43" s="1038"/>
      <c r="R43" s="1038"/>
      <c r="S43" s="1039"/>
      <c r="T43" s="1042"/>
      <c r="U43" s="1043"/>
      <c r="V43" s="1046"/>
      <c r="W43" s="1047"/>
      <c r="X43" s="1031"/>
      <c r="Y43" s="1032"/>
      <c r="Z43" s="1032"/>
      <c r="AA43" s="1033"/>
      <c r="AB43" s="1031"/>
      <c r="AC43" s="1032"/>
      <c r="AD43" s="1033"/>
      <c r="AE43" s="1050"/>
      <c r="AF43" s="1051"/>
      <c r="AG43" s="1050"/>
      <c r="AH43" s="1051"/>
      <c r="AI43" s="1054"/>
      <c r="AJ43" s="1055"/>
      <c r="AK43" s="1072"/>
      <c r="AL43" s="1073"/>
      <c r="AM43" s="1073"/>
      <c r="AN43" s="1074"/>
      <c r="AO43" s="1025"/>
      <c r="AP43" s="1026"/>
      <c r="AQ43" s="1027"/>
      <c r="AR43" s="135"/>
      <c r="AU43" s="1068"/>
    </row>
    <row r="44" spans="2:47" ht="15.95" customHeight="1" x14ac:dyDescent="0.25">
      <c r="B44" s="1063">
        <v>15</v>
      </c>
      <c r="C44" s="1028"/>
      <c r="D44" s="1029"/>
      <c r="E44" s="1029"/>
      <c r="F44" s="1029"/>
      <c r="G44" s="1029"/>
      <c r="H44" s="1029"/>
      <c r="I44" s="1029"/>
      <c r="J44" s="1029"/>
      <c r="K44" s="1029"/>
      <c r="L44" s="1029"/>
      <c r="M44" s="1030"/>
      <c r="N44" s="1034" t="str">
        <f>IF(C44="","",INDEX(PMGWATER[Base Desc 1],MATCH(C44,PMGWATER[Eff Desc 1],0)))</f>
        <v/>
      </c>
      <c r="O44" s="1035"/>
      <c r="P44" s="1035"/>
      <c r="Q44" s="1035"/>
      <c r="R44" s="1035"/>
      <c r="S44" s="1036"/>
      <c r="T44" s="1040" t="str">
        <f>IF(C44="","",INDEX(PMGWATER[Unit],MATCH(C44,PMGWATER[Eff Desc 1],0)))</f>
        <v/>
      </c>
      <c r="U44" s="1041"/>
      <c r="V44" s="1044"/>
      <c r="W44" s="1045"/>
      <c r="X44" s="1028"/>
      <c r="Y44" s="1029"/>
      <c r="Z44" s="1029"/>
      <c r="AA44" s="1030"/>
      <c r="AB44" s="1028"/>
      <c r="AC44" s="1029"/>
      <c r="AD44" s="1030"/>
      <c r="AE44" s="1048"/>
      <c r="AF44" s="1049"/>
      <c r="AG44" s="1048"/>
      <c r="AH44" s="1049"/>
      <c r="AI44" s="1052" t="str">
        <f>IF(C44="","",INDEX(PMGWATER[Inc Rate Unit],MATCH(C44,PMGWATER[Eff Desc 1],0)))</f>
        <v/>
      </c>
      <c r="AJ44" s="1053"/>
      <c r="AK44" s="1069" t="str">
        <f>IF(OR(C44="",V44="",X44="",AB44="",AE44="",AG44=""),"",ROUND(V44*INDEX(PMGWATER[Savings per Unit therms],MATCH(C44,PMGWATER[Eff Desc 1],0)),0))</f>
        <v/>
      </c>
      <c r="AL44" s="1070"/>
      <c r="AM44" s="1070"/>
      <c r="AN44" s="1071"/>
      <c r="AO44" s="1022" t="str">
        <f>IF(OR(C44="",V44="",X44="",AB44="",AE44="",AG44=""),"",MIN(AU44,ROUND(V44*AI44,2)))</f>
        <v/>
      </c>
      <c r="AP44" s="1023"/>
      <c r="AQ44" s="1024"/>
      <c r="AR44" s="135"/>
      <c r="AU44" s="1067" t="str">
        <f>IF(OR(C44="",V44="",X44="",AB44="",AE44="",AG44=""),"",(ROUND(AE44,2)+ROUND(AG44,2))*V44)</f>
        <v/>
      </c>
    </row>
    <row r="45" spans="2:47" ht="15.95" customHeight="1" x14ac:dyDescent="0.25">
      <c r="B45" s="1063"/>
      <c r="C45" s="1031"/>
      <c r="D45" s="1032"/>
      <c r="E45" s="1032"/>
      <c r="F45" s="1032"/>
      <c r="G45" s="1032"/>
      <c r="H45" s="1032"/>
      <c r="I45" s="1032"/>
      <c r="J45" s="1032"/>
      <c r="K45" s="1032"/>
      <c r="L45" s="1032"/>
      <c r="M45" s="1033"/>
      <c r="N45" s="1037"/>
      <c r="O45" s="1038"/>
      <c r="P45" s="1038"/>
      <c r="Q45" s="1038"/>
      <c r="R45" s="1038"/>
      <c r="S45" s="1039"/>
      <c r="T45" s="1042"/>
      <c r="U45" s="1043"/>
      <c r="V45" s="1046"/>
      <c r="W45" s="1047"/>
      <c r="X45" s="1031"/>
      <c r="Y45" s="1032"/>
      <c r="Z45" s="1032"/>
      <c r="AA45" s="1033"/>
      <c r="AB45" s="1031"/>
      <c r="AC45" s="1032"/>
      <c r="AD45" s="1033"/>
      <c r="AE45" s="1050"/>
      <c r="AF45" s="1051"/>
      <c r="AG45" s="1050"/>
      <c r="AH45" s="1051"/>
      <c r="AI45" s="1054"/>
      <c r="AJ45" s="1055"/>
      <c r="AK45" s="1072"/>
      <c r="AL45" s="1073"/>
      <c r="AM45" s="1073"/>
      <c r="AN45" s="1074"/>
      <c r="AO45" s="1025"/>
      <c r="AP45" s="1026"/>
      <c r="AQ45" s="1027"/>
      <c r="AR45" s="135"/>
      <c r="AU45" s="1068"/>
    </row>
    <row r="46" spans="2:47" ht="15.95" hidden="1" customHeight="1" x14ac:dyDescent="0.25">
      <c r="B46" s="1062">
        <v>16</v>
      </c>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row>
    <row r="47" spans="2:47" ht="15.95" hidden="1" customHeight="1" x14ac:dyDescent="0.25">
      <c r="B47" s="1062"/>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row>
    <row r="48" spans="2:47" ht="15.95" hidden="1" customHeight="1" x14ac:dyDescent="0.25">
      <c r="B48" s="1062">
        <v>17</v>
      </c>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row>
    <row r="49" spans="2:43" ht="15.95" hidden="1" customHeight="1" x14ac:dyDescent="0.25">
      <c r="B49" s="1062"/>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row>
    <row r="50" spans="2:43" ht="15.95" hidden="1" customHeight="1" x14ac:dyDescent="0.25">
      <c r="B50" s="1062">
        <v>18</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row>
    <row r="51" spans="2:43" ht="15.95" hidden="1" customHeight="1" x14ac:dyDescent="0.25">
      <c r="B51" s="1062"/>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row>
    <row r="52" spans="2:43" ht="15.95" hidden="1" customHeight="1" x14ac:dyDescent="0.25">
      <c r="B52" s="1062">
        <v>19</v>
      </c>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row>
    <row r="53" spans="2:43" ht="15.95" hidden="1" customHeight="1" x14ac:dyDescent="0.25">
      <c r="B53" s="1062"/>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row>
    <row r="54" spans="2:43" ht="15.95" hidden="1" customHeight="1" x14ac:dyDescent="0.25">
      <c r="B54" s="1062">
        <v>20</v>
      </c>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row>
    <row r="55" spans="2:43" ht="15.95" hidden="1" customHeight="1" x14ac:dyDescent="0.25">
      <c r="B55" s="1062"/>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row>
    <row r="56" spans="2:43" ht="15.95" hidden="1" customHeight="1" x14ac:dyDescent="0.25">
      <c r="B56" s="1062">
        <v>21</v>
      </c>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row>
    <row r="57" spans="2:43" ht="15.95" hidden="1" customHeight="1" x14ac:dyDescent="0.25">
      <c r="B57" s="1062"/>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row>
    <row r="58" spans="2:43" ht="15.95" hidden="1" customHeight="1" x14ac:dyDescent="0.25">
      <c r="B58" s="1062">
        <v>22</v>
      </c>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row>
    <row r="59" spans="2:43" ht="15.95" hidden="1" customHeight="1" x14ac:dyDescent="0.25">
      <c r="B59" s="1062"/>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row>
    <row r="60" spans="2:43" ht="15.95" hidden="1" customHeight="1" x14ac:dyDescent="0.25">
      <c r="B60" s="1062">
        <v>23</v>
      </c>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row>
    <row r="61" spans="2:43" ht="15.95" hidden="1" customHeight="1" x14ac:dyDescent="0.25">
      <c r="B61" s="1062"/>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row>
    <row r="62" spans="2:43" ht="15.95" hidden="1" customHeight="1" x14ac:dyDescent="0.25">
      <c r="B62" s="1062">
        <v>24</v>
      </c>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row>
    <row r="63" spans="2:43" ht="15.95" hidden="1" customHeight="1" x14ac:dyDescent="0.25">
      <c r="B63" s="1062"/>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row>
    <row r="64" spans="2:43" ht="15.95" hidden="1" customHeight="1" x14ac:dyDescent="0.25">
      <c r="B64" s="1062">
        <v>25</v>
      </c>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row>
    <row r="65" spans="2:43" ht="15.95" hidden="1" customHeight="1" x14ac:dyDescent="0.25">
      <c r="B65" s="1062"/>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row>
    <row r="66" spans="2:43" ht="15.95" hidden="1" customHeight="1" x14ac:dyDescent="0.25">
      <c r="B66" s="1062">
        <v>26</v>
      </c>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row>
    <row r="67" spans="2:43" ht="15.95" hidden="1" customHeight="1" x14ac:dyDescent="0.25">
      <c r="B67" s="1062"/>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row>
    <row r="68" spans="2:43" ht="15.95" hidden="1" customHeight="1" x14ac:dyDescent="0.25">
      <c r="B68" s="1062">
        <v>27</v>
      </c>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row>
    <row r="69" spans="2:43" ht="15.95" hidden="1" customHeight="1" x14ac:dyDescent="0.25">
      <c r="B69" s="1062"/>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row>
    <row r="70" spans="2:43" ht="15.95" hidden="1" customHeight="1" x14ac:dyDescent="0.25">
      <c r="B70" s="1062">
        <v>28</v>
      </c>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row>
    <row r="71" spans="2:43" ht="15.95" hidden="1" customHeight="1" x14ac:dyDescent="0.25">
      <c r="B71" s="1062"/>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row>
    <row r="72" spans="2:43" ht="15.95" hidden="1" customHeight="1" x14ac:dyDescent="0.25">
      <c r="B72" s="1062">
        <v>29</v>
      </c>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row>
    <row r="73" spans="2:43" ht="15.95" hidden="1" customHeight="1" x14ac:dyDescent="0.25">
      <c r="B73" s="1062"/>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row>
    <row r="74" spans="2:43" ht="15.95" hidden="1" customHeight="1" x14ac:dyDescent="0.25">
      <c r="B74" s="1062">
        <v>30</v>
      </c>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row>
    <row r="75" spans="2:43" ht="15.95" hidden="1" customHeight="1" x14ac:dyDescent="0.25">
      <c r="B75" s="1062"/>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row>
    <row r="76" spans="2:43" ht="15.95" hidden="1" customHeight="1" x14ac:dyDescent="0.25">
      <c r="B76" s="1062">
        <v>31</v>
      </c>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row>
    <row r="77" spans="2:43" ht="15.95" hidden="1" customHeight="1" x14ac:dyDescent="0.25">
      <c r="B77" s="1062"/>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row>
    <row r="78" spans="2:43" ht="15.95" hidden="1" customHeight="1" x14ac:dyDescent="0.25">
      <c r="B78" s="1062">
        <v>32</v>
      </c>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row>
    <row r="79" spans="2:43" ht="15.95" hidden="1" customHeight="1" x14ac:dyDescent="0.25">
      <c r="B79" s="1062"/>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row>
    <row r="80" spans="2:43" ht="15.95" hidden="1" customHeight="1" x14ac:dyDescent="0.25">
      <c r="B80" s="1062">
        <v>33</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row>
    <row r="81" spans="2:43" ht="15.95" hidden="1" customHeight="1" x14ac:dyDescent="0.25">
      <c r="B81" s="1062"/>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row>
    <row r="82" spans="2:43" ht="15.95" hidden="1" customHeight="1" x14ac:dyDescent="0.25">
      <c r="B82" s="1062">
        <v>34</v>
      </c>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row>
    <row r="83" spans="2:43" ht="15.95" hidden="1" customHeight="1" x14ac:dyDescent="0.25">
      <c r="B83" s="1062"/>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row>
    <row r="84" spans="2:43" ht="15.95" hidden="1" customHeight="1" x14ac:dyDescent="0.25">
      <c r="B84" s="1062">
        <v>35</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row>
    <row r="85" spans="2:43" ht="15.95" hidden="1" customHeight="1" x14ac:dyDescent="0.25">
      <c r="B85" s="1062"/>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row>
    <row r="86" spans="2:43" ht="15.95" hidden="1" customHeight="1" x14ac:dyDescent="0.25">
      <c r="B86" s="1062">
        <v>36</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row>
    <row r="87" spans="2:43" ht="15.95" hidden="1" customHeight="1" x14ac:dyDescent="0.25">
      <c r="B87" s="1062"/>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row>
    <row r="88" spans="2:43" ht="15.95" hidden="1" customHeight="1" x14ac:dyDescent="0.25">
      <c r="B88" s="1062">
        <v>37</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row>
    <row r="89" spans="2:43" ht="15.95" hidden="1" customHeight="1" x14ac:dyDescent="0.25">
      <c r="B89" s="1062"/>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row>
    <row r="90" spans="2:43" ht="15.95" hidden="1" customHeight="1" x14ac:dyDescent="0.25">
      <c r="B90" s="1062">
        <v>38</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row>
    <row r="91" spans="2:43" ht="15.95" hidden="1" customHeight="1" x14ac:dyDescent="0.25">
      <c r="B91" s="1062"/>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row>
    <row r="92" spans="2:43" ht="15.95" hidden="1" customHeight="1" x14ac:dyDescent="0.25">
      <c r="B92" s="1062">
        <v>39</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row>
    <row r="93" spans="2:43" ht="15.95" hidden="1" customHeight="1" x14ac:dyDescent="0.25">
      <c r="B93" s="1062"/>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row>
    <row r="94" spans="2:43" ht="15.95" hidden="1" customHeight="1" x14ac:dyDescent="0.25">
      <c r="B94" s="1062">
        <v>40</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row>
    <row r="95" spans="2:43" ht="15.95" hidden="1" customHeight="1" x14ac:dyDescent="0.25">
      <c r="B95" s="1062"/>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row>
    <row r="96" spans="2:43" ht="15.95" hidden="1" customHeight="1" x14ac:dyDescent="0.25">
      <c r="B96" s="1062">
        <v>41</v>
      </c>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row>
    <row r="97" spans="2:43" ht="15.95" hidden="1" customHeight="1" x14ac:dyDescent="0.25">
      <c r="B97" s="1062"/>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row>
    <row r="98" spans="2:43" ht="15.95" hidden="1" customHeight="1" x14ac:dyDescent="0.25">
      <c r="B98" s="1062">
        <v>42</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row>
    <row r="99" spans="2:43" ht="15.95" hidden="1" customHeight="1" x14ac:dyDescent="0.25">
      <c r="B99" s="1062"/>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row>
    <row r="100" spans="2:43" ht="15.95" hidden="1" customHeight="1" x14ac:dyDescent="0.25">
      <c r="B100" s="1062">
        <v>43</v>
      </c>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row>
    <row r="101" spans="2:43" ht="15.95" hidden="1" customHeight="1" x14ac:dyDescent="0.25">
      <c r="B101" s="1062"/>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row>
    <row r="102" spans="2:43" ht="15.95" hidden="1" customHeight="1" x14ac:dyDescent="0.25">
      <c r="B102" s="1062">
        <v>44</v>
      </c>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row>
    <row r="103" spans="2:43" ht="15.95" hidden="1" customHeight="1" x14ac:dyDescent="0.25">
      <c r="B103" s="1062"/>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row>
    <row r="104" spans="2:43" ht="15.95" hidden="1" customHeight="1" x14ac:dyDescent="0.25">
      <c r="B104" s="1062">
        <v>45</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row>
    <row r="105" spans="2:43" ht="15.95" hidden="1" customHeight="1" x14ac:dyDescent="0.25">
      <c r="B105" s="1062"/>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row>
    <row r="106" spans="2:43" ht="15.95" hidden="1" customHeight="1" x14ac:dyDescent="0.25">
      <c r="B106" s="1062">
        <v>46</v>
      </c>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row>
    <row r="107" spans="2:43" ht="15.95" hidden="1" customHeight="1" x14ac:dyDescent="0.25">
      <c r="B107" s="1062"/>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row>
    <row r="108" spans="2:43" ht="15.95" hidden="1" customHeight="1" x14ac:dyDescent="0.25">
      <c r="B108" s="1062">
        <v>47</v>
      </c>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row>
    <row r="109" spans="2:43" ht="15.95" hidden="1" customHeight="1" x14ac:dyDescent="0.25">
      <c r="B109" s="1062"/>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row>
    <row r="110" spans="2:43" ht="15.95" hidden="1" customHeight="1" x14ac:dyDescent="0.25">
      <c r="B110" s="1062">
        <v>48</v>
      </c>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row>
    <row r="111" spans="2:43" ht="15.95" hidden="1" customHeight="1" x14ac:dyDescent="0.25">
      <c r="B111" s="1062"/>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row>
    <row r="112" spans="2:43" ht="15.95" hidden="1" customHeight="1" x14ac:dyDescent="0.25">
      <c r="B112" s="1062">
        <v>49</v>
      </c>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row>
    <row r="113" spans="2:43" ht="15.95" hidden="1" customHeight="1" x14ac:dyDescent="0.25">
      <c r="B113" s="1062"/>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row>
    <row r="114" spans="2:43" ht="15.95" hidden="1" customHeight="1" x14ac:dyDescent="0.25">
      <c r="B114" s="1062">
        <v>50</v>
      </c>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row>
    <row r="115" spans="2:43" ht="15.95" hidden="1" customHeight="1" x14ac:dyDescent="0.25">
      <c r="B115" s="1062"/>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row>
    <row r="116" spans="2:43" ht="15.95" hidden="1" customHeight="1" x14ac:dyDescent="0.25">
      <c r="B116" s="1062">
        <v>51</v>
      </c>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row>
    <row r="117" spans="2:43" ht="15.95" hidden="1" customHeight="1" x14ac:dyDescent="0.25">
      <c r="B117" s="1062"/>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row>
    <row r="118" spans="2:43" ht="15.95" hidden="1" customHeight="1" x14ac:dyDescent="0.25">
      <c r="B118" s="1062">
        <v>52</v>
      </c>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row>
    <row r="119" spans="2:43" ht="15.95" hidden="1" customHeight="1" x14ac:dyDescent="0.25">
      <c r="B119" s="1062"/>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row>
    <row r="120" spans="2:43" ht="15.95" hidden="1" customHeight="1" x14ac:dyDescent="0.25">
      <c r="B120" s="1062">
        <v>53</v>
      </c>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row>
    <row r="121" spans="2:43" ht="15.95" hidden="1" customHeight="1" x14ac:dyDescent="0.25">
      <c r="B121" s="1062"/>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row>
    <row r="122" spans="2:43" ht="15.95" hidden="1" customHeight="1" x14ac:dyDescent="0.25">
      <c r="B122" s="1062">
        <v>54</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row>
    <row r="123" spans="2:43" ht="15.95" hidden="1" customHeight="1" x14ac:dyDescent="0.25">
      <c r="B123" s="1062"/>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row>
    <row r="124" spans="2:43" ht="15.95" hidden="1" customHeight="1" x14ac:dyDescent="0.25">
      <c r="B124" s="1062">
        <v>55</v>
      </c>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row>
    <row r="125" spans="2:43" ht="15.95" hidden="1" customHeight="1" x14ac:dyDescent="0.25">
      <c r="B125" s="1062"/>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row>
    <row r="126" spans="2:43" ht="15.95" hidden="1" customHeight="1" x14ac:dyDescent="0.25">
      <c r="B126" s="1062">
        <v>56</v>
      </c>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row>
    <row r="127" spans="2:43" ht="15.95" hidden="1" customHeight="1" x14ac:dyDescent="0.25">
      <c r="B127" s="1062"/>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row>
    <row r="128" spans="2:43" ht="15.95" hidden="1" customHeight="1" x14ac:dyDescent="0.25">
      <c r="B128" s="1062">
        <v>57</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row>
    <row r="129" spans="2:43" ht="15.95" hidden="1" customHeight="1" x14ac:dyDescent="0.25">
      <c r="B129" s="1062"/>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row>
    <row r="130" spans="2:43" ht="15.95" hidden="1" customHeight="1" x14ac:dyDescent="0.25">
      <c r="B130" s="1062">
        <v>58</v>
      </c>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row>
    <row r="131" spans="2:43" ht="15.95" hidden="1" customHeight="1" x14ac:dyDescent="0.25">
      <c r="B131" s="1062"/>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row>
    <row r="132" spans="2:43" ht="15.95" hidden="1" customHeight="1" x14ac:dyDescent="0.25">
      <c r="B132" s="1062">
        <v>59</v>
      </c>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row>
    <row r="133" spans="2:43" ht="15.95" hidden="1" customHeight="1" x14ac:dyDescent="0.25">
      <c r="B133" s="1062"/>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row>
    <row r="134" spans="2:43" ht="15.95" hidden="1" customHeight="1" x14ac:dyDescent="0.25">
      <c r="B134" s="1062">
        <v>60</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row>
    <row r="135" spans="2:43" ht="15.95" hidden="1" customHeight="1" x14ac:dyDescent="0.25">
      <c r="B135" s="1062"/>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row>
    <row r="136" spans="2:43" ht="15.95" hidden="1" customHeight="1" x14ac:dyDescent="0.25">
      <c r="B136" s="1062">
        <v>61</v>
      </c>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row>
    <row r="137" spans="2:43" ht="15.95" hidden="1" customHeight="1" x14ac:dyDescent="0.25">
      <c r="B137" s="1062"/>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row>
    <row r="138" spans="2:43" ht="15.95" hidden="1" customHeight="1" x14ac:dyDescent="0.25">
      <c r="B138" s="1062">
        <v>62</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row>
    <row r="139" spans="2:43" ht="15.95" hidden="1" customHeight="1" x14ac:dyDescent="0.25">
      <c r="B139" s="1062"/>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row>
    <row r="140" spans="2:43" ht="15.95" hidden="1" customHeight="1" x14ac:dyDescent="0.25">
      <c r="B140" s="1062">
        <v>63</v>
      </c>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row>
    <row r="141" spans="2:43" ht="15.95" hidden="1" customHeight="1" x14ac:dyDescent="0.25">
      <c r="B141" s="1062"/>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row>
    <row r="142" spans="2:43" ht="15.95" hidden="1" customHeight="1" x14ac:dyDescent="0.25">
      <c r="B142" s="1062">
        <v>64</v>
      </c>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row>
    <row r="143" spans="2:43" ht="15.95" hidden="1" customHeight="1" x14ac:dyDescent="0.25">
      <c r="B143" s="1062"/>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row>
    <row r="144" spans="2:43" ht="15.95" hidden="1" customHeight="1" x14ac:dyDescent="0.25">
      <c r="B144" s="1062">
        <v>65</v>
      </c>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row>
    <row r="145" spans="2:43" ht="15.95" hidden="1" customHeight="1" x14ac:dyDescent="0.25">
      <c r="B145" s="1062"/>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row>
    <row r="146" spans="2:43" ht="15.95" hidden="1" customHeight="1" x14ac:dyDescent="0.25">
      <c r="B146" s="1062">
        <v>66</v>
      </c>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row>
    <row r="147" spans="2:43" ht="15.95" hidden="1" customHeight="1" x14ac:dyDescent="0.25">
      <c r="B147" s="1062"/>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row>
    <row r="148" spans="2:43" ht="15.95" hidden="1" customHeight="1" x14ac:dyDescent="0.25">
      <c r="B148" s="1062">
        <v>67</v>
      </c>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row>
    <row r="149" spans="2:43" ht="15.95" hidden="1" customHeight="1" x14ac:dyDescent="0.25">
      <c r="B149" s="1062"/>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row>
    <row r="150" spans="2:43" ht="15.95" hidden="1" customHeight="1" x14ac:dyDescent="0.25">
      <c r="B150" s="1062">
        <v>68</v>
      </c>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row>
    <row r="151" spans="2:43" ht="15.95" hidden="1" customHeight="1" x14ac:dyDescent="0.25">
      <c r="B151" s="1062"/>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row>
    <row r="152" spans="2:43" ht="15.95" hidden="1" customHeight="1" x14ac:dyDescent="0.25">
      <c r="B152" s="1062">
        <v>69</v>
      </c>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row>
    <row r="153" spans="2:43" ht="15.95" hidden="1" customHeight="1" x14ac:dyDescent="0.25">
      <c r="B153" s="1062"/>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row>
    <row r="154" spans="2:43" ht="15.95" hidden="1" customHeight="1" x14ac:dyDescent="0.25">
      <c r="B154" s="1062">
        <v>70</v>
      </c>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row>
    <row r="155" spans="2:43" ht="15.95" hidden="1" customHeight="1" x14ac:dyDescent="0.25">
      <c r="B155" s="1062"/>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row>
    <row r="156" spans="2:43" ht="15.95" hidden="1" customHeight="1" x14ac:dyDescent="0.25">
      <c r="B156" s="1062">
        <v>71</v>
      </c>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row>
    <row r="157" spans="2:43" ht="15.95" hidden="1" customHeight="1" x14ac:dyDescent="0.25">
      <c r="B157" s="1062"/>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row>
    <row r="158" spans="2:43" ht="15.95" hidden="1" customHeight="1" x14ac:dyDescent="0.25">
      <c r="B158" s="1062">
        <v>72</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3" ht="15.95" hidden="1" customHeight="1" x14ac:dyDescent="0.25">
      <c r="B159" s="1062"/>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3" ht="15.95" hidden="1" customHeight="1" x14ac:dyDescent="0.25">
      <c r="B160" s="1062">
        <v>73</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hidden="1" customHeight="1" x14ac:dyDescent="0.25">
      <c r="B161" s="1062"/>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hidden="1" customHeight="1" x14ac:dyDescent="0.25">
      <c r="B162" s="1062">
        <v>74</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hidden="1" customHeight="1" x14ac:dyDescent="0.25">
      <c r="B163" s="1062"/>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hidden="1" customHeight="1" x14ac:dyDescent="0.25">
      <c r="B164" s="1062">
        <v>75</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hidden="1" customHeight="1" x14ac:dyDescent="0.25">
      <c r="B165" s="1062"/>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hidden="1" customHeight="1" x14ac:dyDescent="0.25">
      <c r="B166" s="1062">
        <v>76</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hidden="1" customHeight="1" x14ac:dyDescent="0.25">
      <c r="B167" s="1062"/>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hidden="1" customHeight="1" x14ac:dyDescent="0.25">
      <c r="B168" s="1062">
        <v>77</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hidden="1" customHeight="1" x14ac:dyDescent="0.25">
      <c r="B169" s="1062"/>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hidden="1" customHeight="1" x14ac:dyDescent="0.25">
      <c r="B170" s="1062">
        <v>78</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hidden="1" customHeight="1" x14ac:dyDescent="0.25">
      <c r="B171" s="1062"/>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hidden="1" customHeight="1" x14ac:dyDescent="0.25">
      <c r="B172" s="1062">
        <v>79</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hidden="1" customHeight="1" x14ac:dyDescent="0.25">
      <c r="B173" s="1062"/>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hidden="1" customHeight="1" x14ac:dyDescent="0.25">
      <c r="B174" s="1062">
        <v>80</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hidden="1" customHeight="1" x14ac:dyDescent="0.25">
      <c r="B175" s="1062"/>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hidden="1" customHeight="1" x14ac:dyDescent="0.25">
      <c r="B176" s="1062">
        <v>81</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hidden="1" customHeight="1" x14ac:dyDescent="0.25">
      <c r="B177" s="1062"/>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hidden="1" customHeight="1" x14ac:dyDescent="0.25">
      <c r="B178" s="1062">
        <v>82</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hidden="1" customHeight="1" x14ac:dyDescent="0.25">
      <c r="B179" s="1062"/>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hidden="1" customHeight="1" x14ac:dyDescent="0.25">
      <c r="B180" s="1062">
        <v>83</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hidden="1" customHeight="1" x14ac:dyDescent="0.25">
      <c r="B181" s="1062"/>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hidden="1" customHeight="1" x14ac:dyDescent="0.25">
      <c r="B182" s="1062">
        <v>84</v>
      </c>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hidden="1" customHeight="1" x14ac:dyDescent="0.25">
      <c r="B183" s="1062"/>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hidden="1" customHeight="1" x14ac:dyDescent="0.25">
      <c r="B184" s="1062">
        <v>85</v>
      </c>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hidden="1" customHeight="1" x14ac:dyDescent="0.25">
      <c r="B185" s="1062"/>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hidden="1" customHeight="1" x14ac:dyDescent="0.25">
      <c r="B186" s="1062">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hidden="1" customHeight="1" x14ac:dyDescent="0.25">
      <c r="B187" s="1062"/>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hidden="1" customHeight="1" x14ac:dyDescent="0.25">
      <c r="B188" s="1062">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hidden="1" customHeight="1" x14ac:dyDescent="0.25">
      <c r="B189" s="1062"/>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hidden="1" customHeight="1" x14ac:dyDescent="0.25">
      <c r="B190" s="1062">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hidden="1" customHeight="1" x14ac:dyDescent="0.25">
      <c r="B191" s="1062"/>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hidden="1" customHeight="1" x14ac:dyDescent="0.25">
      <c r="B192" s="1062">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7" ht="15.95" hidden="1" customHeight="1" x14ac:dyDescent="0.25">
      <c r="B193" s="1062"/>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7" ht="15.95" hidden="1" customHeight="1" x14ac:dyDescent="0.25">
      <c r="B194" s="1062">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7" ht="15.95" hidden="1" customHeight="1" x14ac:dyDescent="0.25">
      <c r="B195" s="1062"/>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7" ht="15.95" hidden="1" customHeight="1" x14ac:dyDescent="0.25">
      <c r="B196" s="1062">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7" ht="15.95" hidden="1" customHeight="1" x14ac:dyDescent="0.25">
      <c r="B197" s="1062"/>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7" ht="15.95" hidden="1" customHeight="1" x14ac:dyDescent="0.25">
      <c r="B198" s="1062">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7" ht="15.95" hidden="1" customHeight="1" x14ac:dyDescent="0.25">
      <c r="B199" s="1062"/>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7" ht="15.95" customHeight="1" x14ac:dyDescent="0.25">
      <c r="B200" s="114" t="str">
        <f>FOOT1</f>
        <v>Ameren Missouri BizSavers program</v>
      </c>
      <c r="C200" s="114"/>
      <c r="D200" s="114"/>
      <c r="E200" s="114"/>
      <c r="F200" s="114"/>
      <c r="G200" s="114"/>
      <c r="H200" s="114"/>
      <c r="I200" s="114"/>
      <c r="J200" s="114"/>
      <c r="K200" s="114"/>
      <c r="L200" s="114"/>
      <c r="M200" s="1097" t="str">
        <f>FOOTDISCLAIM</f>
        <v/>
      </c>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14"/>
      <c r="AI200" s="114"/>
      <c r="AJ200" s="114"/>
      <c r="AK200" s="114"/>
      <c r="AL200" s="114"/>
      <c r="AM200" s="114"/>
      <c r="AN200" s="114"/>
      <c r="AO200" s="114"/>
      <c r="AP200" s="114"/>
      <c r="AQ200" s="114"/>
      <c r="AR200" s="300" t="str">
        <f>FOOT4</f>
        <v/>
      </c>
      <c r="AU200" s="1067">
        <f>SUM(AU16:AU199)</f>
        <v>0</v>
      </c>
    </row>
    <row r="201" spans="2:47" ht="15.95" customHeight="1" x14ac:dyDescent="0.25">
      <c r="B201" s="114" t="str">
        <f>FOOT2</f>
        <v>Toll-Free 866-941-7299</v>
      </c>
      <c r="C201" s="114"/>
      <c r="D201" s="114"/>
      <c r="E201" s="114"/>
      <c r="F201" s="114"/>
      <c r="G201" s="114"/>
      <c r="H201" s="114"/>
      <c r="I201" s="114"/>
      <c r="J201" s="114"/>
      <c r="K201" s="114"/>
      <c r="L201" s="114"/>
      <c r="M201" s="1097"/>
      <c r="N201" s="1097"/>
      <c r="O201" s="1097"/>
      <c r="P201" s="1097"/>
      <c r="Q201" s="1097"/>
      <c r="R201" s="1097"/>
      <c r="S201" s="1097"/>
      <c r="T201" s="1097"/>
      <c r="U201" s="1097"/>
      <c r="V201" s="1097"/>
      <c r="W201" s="1097"/>
      <c r="X201" s="1097"/>
      <c r="Y201" s="1097"/>
      <c r="Z201" s="1097"/>
      <c r="AA201" s="1097"/>
      <c r="AB201" s="1097"/>
      <c r="AC201" s="1097"/>
      <c r="AD201" s="1097"/>
      <c r="AE201" s="1097"/>
      <c r="AF201" s="1097"/>
      <c r="AG201" s="1097"/>
      <c r="AH201" s="114"/>
      <c r="AI201" s="114"/>
      <c r="AJ201" s="114"/>
      <c r="AK201" s="114"/>
      <c r="AL201" s="114"/>
      <c r="AM201" s="114"/>
      <c r="AN201" s="114"/>
      <c r="AO201" s="114"/>
      <c r="AP201" s="114"/>
      <c r="AQ201" s="114"/>
      <c r="AR201" s="300" t="str">
        <f>FOOT5</f>
        <v/>
      </c>
      <c r="AU201" s="1068"/>
    </row>
    <row r="202" spans="2:47" ht="15.95" customHeight="1" x14ac:dyDescent="0.25">
      <c r="B202" s="115" t="str">
        <f>FOOT3</f>
        <v>BizSavers@ameren.com</v>
      </c>
      <c r="C202" s="114"/>
      <c r="D202" s="114"/>
      <c r="E202" s="114"/>
      <c r="F202" s="114"/>
      <c r="G202" s="114"/>
      <c r="H202" s="114"/>
      <c r="I202" s="114"/>
      <c r="J202" s="114"/>
      <c r="K202" s="114"/>
      <c r="L202" s="114"/>
      <c r="M202" s="116"/>
      <c r="N202" s="114"/>
      <c r="O202" s="114"/>
      <c r="P202" s="116"/>
      <c r="Q202" s="116"/>
      <c r="R202" s="116"/>
      <c r="S202" s="116"/>
      <c r="T202" s="116"/>
      <c r="U202" s="116"/>
      <c r="V202" s="116"/>
      <c r="W202" s="117" t="str">
        <f>VERSION</f>
        <v>New Construction v3.8.0</v>
      </c>
      <c r="X202" s="116"/>
      <c r="Y202" s="116"/>
      <c r="Z202" s="116"/>
      <c r="AA202" s="116"/>
      <c r="AB202" s="116"/>
      <c r="AC202" s="116"/>
      <c r="AD202" s="116"/>
      <c r="AE202" s="114"/>
      <c r="AF202" s="114"/>
      <c r="AG202" s="114"/>
      <c r="AH202" s="114"/>
      <c r="AI202" s="114"/>
      <c r="AJ202" s="114"/>
      <c r="AK202" s="114"/>
      <c r="AL202" s="114"/>
      <c r="AM202" s="114"/>
      <c r="AN202" s="114"/>
      <c r="AO202" s="114"/>
      <c r="AP202" s="114"/>
      <c r="AQ202" s="114"/>
      <c r="AR202" s="300" t="str">
        <f>FOOT6</f>
        <v>Product of TRC Companies</v>
      </c>
    </row>
  </sheetData>
  <sheetProtection algorithmName="SHA-512" hashValue="FvyUNLKM0B/S2QJk7EkDaOJVyd/fr4OE+oiFmywhvJfuif/V44WHDiH1hnoFFbduaENj2/zeZqKqN67hQEeRWg==" saltValue="HUsnw8vou7SEaJbRhoMdhg==" spinCount="100000" sheet="1" objects="1" scenarios="1" selectLockedCells="1"/>
  <mergeCells count="299">
    <mergeCell ref="AU44:AU45"/>
    <mergeCell ref="AU200:AU201"/>
    <mergeCell ref="AU34:AU35"/>
    <mergeCell ref="AU36:AU37"/>
    <mergeCell ref="AU38:AU39"/>
    <mergeCell ref="AU40:AU41"/>
    <mergeCell ref="AU42:AU43"/>
    <mergeCell ref="AU24:AU25"/>
    <mergeCell ref="AU26:AU27"/>
    <mergeCell ref="AU28:AU29"/>
    <mergeCell ref="AU30:AU31"/>
    <mergeCell ref="AU32:AU33"/>
    <mergeCell ref="AU14:AU15"/>
    <mergeCell ref="AU16:AU17"/>
    <mergeCell ref="AU18:AU19"/>
    <mergeCell ref="AU20:AU21"/>
    <mergeCell ref="AU22:AU23"/>
    <mergeCell ref="B16:B17"/>
    <mergeCell ref="R11:U11"/>
    <mergeCell ref="V11:Y11"/>
    <mergeCell ref="C14:M15"/>
    <mergeCell ref="N14:S15"/>
    <mergeCell ref="T14:U15"/>
    <mergeCell ref="V14:W15"/>
    <mergeCell ref="X14:AA15"/>
    <mergeCell ref="AB14:AD15"/>
    <mergeCell ref="C16:M17"/>
    <mergeCell ref="N16:S17"/>
    <mergeCell ref="T16:U17"/>
    <mergeCell ref="V16:W17"/>
    <mergeCell ref="X16:AA17"/>
    <mergeCell ref="AB16:AD17"/>
    <mergeCell ref="AE14:AF15"/>
    <mergeCell ref="AG14:AH15"/>
    <mergeCell ref="AI14:AJ15"/>
    <mergeCell ref="AK14:AN15"/>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AO14:AQ15"/>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AE16:AF17"/>
    <mergeCell ref="AG16:AH17"/>
    <mergeCell ref="AI16:AJ17"/>
    <mergeCell ref="AK16:AN17"/>
    <mergeCell ref="AO16:AQ17"/>
    <mergeCell ref="C18:M19"/>
    <mergeCell ref="N18:S19"/>
    <mergeCell ref="T18:U19"/>
    <mergeCell ref="V18:W19"/>
    <mergeCell ref="X18:AA19"/>
    <mergeCell ref="AB18:AD19"/>
    <mergeCell ref="AE18:AF19"/>
    <mergeCell ref="AG18:AH19"/>
    <mergeCell ref="AI18:AJ19"/>
    <mergeCell ref="AK18:AN19"/>
    <mergeCell ref="AO18:AQ19"/>
    <mergeCell ref="AK20:AN21"/>
    <mergeCell ref="AO20:AQ21"/>
    <mergeCell ref="C22:M23"/>
    <mergeCell ref="N22:S23"/>
    <mergeCell ref="T22:U23"/>
    <mergeCell ref="V22:W23"/>
    <mergeCell ref="X22:AA23"/>
    <mergeCell ref="AB22:AD23"/>
    <mergeCell ref="AE22:AF23"/>
    <mergeCell ref="AG22:AH23"/>
    <mergeCell ref="AI22:AJ23"/>
    <mergeCell ref="AK22:AN23"/>
    <mergeCell ref="AO22:AQ23"/>
    <mergeCell ref="C20:M21"/>
    <mergeCell ref="N20:S21"/>
    <mergeCell ref="T20:U21"/>
    <mergeCell ref="V20:W21"/>
    <mergeCell ref="X20:AA21"/>
    <mergeCell ref="AB20:AD21"/>
    <mergeCell ref="AE20:AF21"/>
    <mergeCell ref="AG20:AH21"/>
    <mergeCell ref="AI20:AJ21"/>
    <mergeCell ref="AK24:AN25"/>
    <mergeCell ref="AO24:AQ25"/>
    <mergeCell ref="C26:M27"/>
    <mergeCell ref="N26:S27"/>
    <mergeCell ref="T26:U27"/>
    <mergeCell ref="V26:W27"/>
    <mergeCell ref="X26:AA27"/>
    <mergeCell ref="AB26:AD27"/>
    <mergeCell ref="AE26:AF27"/>
    <mergeCell ref="AG26:AH27"/>
    <mergeCell ref="AI26:AJ27"/>
    <mergeCell ref="AK26:AN27"/>
    <mergeCell ref="AO26:AQ27"/>
    <mergeCell ref="C24:M25"/>
    <mergeCell ref="N24:S25"/>
    <mergeCell ref="T24:U25"/>
    <mergeCell ref="V24:W25"/>
    <mergeCell ref="X24:AA25"/>
    <mergeCell ref="AB24:AD25"/>
    <mergeCell ref="AE24:AF25"/>
    <mergeCell ref="AG24:AH25"/>
    <mergeCell ref="AI24:AJ25"/>
    <mergeCell ref="AK28:AN29"/>
    <mergeCell ref="AO28:AQ29"/>
    <mergeCell ref="C30:M31"/>
    <mergeCell ref="N30:S31"/>
    <mergeCell ref="T30:U31"/>
    <mergeCell ref="V30:W31"/>
    <mergeCell ref="X30:AA31"/>
    <mergeCell ref="AB30:AD31"/>
    <mergeCell ref="AE30:AF31"/>
    <mergeCell ref="AG30:AH31"/>
    <mergeCell ref="AI30:AJ31"/>
    <mergeCell ref="AK30:AN31"/>
    <mergeCell ref="AO30:AQ31"/>
    <mergeCell ref="C28:M29"/>
    <mergeCell ref="N28:S29"/>
    <mergeCell ref="T28:U29"/>
    <mergeCell ref="V28:W29"/>
    <mergeCell ref="X28:AA29"/>
    <mergeCell ref="AB28:AD29"/>
    <mergeCell ref="AE28:AF29"/>
    <mergeCell ref="AG28:AH29"/>
    <mergeCell ref="AI28:AJ29"/>
    <mergeCell ref="AK32:AN33"/>
    <mergeCell ref="AO32:AQ33"/>
    <mergeCell ref="C34:M35"/>
    <mergeCell ref="N34:S35"/>
    <mergeCell ref="T34:U35"/>
    <mergeCell ref="V34:W35"/>
    <mergeCell ref="X34:AA35"/>
    <mergeCell ref="AB34:AD35"/>
    <mergeCell ref="AE34:AF35"/>
    <mergeCell ref="AG34:AH35"/>
    <mergeCell ref="AI34:AJ35"/>
    <mergeCell ref="AK34:AN35"/>
    <mergeCell ref="AO34:AQ35"/>
    <mergeCell ref="C32:M33"/>
    <mergeCell ref="N32:S33"/>
    <mergeCell ref="T32:U33"/>
    <mergeCell ref="V32:W33"/>
    <mergeCell ref="X32:AA33"/>
    <mergeCell ref="AB32:AD33"/>
    <mergeCell ref="AE32:AF33"/>
    <mergeCell ref="AG32:AH33"/>
    <mergeCell ref="AI32:AJ33"/>
    <mergeCell ref="AK36:AN37"/>
    <mergeCell ref="AO36:AQ37"/>
    <mergeCell ref="C38:M39"/>
    <mergeCell ref="N38:S39"/>
    <mergeCell ref="T38:U39"/>
    <mergeCell ref="V38:W39"/>
    <mergeCell ref="X38:AA39"/>
    <mergeCell ref="AB38:AD39"/>
    <mergeCell ref="AE38:AF39"/>
    <mergeCell ref="AG38:AH39"/>
    <mergeCell ref="AI38:AJ39"/>
    <mergeCell ref="AK38:AN39"/>
    <mergeCell ref="AO38:AQ39"/>
    <mergeCell ref="C36:M37"/>
    <mergeCell ref="N36:S37"/>
    <mergeCell ref="T36:U37"/>
    <mergeCell ref="V36:W37"/>
    <mergeCell ref="X36:AA37"/>
    <mergeCell ref="AB36:AD37"/>
    <mergeCell ref="AE36:AF37"/>
    <mergeCell ref="AG36:AH37"/>
    <mergeCell ref="AI36:AJ37"/>
    <mergeCell ref="AK40:AN41"/>
    <mergeCell ref="AO40:AQ41"/>
    <mergeCell ref="C42:M43"/>
    <mergeCell ref="N42:S43"/>
    <mergeCell ref="T42:U43"/>
    <mergeCell ref="V42:W43"/>
    <mergeCell ref="X42:AA43"/>
    <mergeCell ref="AB42:AD43"/>
    <mergeCell ref="AE42:AF43"/>
    <mergeCell ref="AG42:AH43"/>
    <mergeCell ref="AI42:AJ43"/>
    <mergeCell ref="AK42:AN43"/>
    <mergeCell ref="AO42:AQ43"/>
    <mergeCell ref="C40:M41"/>
    <mergeCell ref="N40:S41"/>
    <mergeCell ref="T40:U41"/>
    <mergeCell ref="V40:W41"/>
    <mergeCell ref="X40:AA41"/>
    <mergeCell ref="AB40:AD41"/>
    <mergeCell ref="AE40:AF41"/>
    <mergeCell ref="AG40:AH41"/>
    <mergeCell ref="AI40:AJ41"/>
    <mergeCell ref="AK44:AN45"/>
    <mergeCell ref="AO44:AQ45"/>
    <mergeCell ref="C44:M45"/>
    <mergeCell ref="N44:S45"/>
    <mergeCell ref="T44:U45"/>
    <mergeCell ref="V44:W45"/>
    <mergeCell ref="X44:AA45"/>
    <mergeCell ref="AB44:AD45"/>
    <mergeCell ref="AE44:AF45"/>
    <mergeCell ref="AG44:AH45"/>
    <mergeCell ref="AI44:AJ45"/>
    <mergeCell ref="R12:U12"/>
    <mergeCell ref="V12:Y12"/>
    <mergeCell ref="AH2:AJ2"/>
    <mergeCell ref="AL2:AO2"/>
    <mergeCell ref="AQ2:AR2"/>
    <mergeCell ref="AH3:AJ4"/>
    <mergeCell ref="AL3:AO4"/>
    <mergeCell ref="AQ3:AR4"/>
    <mergeCell ref="Z11:AD11"/>
    <mergeCell ref="Z12:AD12"/>
    <mergeCell ref="R9:AD10"/>
  </mergeCells>
  <conditionalFormatting sqref="AH3 AL3">
    <cfRule type="expression" dxfId="205" priority="4">
      <formula>PROJSTATUS="Pre-approval Required"</formula>
    </cfRule>
    <cfRule type="expression" dxfId="204" priority="5">
      <formula>PROJSTATUS="Prescriptive Only No Preapproval Required"</formula>
    </cfRule>
    <cfRule type="expression" dxfId="203" priority="6">
      <formula>PROJSTATUS="APP EXPIRED"</formula>
    </cfRule>
  </conditionalFormatting>
  <conditionalFormatting sqref="AQ3:AR4">
    <cfRule type="cellIs" dxfId="202" priority="1" operator="equal">
      <formula>1</formula>
    </cfRule>
    <cfRule type="cellIs" dxfId="201" priority="2" operator="between">
      <formula>0.51</formula>
      <formula>0.99</formula>
    </cfRule>
    <cfRule type="cellIs" dxfId="200" priority="3" operator="lessThanOrEqual">
      <formula>0.5</formula>
    </cfRule>
  </conditionalFormatting>
  <dataValidations count="3">
    <dataValidation type="list" allowBlank="1" showInputMessage="1" showErrorMessage="1" sqref="C16:M45" xr:uid="{00000000-0002-0000-1C00-000000000000}">
      <formula1>PMGWATEREFF1</formula1>
    </dataValidation>
    <dataValidation type="decimal" allowBlank="1" showInputMessage="1" showErrorMessage="1" error="Please enter a numerical value" sqref="AE16:AH45" xr:uid="{00000000-0002-0000-1C00-000001000000}">
      <formula1>0</formula1>
      <formula2>999999</formula2>
    </dataValidation>
    <dataValidation type="decimal" allowBlank="1" showInputMessage="1" showErrorMessage="1" error="Please enter a numerical value" prompt="Reference the &quot;Unit of Measure&quot; column to ensure you enter the correct value based on unit type." sqref="V16:W45" xr:uid="{00000000-0002-0000-1C00-000002000000}">
      <formula1>0</formula1>
      <formula2>99999</formula2>
    </dataValidation>
  </dataValidations>
  <hyperlinks>
    <hyperlink ref="B202" r:id="rId1" display="NIPSCO.Savings@LMCO.com" xr:uid="{00000000-0004-0000-1C00-000000000000}"/>
  </hyperlinks>
  <pageMargins left="0.25" right="0.25" top="0.25" bottom="0.25" header="0.25" footer="0.25"/>
  <pageSetup scale="59" fitToHeight="0" orientation="landscape"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
    <pageSetUpPr fitToPage="1"/>
  </sheetPr>
  <dimension ref="A1:BI203"/>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145" customWidth="1"/>
    <col min="46" max="46" width="4.7109375" style="145" hidden="1" customWidth="1"/>
    <col min="47" max="57" width="9.140625" style="145" hidden="1" customWidth="1"/>
    <col min="58" max="61" width="9.140625" style="135" hidden="1" customWidth="1"/>
    <col min="62" max="78" width="9.140625" hidden="1" customWidth="1"/>
    <col min="79" max="16384" width="9.140625" hidden="1"/>
  </cols>
  <sheetData>
    <row r="1" spans="2:61" ht="15.95" customHeight="1" x14ac:dyDescent="0.3">
      <c r="AH1" s="711" t="s">
        <v>494</v>
      </c>
      <c r="AI1" s="712"/>
      <c r="AJ1" s="712"/>
      <c r="AK1" s="712"/>
      <c r="AL1" s="723" t="s">
        <v>911</v>
      </c>
      <c r="AM1" s="723"/>
      <c r="AN1" s="723"/>
      <c r="AO1" s="723"/>
      <c r="AP1" s="723"/>
      <c r="AQ1" s="717" t="s">
        <v>499</v>
      </c>
      <c r="AR1" s="718"/>
    </row>
    <row r="2" spans="2:61" ht="15.95" customHeight="1" x14ac:dyDescent="0.25">
      <c r="AH2" s="713" t="str">
        <f ca="1">INCENSTATUS</f>
        <v>---</v>
      </c>
      <c r="AI2" s="714"/>
      <c r="AJ2" s="714"/>
      <c r="AK2" s="714"/>
      <c r="AL2" s="724" t="str">
        <f ca="1">PROJSTATUS</f>
        <v>Please Complete Initial Application</v>
      </c>
      <c r="AM2" s="724"/>
      <c r="AN2" s="724"/>
      <c r="AO2" s="724"/>
      <c r="AP2" s="724"/>
      <c r="AQ2" s="719">
        <f ca="1">PROGRESSSTATUS</f>
        <v>0</v>
      </c>
      <c r="AR2" s="720"/>
    </row>
    <row r="3" spans="2:61" ht="15.95" customHeight="1" x14ac:dyDescent="0.25">
      <c r="AH3" s="715"/>
      <c r="AI3" s="716"/>
      <c r="AJ3" s="716"/>
      <c r="AK3" s="716"/>
      <c r="AL3" s="725"/>
      <c r="AM3" s="725"/>
      <c r="AN3" s="725"/>
      <c r="AO3" s="725"/>
      <c r="AP3" s="725"/>
      <c r="AQ3" s="721"/>
      <c r="AR3" s="722"/>
    </row>
    <row r="4" spans="2:61" ht="15.95" customHeight="1" x14ac:dyDescent="0.25">
      <c r="AG4" s="63"/>
    </row>
    <row r="5" spans="2:61" ht="15.95" customHeight="1" x14ac:dyDescent="0.25"/>
    <row r="6" spans="2:61" ht="15.95" customHeight="1" x14ac:dyDescent="0.25">
      <c r="AU6" s="145" t="s">
        <v>1372</v>
      </c>
      <c r="AV6" s="145">
        <f>PROJID</f>
        <v>0</v>
      </c>
    </row>
    <row r="7" spans="2:61" ht="15.95" customHeight="1" x14ac:dyDescent="0.25">
      <c r="AU7" s="219"/>
      <c r="AV7" s="219" t="s">
        <v>1184</v>
      </c>
      <c r="AW7" s="219" t="s">
        <v>249</v>
      </c>
      <c r="AX7" s="219" t="s">
        <v>1336</v>
      </c>
      <c r="AY7" s="219"/>
    </row>
    <row r="8" spans="2:61" ht="15.95" customHeight="1" x14ac:dyDescent="0.25">
      <c r="AU8" s="219" t="s">
        <v>237</v>
      </c>
      <c r="AV8" s="219" t="str">
        <f>CBPRESE</f>
        <v>NA</v>
      </c>
      <c r="AW8" s="219" t="str">
        <f>CBCUSE</f>
        <v>NA</v>
      </c>
      <c r="AX8" s="219" t="str">
        <f>CBALL</f>
        <v>NA</v>
      </c>
      <c r="AY8" s="219"/>
    </row>
    <row r="9" spans="2:61" s="63" customFormat="1" ht="15.95" customHeight="1" x14ac:dyDescent="0.25">
      <c r="B9" s="135"/>
      <c r="C9" s="135"/>
      <c r="D9" s="135"/>
      <c r="E9" s="135"/>
      <c r="F9" s="135"/>
      <c r="G9" s="135"/>
      <c r="H9" s="135"/>
      <c r="I9" s="135"/>
      <c r="J9" s="135"/>
      <c r="K9" s="135"/>
      <c r="L9" s="135"/>
      <c r="M9" s="135"/>
      <c r="N9" s="135"/>
      <c r="O9" s="135"/>
      <c r="P9" s="135"/>
      <c r="Q9" s="135"/>
      <c r="R9" s="971" t="str">
        <f>CONCATENATE(M4S1," ","Summary")</f>
        <v>HVAC Summary</v>
      </c>
      <c r="S9" s="971"/>
      <c r="T9" s="971"/>
      <c r="U9" s="971"/>
      <c r="V9" s="971"/>
      <c r="W9" s="971"/>
      <c r="X9" s="971"/>
      <c r="Y9" s="971"/>
      <c r="Z9" s="971"/>
      <c r="AA9" s="971"/>
      <c r="AB9" s="971"/>
      <c r="AC9" s="971"/>
      <c r="AD9" s="135"/>
      <c r="AE9" s="135"/>
      <c r="AF9" s="135"/>
      <c r="AG9" s="135"/>
      <c r="AH9" s="135"/>
      <c r="AI9" s="135"/>
      <c r="AJ9" s="135"/>
      <c r="AK9" s="135"/>
      <c r="AL9" s="135"/>
      <c r="AM9" s="135"/>
      <c r="AN9" s="135"/>
      <c r="AO9" s="135"/>
      <c r="AP9" s="135"/>
      <c r="AQ9" s="135"/>
      <c r="AR9" s="135"/>
      <c r="AS9" s="145"/>
      <c r="AT9" s="145"/>
      <c r="AU9" s="219"/>
      <c r="AV9" s="219"/>
      <c r="AW9" s="219"/>
      <c r="AX9" s="219"/>
      <c r="AY9" s="219"/>
      <c r="AZ9" s="145"/>
      <c r="BA9" s="145"/>
      <c r="BB9" s="145"/>
      <c r="BC9" s="145"/>
      <c r="BD9" s="145"/>
      <c r="BE9" s="145"/>
      <c r="BF9" s="135"/>
      <c r="BG9" s="135"/>
      <c r="BH9" s="135"/>
      <c r="BI9" s="135"/>
    </row>
    <row r="10" spans="2:61" ht="15.95" customHeight="1" x14ac:dyDescent="0.25">
      <c r="B10" s="135"/>
      <c r="C10" s="135"/>
      <c r="D10" s="135"/>
      <c r="E10" s="135"/>
      <c r="F10" s="135"/>
      <c r="G10" s="135"/>
      <c r="H10" s="135"/>
      <c r="I10" s="135"/>
      <c r="J10" s="135"/>
      <c r="K10" s="135"/>
      <c r="L10" s="135"/>
      <c r="M10" s="135"/>
      <c r="N10" s="135"/>
      <c r="O10" s="135"/>
      <c r="P10" s="135"/>
      <c r="Q10" s="135"/>
      <c r="R10" s="971"/>
      <c r="S10" s="971"/>
      <c r="T10" s="971"/>
      <c r="U10" s="971"/>
      <c r="V10" s="971"/>
      <c r="W10" s="971"/>
      <c r="X10" s="971"/>
      <c r="Y10" s="971"/>
      <c r="Z10" s="971"/>
      <c r="AA10" s="971"/>
      <c r="AB10" s="971"/>
      <c r="AC10" s="971"/>
      <c r="AD10" s="135"/>
      <c r="AE10" s="135"/>
      <c r="AF10" s="135"/>
      <c r="AG10" s="135"/>
      <c r="AH10" s="135"/>
      <c r="AI10" s="135"/>
      <c r="AJ10" s="135"/>
      <c r="AK10" s="135"/>
      <c r="AL10" s="135"/>
      <c r="AM10" s="135"/>
      <c r="AN10" s="135"/>
      <c r="AO10" s="135"/>
      <c r="AP10" s="135"/>
      <c r="AQ10" s="135"/>
      <c r="AR10" s="135"/>
      <c r="AU10" s="219" t="s">
        <v>642</v>
      </c>
      <c r="AV10" s="219" t="str">
        <f>PAYPRESE</f>
        <v>NA</v>
      </c>
      <c r="AW10" s="219" t="str">
        <f>PAYCUSE</f>
        <v>NA</v>
      </c>
      <c r="AX10" s="219" t="str">
        <f>PAYALL</f>
        <v>NA</v>
      </c>
      <c r="AY10" s="219"/>
    </row>
    <row r="11" spans="2:61" ht="15.95" customHeight="1" x14ac:dyDescent="0.3">
      <c r="B11" s="135"/>
      <c r="C11" s="135"/>
      <c r="D11" s="135"/>
      <c r="E11" s="135"/>
      <c r="F11" s="135"/>
      <c r="G11" s="135"/>
      <c r="H11" s="135"/>
      <c r="I11" s="135"/>
      <c r="J11" s="135"/>
      <c r="K11" s="135"/>
      <c r="L11" s="135"/>
      <c r="M11" s="135"/>
      <c r="N11" s="135"/>
      <c r="O11" s="135"/>
      <c r="P11" s="135"/>
      <c r="Q11" s="135"/>
      <c r="R11" s="974" t="s">
        <v>69</v>
      </c>
      <c r="S11" s="974"/>
      <c r="T11" s="974"/>
      <c r="U11" s="974"/>
      <c r="V11" s="974" t="s">
        <v>70</v>
      </c>
      <c r="W11" s="974"/>
      <c r="X11" s="974"/>
      <c r="Y11" s="974"/>
      <c r="Z11" s="974" t="s">
        <v>71</v>
      </c>
      <c r="AA11" s="974"/>
      <c r="AB11" s="974"/>
      <c r="AC11" s="974"/>
      <c r="AD11" s="135"/>
      <c r="AE11" s="135"/>
      <c r="AF11" s="135"/>
      <c r="AG11" s="135"/>
      <c r="AH11" s="135"/>
      <c r="AI11" s="135"/>
      <c r="AJ11" s="135"/>
      <c r="AK11" s="135"/>
      <c r="AL11" s="135"/>
      <c r="AM11" s="135"/>
      <c r="AN11" s="135"/>
      <c r="AO11" s="135"/>
      <c r="AP11" s="135"/>
      <c r="AQ11" s="135"/>
      <c r="AR11" s="135"/>
      <c r="AU11" s="220" t="s">
        <v>1324</v>
      </c>
    </row>
    <row r="12" spans="2:61" ht="15.95" customHeight="1" x14ac:dyDescent="0.25">
      <c r="B12" s="135"/>
      <c r="C12" s="135"/>
      <c r="D12" s="135"/>
      <c r="E12" s="135"/>
      <c r="F12" s="135"/>
      <c r="G12" s="135"/>
      <c r="H12" s="135"/>
      <c r="I12" s="135"/>
      <c r="J12" s="135"/>
      <c r="K12" s="135"/>
      <c r="L12" s="135"/>
      <c r="M12" s="135"/>
      <c r="N12" s="135"/>
      <c r="O12" s="135"/>
      <c r="P12" s="135"/>
      <c r="Q12" s="135"/>
      <c r="R12" s="1113">
        <f>SUM(AK16:AN199)</f>
        <v>0</v>
      </c>
      <c r="S12" s="1113"/>
      <c r="T12" s="1113"/>
      <c r="U12" s="1113"/>
      <c r="V12" s="1113">
        <f>SUM(AH16:AJ199)</f>
        <v>0</v>
      </c>
      <c r="W12" s="1113"/>
      <c r="X12" s="1113"/>
      <c r="Y12" s="1113"/>
      <c r="Z12" s="1114">
        <f>SUM(AO16:AQ199)</f>
        <v>0</v>
      </c>
      <c r="AA12" s="1114"/>
      <c r="AB12" s="1114"/>
      <c r="AC12" s="1114"/>
      <c r="AD12" s="135"/>
      <c r="AE12" s="135"/>
      <c r="AF12" s="135"/>
      <c r="AG12" s="135"/>
      <c r="AH12" s="135"/>
      <c r="AI12" s="135"/>
      <c r="AJ12" s="135"/>
      <c r="AK12" s="135"/>
      <c r="AL12" s="135"/>
      <c r="AM12" s="135"/>
      <c r="AN12" s="135"/>
      <c r="AO12" s="135"/>
      <c r="AP12" s="135"/>
      <c r="AQ12" s="135"/>
      <c r="AR12" s="135"/>
      <c r="AU12" s="221"/>
    </row>
    <row r="13" spans="2:61" s="63" customFormat="1" ht="15.95" customHeight="1" x14ac:dyDescent="0.25">
      <c r="B13" s="135"/>
      <c r="C13" s="135"/>
      <c r="D13" s="135"/>
      <c r="E13" s="135"/>
      <c r="F13" s="135"/>
      <c r="G13" s="135"/>
      <c r="H13" s="135"/>
      <c r="I13" s="135"/>
      <c r="J13" s="135"/>
      <c r="K13" s="135"/>
      <c r="L13" s="135"/>
      <c r="M13" s="135"/>
      <c r="N13" s="135"/>
      <c r="O13" s="135"/>
      <c r="P13" s="135"/>
      <c r="Q13" s="135"/>
      <c r="R13" s="1113"/>
      <c r="S13" s="1113"/>
      <c r="T13" s="1113"/>
      <c r="U13" s="1113"/>
      <c r="V13" s="1113"/>
      <c r="W13" s="1113"/>
      <c r="X13" s="1113"/>
      <c r="Y13" s="1113"/>
      <c r="Z13" s="1114"/>
      <c r="AA13" s="1114"/>
      <c r="AB13" s="1114"/>
      <c r="AC13" s="1114"/>
      <c r="AD13" s="135"/>
      <c r="AE13" s="135"/>
      <c r="AF13" s="135"/>
      <c r="AG13" s="135"/>
      <c r="AH13" s="135"/>
      <c r="AI13" s="135"/>
      <c r="AJ13" s="135"/>
      <c r="AK13" s="135"/>
      <c r="AL13" s="135"/>
      <c r="AM13" s="135"/>
      <c r="AN13" s="135"/>
      <c r="AO13" s="135"/>
      <c r="AP13" s="135"/>
      <c r="AQ13" s="135"/>
      <c r="AR13" s="135"/>
      <c r="AS13" s="145"/>
      <c r="AT13" s="145"/>
      <c r="AU13" s="221"/>
      <c r="AV13" s="145"/>
      <c r="AW13" s="145"/>
      <c r="AX13" s="145"/>
      <c r="AY13" s="145"/>
      <c r="AZ13" s="145"/>
      <c r="BA13" s="145"/>
      <c r="BB13" s="145"/>
      <c r="BC13" s="145"/>
      <c r="BD13" s="145"/>
      <c r="BE13" s="145"/>
      <c r="BF13" s="135"/>
      <c r="BG13" s="135"/>
      <c r="BH13" s="135"/>
      <c r="BI13" s="135"/>
    </row>
    <row r="14" spans="2:61" ht="15.95" customHeight="1" x14ac:dyDescent="0.25">
      <c r="B14" s="135"/>
      <c r="C14" s="1060" t="s">
        <v>1005</v>
      </c>
      <c r="D14" s="1060"/>
      <c r="E14" s="1060"/>
      <c r="F14" s="1060" t="s">
        <v>912</v>
      </c>
      <c r="G14" s="1060"/>
      <c r="H14" s="1060"/>
      <c r="I14" s="1060"/>
      <c r="J14" s="1060"/>
      <c r="K14" s="1060" t="s">
        <v>1931</v>
      </c>
      <c r="L14" s="1060"/>
      <c r="M14" s="1060" t="s">
        <v>909</v>
      </c>
      <c r="N14" s="1060"/>
      <c r="O14" s="1060"/>
      <c r="P14" s="1060"/>
      <c r="Q14" s="1060" t="s">
        <v>91</v>
      </c>
      <c r="R14" s="1060"/>
      <c r="S14" s="1115" t="s">
        <v>107</v>
      </c>
      <c r="T14" s="1115"/>
      <c r="U14" s="1060" t="s">
        <v>252</v>
      </c>
      <c r="V14" s="1060"/>
      <c r="W14" s="1060"/>
      <c r="X14" s="1060"/>
      <c r="Y14" s="1060"/>
      <c r="Z14" s="1060" t="s">
        <v>91</v>
      </c>
      <c r="AA14" s="1060"/>
      <c r="AB14" s="1115" t="s">
        <v>107</v>
      </c>
      <c r="AC14" s="1115"/>
      <c r="AD14" s="1060" t="s">
        <v>103</v>
      </c>
      <c r="AE14" s="1060"/>
      <c r="AF14" s="1060"/>
      <c r="AG14" s="1060"/>
      <c r="AH14" s="1060" t="s">
        <v>103</v>
      </c>
      <c r="AI14" s="1060"/>
      <c r="AJ14" s="1060"/>
      <c r="AK14" s="1060" t="s">
        <v>102</v>
      </c>
      <c r="AL14" s="1060"/>
      <c r="AM14" s="1060"/>
      <c r="AN14" s="1060"/>
      <c r="AO14" s="1060" t="s">
        <v>109</v>
      </c>
      <c r="AP14" s="1060"/>
      <c r="AQ14" s="1060"/>
      <c r="AR14" s="135"/>
      <c r="AU14" s="1012" t="s">
        <v>237</v>
      </c>
      <c r="AV14" s="1012" t="s">
        <v>643</v>
      </c>
      <c r="AW14" s="1012" t="s">
        <v>637</v>
      </c>
      <c r="AX14" s="1012" t="s">
        <v>152</v>
      </c>
      <c r="AY14" s="1012" t="s">
        <v>141</v>
      </c>
      <c r="AZ14" s="1012" t="s">
        <v>249</v>
      </c>
      <c r="BA14" s="1012" t="s">
        <v>910</v>
      </c>
      <c r="BB14" s="1012" t="s">
        <v>642</v>
      </c>
      <c r="BC14" s="1012" t="s">
        <v>521</v>
      </c>
    </row>
    <row r="15" spans="2:61" ht="15.95" customHeight="1" thickBot="1" x14ac:dyDescent="0.3">
      <c r="B15" s="135"/>
      <c r="C15" s="1061"/>
      <c r="D15" s="1061"/>
      <c r="E15" s="1061"/>
      <c r="F15" s="1061"/>
      <c r="G15" s="1061"/>
      <c r="H15" s="1061"/>
      <c r="I15" s="1061"/>
      <c r="J15" s="1061"/>
      <c r="K15" s="1061"/>
      <c r="L15" s="1061"/>
      <c r="M15" s="1061"/>
      <c r="N15" s="1061"/>
      <c r="O15" s="1061"/>
      <c r="P15" s="1061"/>
      <c r="Q15" s="1061"/>
      <c r="R15" s="1061"/>
      <c r="S15" s="1116"/>
      <c r="T15" s="1116"/>
      <c r="U15" s="1061"/>
      <c r="V15" s="1061"/>
      <c r="W15" s="1061"/>
      <c r="X15" s="1061"/>
      <c r="Y15" s="1061"/>
      <c r="Z15" s="1061"/>
      <c r="AA15" s="1061"/>
      <c r="AB15" s="1116"/>
      <c r="AC15" s="1116"/>
      <c r="AD15" s="1061" t="s">
        <v>104</v>
      </c>
      <c r="AE15" s="1061"/>
      <c r="AF15" s="1061" t="s">
        <v>105</v>
      </c>
      <c r="AG15" s="1061"/>
      <c r="AH15" s="1061"/>
      <c r="AI15" s="1061"/>
      <c r="AJ15" s="1061"/>
      <c r="AK15" s="1061"/>
      <c r="AL15" s="1061"/>
      <c r="AM15" s="1061"/>
      <c r="AN15" s="1061"/>
      <c r="AO15" s="1061"/>
      <c r="AP15" s="1061"/>
      <c r="AQ15" s="1061"/>
      <c r="AR15" s="135"/>
      <c r="AU15" s="1013"/>
      <c r="AV15" s="1013"/>
      <c r="AW15" s="1013"/>
      <c r="AX15" s="1013"/>
      <c r="AY15" s="1013"/>
      <c r="AZ15" s="1013"/>
      <c r="BA15" s="1013"/>
      <c r="BB15" s="1013"/>
      <c r="BC15" s="1013"/>
    </row>
    <row r="16" spans="2:61" ht="15.95" customHeight="1" x14ac:dyDescent="0.25">
      <c r="B16" s="1064">
        <v>1</v>
      </c>
      <c r="C16" s="1103"/>
      <c r="D16" s="1103"/>
      <c r="E16" s="1103"/>
      <c r="F16" s="1099"/>
      <c r="G16" s="1101"/>
      <c r="H16" s="1101"/>
      <c r="I16" s="1101"/>
      <c r="J16" s="1100"/>
      <c r="K16" s="1099"/>
      <c r="L16" s="1100"/>
      <c r="M16" s="1102"/>
      <c r="N16" s="1101"/>
      <c r="O16" s="1101"/>
      <c r="P16" s="1100"/>
      <c r="Q16" s="1105"/>
      <c r="R16" s="1105"/>
      <c r="S16" s="1107"/>
      <c r="T16" s="1108"/>
      <c r="U16" s="1117"/>
      <c r="V16" s="1111"/>
      <c r="W16" s="1111"/>
      <c r="X16" s="1111"/>
      <c r="Y16" s="1111"/>
      <c r="Z16" s="1105"/>
      <c r="AA16" s="1105"/>
      <c r="AB16" s="1107"/>
      <c r="AC16" s="1120"/>
      <c r="AD16" s="1049"/>
      <c r="AE16" s="1135"/>
      <c r="AF16" s="1135"/>
      <c r="AG16" s="1136"/>
      <c r="AH16" s="1027" t="str">
        <f>IF(OR(C16="",F16="",K16="",Q16="",S16="",U16="",Z16="",AB16="",AD16="",AF16=""),"",ROUND(AD16+AF16,2))</f>
        <v/>
      </c>
      <c r="AI16" s="1128"/>
      <c r="AJ16" s="1128"/>
      <c r="AK16" s="1131" t="str">
        <f>IF(OR(C16="",F16="",K16="",Q16="",S16="",U16="",Z16="",AB16="",AD16="",AF16=""),"",IF(BC16&lt;&gt;"",BC16,IF(C16="New/Replace Failed Equip.",BA16,AZ16)))</f>
        <v/>
      </c>
      <c r="AL16" s="1131"/>
      <c r="AM16" s="1131"/>
      <c r="AN16" s="1131"/>
      <c r="AO16" s="1133" t="str">
        <f>IF(OR(C16="",F16="",K16="",Q16="",S16="",U16="",Z16="",AB16="",AD16="",AF16=""),"",IF((Q16*S16)-(Z16*AB16)&lt;=0,0,ROUND((Q16*S16)-(Z16*AB16),0)))</f>
        <v/>
      </c>
      <c r="AP16" s="1133"/>
      <c r="AQ16" s="1133"/>
      <c r="AR16" s="135"/>
      <c r="AU16" s="1124" t="str">
        <f>IFERROR(IF(OR(C16="",F16="",K16="",Q16="",S16="",U16="",Z16="",AB16="",AD16="",AF16=""),"",((1+ELOSS)*PEAKTD*(1+INDEX(ELECCB[Capacity Reserve Margin],MATCH(AX16,ELECCB[Year Number],0)))*((AO16*INDEX(ELECCB[NPV AEC $/kWh],MATCH(AX16,ELECCB[Year Number],1)))+(AV16*INDEX(ELECCB[NPV ACC+T&amp;D $/kW],MATCH(AX16,ELECCB[Year Number],1))))/AH16)),0)</f>
        <v/>
      </c>
      <c r="AV16" s="985" t="str">
        <f>IF(OR(C16="",F16="",K16="",Q16="",S16="",U16="",Z16="",AB16="",AD16="",AF16=""),"",ROUND(AO16*INDEX(ENDUSEALL[Factor],MATCH(AW16,ENDUSEALL[End Use to Coincident Peak Demand Factors],0)),4))</f>
        <v/>
      </c>
      <c r="AW16" s="987" t="str">
        <f>IF(OR(C16="",F16="",K16="",M16="",Q16="",S16="",U16="",Z16="",AB16="",AD16="",AF16=""),"",K16)</f>
        <v/>
      </c>
      <c r="AX16" s="1126" t="str">
        <f>IF(OR(C16="",F16="",K16="",Q16="",S16="",U16="",Z16="",AB16="",AD16="",AF16=""),"",INDEX(CMEHVAC[EUL],MATCH(F16,CMEHVAC[Proj Desc 1],0)))</f>
        <v/>
      </c>
      <c r="AY16" s="1122" t="str">
        <f>IF(OR(C16="",F16="",K16="",Q16="",S16="",U16="",Z16="",AB16="",AD16="",AF16=""),"",INDEX(CMEHVAC[Measure Number],MATCH(F16,CMEHVAC[Proj Desc 1],0)))</f>
        <v/>
      </c>
      <c r="AZ16" s="1118" t="str">
        <f>IFERROR(ROUND(MIN(AH16*0.5,AO16*INDEX(ENDUSEALL[Inc Rate],MATCH(AW16,ENDUSEALL[End Use to Coincident Peak Demand Factors],0))),2),"")</f>
        <v/>
      </c>
      <c r="BA16" s="1118" t="str">
        <f>IFERROR(ROUND(MIN(AH16,AO16*INDEX(ENDUSEALL[Inc Rate],MATCH(AW16,ENDUSEALL[End Use to Coincident Peak Demand Factors],0))),2),"")</f>
        <v/>
      </c>
      <c r="BB16" s="1118" t="str">
        <f>IFERROR(AH16/M02S02F35/AO16,"")</f>
        <v/>
      </c>
      <c r="BC16" s="1118" t="str">
        <f>IFERROR(IF((Q16*S16)-(Z16*AB16)&lt;=0,MEASURESAV,IF(M02S02F35="",MEASURERATE, IF(AH16/M02S02F35/AO16&lt;1,MEASUREPAY,IF(AU16&lt;1,MEASURECB,"")))),MEASURESUBMIT)</f>
        <v>Submit for Review</v>
      </c>
    </row>
    <row r="17" spans="2:55" ht="15.95" customHeight="1" x14ac:dyDescent="0.25">
      <c r="B17" s="1064"/>
      <c r="C17" s="1104"/>
      <c r="D17" s="1104"/>
      <c r="E17" s="1104"/>
      <c r="F17" s="1031"/>
      <c r="G17" s="1032"/>
      <c r="H17" s="1032"/>
      <c r="I17" s="1032"/>
      <c r="J17" s="1033"/>
      <c r="K17" s="1031"/>
      <c r="L17" s="1033"/>
      <c r="M17" s="1031"/>
      <c r="N17" s="1032"/>
      <c r="O17" s="1032"/>
      <c r="P17" s="1033"/>
      <c r="Q17" s="1106"/>
      <c r="R17" s="1106"/>
      <c r="S17" s="1109"/>
      <c r="T17" s="1110"/>
      <c r="U17" s="1033"/>
      <c r="V17" s="1112"/>
      <c r="W17" s="1112"/>
      <c r="X17" s="1112"/>
      <c r="Y17" s="1112"/>
      <c r="Z17" s="1106"/>
      <c r="AA17" s="1106"/>
      <c r="AB17" s="1109"/>
      <c r="AC17" s="1121"/>
      <c r="AD17" s="1051"/>
      <c r="AE17" s="1137"/>
      <c r="AF17" s="1137"/>
      <c r="AG17" s="1138"/>
      <c r="AH17" s="1129"/>
      <c r="AI17" s="1130"/>
      <c r="AJ17" s="1130"/>
      <c r="AK17" s="1132"/>
      <c r="AL17" s="1132"/>
      <c r="AM17" s="1132"/>
      <c r="AN17" s="1132"/>
      <c r="AO17" s="1134"/>
      <c r="AP17" s="1134"/>
      <c r="AQ17" s="1134"/>
      <c r="AR17" s="135"/>
      <c r="AU17" s="1125"/>
      <c r="AV17" s="986"/>
      <c r="AW17" s="988"/>
      <c r="AX17" s="1127"/>
      <c r="AY17" s="1123"/>
      <c r="AZ17" s="1119"/>
      <c r="BA17" s="1119"/>
      <c r="BB17" s="1119"/>
      <c r="BC17" s="1119"/>
    </row>
    <row r="18" spans="2:55" ht="15.95" customHeight="1" x14ac:dyDescent="0.25">
      <c r="B18" s="1063">
        <v>2</v>
      </c>
      <c r="C18" s="1103"/>
      <c r="D18" s="1103"/>
      <c r="E18" s="1103"/>
      <c r="F18" s="1099"/>
      <c r="G18" s="1101"/>
      <c r="H18" s="1101"/>
      <c r="I18" s="1101"/>
      <c r="J18" s="1100"/>
      <c r="K18" s="1099"/>
      <c r="L18" s="1100"/>
      <c r="M18" s="1099"/>
      <c r="N18" s="1101"/>
      <c r="O18" s="1101"/>
      <c r="P18" s="1100"/>
      <c r="Q18" s="1105"/>
      <c r="R18" s="1105"/>
      <c r="S18" s="1107"/>
      <c r="T18" s="1108"/>
      <c r="U18" s="1030"/>
      <c r="V18" s="1111"/>
      <c r="W18" s="1111"/>
      <c r="X18" s="1111"/>
      <c r="Y18" s="1111"/>
      <c r="Z18" s="1105"/>
      <c r="AA18" s="1105"/>
      <c r="AB18" s="1107"/>
      <c r="AC18" s="1120"/>
      <c r="AD18" s="1049"/>
      <c r="AE18" s="1135"/>
      <c r="AF18" s="1135"/>
      <c r="AG18" s="1136"/>
      <c r="AH18" s="1027" t="str">
        <f t="shared" ref="AH18" si="0">IF(OR(C18="",F18="",K18="",Q18="",S18="",U18="",Z18="",AB18="",AD18="",AF18=""),"",ROUND(AD18+AF18,2))</f>
        <v/>
      </c>
      <c r="AI18" s="1128"/>
      <c r="AJ18" s="1128"/>
      <c r="AK18" s="1131" t="str">
        <f t="shared" ref="AK18" si="1">IF(OR(C18="",F18="",K18="",Q18="",S18="",U18="",Z18="",AB18="",AD18="",AF18=""),"",IF(BC18&lt;&gt;"",BC18,IF(C18="New/Replace Failed Equip.",BA18,AZ18)))</f>
        <v/>
      </c>
      <c r="AL18" s="1131"/>
      <c r="AM18" s="1131"/>
      <c r="AN18" s="1131"/>
      <c r="AO18" s="1133" t="str">
        <f t="shared" ref="AO18" si="2">IF(OR(C18="",F18="",K18="",Q18="",S18="",U18="",Z18="",AB18="",AD18="",AF18=""),"",IF((Q18*S18)-(Z18*AB18)&lt;=0,0,ROUND((Q18*S18)-(Z18*AB18),0)))</f>
        <v/>
      </c>
      <c r="AP18" s="1133"/>
      <c r="AQ18" s="1133"/>
      <c r="AR18" s="135"/>
      <c r="AU18" s="1124" t="str">
        <f>IFERROR(IF(OR(C18="",F18="",K18="",Q18="",S18="",U18="",Z18="",AB18="",AD18="",AF18=""),"",((1+ELOSS)*PEAKTD*(1+INDEX(ELECCB[Capacity Reserve Margin],MATCH(AX18,ELECCB[Year Number],0)))*((AO18*INDEX(ELECCB[NPV AEC $/kWh],MATCH(AX18,ELECCB[Year Number],1)))+(AV18*INDEX(ELECCB[NPV ACC+T&amp;D $/kW],MATCH(AX18,ELECCB[Year Number],1))))/AH18)),0)</f>
        <v/>
      </c>
      <c r="AV18" s="985" t="str">
        <f>IF(OR(C18="",F18="",K18="",Q18="",S18="",U18="",Z18="",AB18="",AD18="",AF18=""),"",ROUND(AO18*INDEX(ENDUSEALL[Factor],MATCH(AW18,ENDUSEALL[End Use to Coincident Peak Demand Factors],0)),4))</f>
        <v/>
      </c>
      <c r="AW18" s="987" t="str">
        <f t="shared" ref="AW18" si="3">IF(OR(C18="",F18="",K18="",M18="",Q18="",S18="",U18="",Z18="",AB18="",AD18="",AF18=""),"",K18)</f>
        <v/>
      </c>
      <c r="AX18" s="1126" t="str">
        <f>IF(OR(C18="",F18="",K18="",Q18="",S18="",U18="",Z18="",AB18="",AD18="",AF18=""),"",INDEX(CMEHVAC[EUL],MATCH(F18,CMEHVAC[Proj Desc 1],0)))</f>
        <v/>
      </c>
      <c r="AY18" s="1122" t="str">
        <f>IF(OR(C18="",F18="",K18="",Q18="",S18="",U18="",Z18="",AB18="",AD18="",AF18=""),"",INDEX(CMEHVAC[Measure Number],MATCH(F18,CMEHVAC[Proj Desc 1],0)))</f>
        <v/>
      </c>
      <c r="AZ18" s="1118" t="str">
        <f>IFERROR(ROUND(MIN(AH18*0.5,AO18*INDEX(ENDUSEALL[Inc Rate],MATCH(AW18,ENDUSEALL[End Use to Coincident Peak Demand Factors],0))),2),"")</f>
        <v/>
      </c>
      <c r="BA18" s="1118" t="str">
        <f>IFERROR(ROUND(MIN(AH18,AO18*INDEX(ENDUSEALL[Inc Rate],MATCH(AW18,ENDUSEALL[End Use to Coincident Peak Demand Factors],0))),2),"")</f>
        <v/>
      </c>
      <c r="BB18" s="1118" t="str">
        <f>IFERROR(AH18/M02S02F35/AO18,"")</f>
        <v/>
      </c>
      <c r="BC18" s="1118" t="str">
        <f>IFERROR(IF((Q18*S18)-(Z18*AB18)&lt;=0,MEASURESAV,IF(M02S02F35="",MEASURERATE, IF(AH18/M02S02F35/AO18&lt;1,MEASUREPAY,IF(AU18&lt;1,MEASURECB,"")))),MEASURESUBMIT)</f>
        <v>Submit for Review</v>
      </c>
    </row>
    <row r="19" spans="2:55" ht="15.95" customHeight="1" x14ac:dyDescent="0.25">
      <c r="B19" s="1063"/>
      <c r="C19" s="1104"/>
      <c r="D19" s="1104"/>
      <c r="E19" s="1104"/>
      <c r="F19" s="1031"/>
      <c r="G19" s="1032"/>
      <c r="H19" s="1032"/>
      <c r="I19" s="1032"/>
      <c r="J19" s="1033"/>
      <c r="K19" s="1031"/>
      <c r="L19" s="1033"/>
      <c r="M19" s="1031"/>
      <c r="N19" s="1032"/>
      <c r="O19" s="1032"/>
      <c r="P19" s="1033"/>
      <c r="Q19" s="1106"/>
      <c r="R19" s="1106"/>
      <c r="S19" s="1109"/>
      <c r="T19" s="1110"/>
      <c r="U19" s="1033"/>
      <c r="V19" s="1112"/>
      <c r="W19" s="1112"/>
      <c r="X19" s="1112"/>
      <c r="Y19" s="1112"/>
      <c r="Z19" s="1106"/>
      <c r="AA19" s="1106"/>
      <c r="AB19" s="1109"/>
      <c r="AC19" s="1121"/>
      <c r="AD19" s="1051"/>
      <c r="AE19" s="1137"/>
      <c r="AF19" s="1137"/>
      <c r="AG19" s="1138"/>
      <c r="AH19" s="1129"/>
      <c r="AI19" s="1130"/>
      <c r="AJ19" s="1130"/>
      <c r="AK19" s="1132"/>
      <c r="AL19" s="1132"/>
      <c r="AM19" s="1132"/>
      <c r="AN19" s="1132"/>
      <c r="AO19" s="1134"/>
      <c r="AP19" s="1134"/>
      <c r="AQ19" s="1134"/>
      <c r="AR19" s="135"/>
      <c r="AU19" s="1125"/>
      <c r="AV19" s="986"/>
      <c r="AW19" s="988"/>
      <c r="AX19" s="1127"/>
      <c r="AY19" s="1123"/>
      <c r="AZ19" s="1119"/>
      <c r="BA19" s="1119"/>
      <c r="BB19" s="1119"/>
      <c r="BC19" s="1119"/>
    </row>
    <row r="20" spans="2:55" ht="15.95" customHeight="1" x14ac:dyDescent="0.25">
      <c r="B20" s="1063">
        <v>3</v>
      </c>
      <c r="C20" s="1103"/>
      <c r="D20" s="1103"/>
      <c r="E20" s="1103"/>
      <c r="F20" s="1099"/>
      <c r="G20" s="1101"/>
      <c r="H20" s="1101"/>
      <c r="I20" s="1101"/>
      <c r="J20" s="1100"/>
      <c r="K20" s="1099"/>
      <c r="L20" s="1100"/>
      <c r="M20" s="1099"/>
      <c r="N20" s="1101"/>
      <c r="O20" s="1101"/>
      <c r="P20" s="1100"/>
      <c r="Q20" s="1105"/>
      <c r="R20" s="1105"/>
      <c r="S20" s="1107"/>
      <c r="T20" s="1108"/>
      <c r="U20" s="1030"/>
      <c r="V20" s="1111"/>
      <c r="W20" s="1111"/>
      <c r="X20" s="1111"/>
      <c r="Y20" s="1111"/>
      <c r="Z20" s="1105"/>
      <c r="AA20" s="1105"/>
      <c r="AB20" s="1107"/>
      <c r="AC20" s="1120"/>
      <c r="AD20" s="1049"/>
      <c r="AE20" s="1135"/>
      <c r="AF20" s="1135"/>
      <c r="AG20" s="1136"/>
      <c r="AH20" s="1027" t="str">
        <f t="shared" ref="AH20" si="4">IF(OR(C20="",F20="",K20="",Q20="",S20="",U20="",Z20="",AB20="",AD20="",AF20=""),"",ROUND(AD20+AF20,2))</f>
        <v/>
      </c>
      <c r="AI20" s="1128"/>
      <c r="AJ20" s="1128"/>
      <c r="AK20" s="1131" t="str">
        <f t="shared" ref="AK20" si="5">IF(OR(C20="",F20="",K20="",Q20="",S20="",U20="",Z20="",AB20="",AD20="",AF20=""),"",IF(BC20&lt;&gt;"",BC20,IF(C20="New/Replace Failed Equip.",BA20,AZ20)))</f>
        <v/>
      </c>
      <c r="AL20" s="1131"/>
      <c r="AM20" s="1131"/>
      <c r="AN20" s="1131"/>
      <c r="AO20" s="1133" t="str">
        <f t="shared" ref="AO20" si="6">IF(OR(C20="",F20="",K20="",Q20="",S20="",U20="",Z20="",AB20="",AD20="",AF20=""),"",IF((Q20*S20)-(Z20*AB20)&lt;=0,0,ROUND((Q20*S20)-(Z20*AB20),0)))</f>
        <v/>
      </c>
      <c r="AP20" s="1133"/>
      <c r="AQ20" s="1133"/>
      <c r="AR20" s="135"/>
      <c r="AU20" s="1124" t="str">
        <f>IFERROR(IF(OR(C20="",F20="",K20="",Q20="",S20="",U20="",Z20="",AB20="",AD20="",AF20=""),"",((1+ELOSS)*PEAKTD*(1+INDEX(ELECCB[Capacity Reserve Margin],MATCH(AX20,ELECCB[Year Number],0)))*((AO20*INDEX(ELECCB[NPV AEC $/kWh],MATCH(AX20,ELECCB[Year Number],1)))+(AV20*INDEX(ELECCB[NPV ACC+T&amp;D $/kW],MATCH(AX20,ELECCB[Year Number],1))))/AH20)),0)</f>
        <v/>
      </c>
      <c r="AV20" s="985" t="str">
        <f>IF(OR(C20="",F20="",K20="",Q20="",S20="",U20="",Z20="",AB20="",AD20="",AF20=""),"",ROUND(AO20*INDEX(ENDUSEALL[Factor],MATCH(AW20,ENDUSEALL[End Use to Coincident Peak Demand Factors],0)),4))</f>
        <v/>
      </c>
      <c r="AW20" s="987" t="str">
        <f t="shared" ref="AW20" si="7">IF(OR(C20="",F20="",K20="",M20="",Q20="",S20="",U20="",Z20="",AB20="",AD20="",AF20=""),"",K20)</f>
        <v/>
      </c>
      <c r="AX20" s="1126" t="str">
        <f>IF(OR(C20="",F20="",K20="",Q20="",S20="",U20="",Z20="",AB20="",AD20="",AF20=""),"",INDEX(CMEHVAC[EUL],MATCH(F20,CMEHVAC[Proj Desc 1],0)))</f>
        <v/>
      </c>
      <c r="AY20" s="1122" t="str">
        <f>IF(OR(C20="",F20="",K20="",Q20="",S20="",U20="",Z20="",AB20="",AD20="",AF20=""),"",INDEX(CMEHVAC[Measure Number],MATCH(F20,CMEHVAC[Proj Desc 1],0)))</f>
        <v/>
      </c>
      <c r="AZ20" s="1118" t="str">
        <f>IFERROR(ROUND(MIN(AH20*0.5,AO20*INDEX(ENDUSEALL[Inc Rate],MATCH(AW20,ENDUSEALL[End Use to Coincident Peak Demand Factors],0))),2),"")</f>
        <v/>
      </c>
      <c r="BA20" s="1118" t="str">
        <f>IFERROR(ROUND(MIN(AH20,AO20*INDEX(ENDUSEALL[Inc Rate],MATCH(AW20,ENDUSEALL[End Use to Coincident Peak Demand Factors],0))),2),"")</f>
        <v/>
      </c>
      <c r="BB20" s="1118" t="str">
        <f>IFERROR(AH20/M02S02F35/AO20,"")</f>
        <v/>
      </c>
      <c r="BC20" s="1118" t="str">
        <f>IFERROR(IF((Q20*S20)-(Z20*AB20)&lt;=0,MEASURESAV,IF(M02S02F35="",MEASURERATE, IF(AH20/M02S02F35/AO20&lt;1,MEASUREPAY,IF(AU20&lt;1,MEASURECB,"")))),MEASURESUBMIT)</f>
        <v>Submit for Review</v>
      </c>
    </row>
    <row r="21" spans="2:55" ht="15.95" customHeight="1" x14ac:dyDescent="0.25">
      <c r="B21" s="1063"/>
      <c r="C21" s="1104"/>
      <c r="D21" s="1104"/>
      <c r="E21" s="1104"/>
      <c r="F21" s="1031"/>
      <c r="G21" s="1032"/>
      <c r="H21" s="1032"/>
      <c r="I21" s="1032"/>
      <c r="J21" s="1033"/>
      <c r="K21" s="1031"/>
      <c r="L21" s="1033"/>
      <c r="M21" s="1031"/>
      <c r="N21" s="1032"/>
      <c r="O21" s="1032"/>
      <c r="P21" s="1033"/>
      <c r="Q21" s="1106"/>
      <c r="R21" s="1106"/>
      <c r="S21" s="1109"/>
      <c r="T21" s="1110"/>
      <c r="U21" s="1033"/>
      <c r="V21" s="1112"/>
      <c r="W21" s="1112"/>
      <c r="X21" s="1112"/>
      <c r="Y21" s="1112"/>
      <c r="Z21" s="1106"/>
      <c r="AA21" s="1106"/>
      <c r="AB21" s="1109"/>
      <c r="AC21" s="1121"/>
      <c r="AD21" s="1051"/>
      <c r="AE21" s="1137"/>
      <c r="AF21" s="1137"/>
      <c r="AG21" s="1138"/>
      <c r="AH21" s="1129"/>
      <c r="AI21" s="1130"/>
      <c r="AJ21" s="1130"/>
      <c r="AK21" s="1132"/>
      <c r="AL21" s="1132"/>
      <c r="AM21" s="1132"/>
      <c r="AN21" s="1132"/>
      <c r="AO21" s="1134"/>
      <c r="AP21" s="1134"/>
      <c r="AQ21" s="1134"/>
      <c r="AR21" s="135"/>
      <c r="AU21" s="1125"/>
      <c r="AV21" s="986"/>
      <c r="AW21" s="988"/>
      <c r="AX21" s="1127"/>
      <c r="AY21" s="1123"/>
      <c r="AZ21" s="1119"/>
      <c r="BA21" s="1119"/>
      <c r="BB21" s="1119"/>
      <c r="BC21" s="1119"/>
    </row>
    <row r="22" spans="2:55" ht="15.95" customHeight="1" x14ac:dyDescent="0.25">
      <c r="B22" s="1063">
        <v>4</v>
      </c>
      <c r="C22" s="1103"/>
      <c r="D22" s="1103"/>
      <c r="E22" s="1103"/>
      <c r="F22" s="1099"/>
      <c r="G22" s="1101"/>
      <c r="H22" s="1101"/>
      <c r="I22" s="1101"/>
      <c r="J22" s="1100"/>
      <c r="K22" s="1099"/>
      <c r="L22" s="1100"/>
      <c r="M22" s="1099"/>
      <c r="N22" s="1101"/>
      <c r="O22" s="1101"/>
      <c r="P22" s="1100"/>
      <c r="Q22" s="1105"/>
      <c r="R22" s="1105"/>
      <c r="S22" s="1107"/>
      <c r="T22" s="1108"/>
      <c r="U22" s="1030"/>
      <c r="V22" s="1111"/>
      <c r="W22" s="1111"/>
      <c r="X22" s="1111"/>
      <c r="Y22" s="1111"/>
      <c r="Z22" s="1105"/>
      <c r="AA22" s="1105"/>
      <c r="AB22" s="1107"/>
      <c r="AC22" s="1120"/>
      <c r="AD22" s="1049"/>
      <c r="AE22" s="1135"/>
      <c r="AF22" s="1135"/>
      <c r="AG22" s="1136"/>
      <c r="AH22" s="1027" t="str">
        <f t="shared" ref="AH22" si="8">IF(OR(C22="",F22="",K22="",Q22="",S22="",U22="",Z22="",AB22="",AD22="",AF22=""),"",ROUND(AD22+AF22,2))</f>
        <v/>
      </c>
      <c r="AI22" s="1128"/>
      <c r="AJ22" s="1128"/>
      <c r="AK22" s="1131" t="str">
        <f t="shared" ref="AK22" si="9">IF(OR(C22="",F22="",K22="",Q22="",S22="",U22="",Z22="",AB22="",AD22="",AF22=""),"",IF(BC22&lt;&gt;"",BC22,IF(C22="New/Replace Failed Equip.",BA22,AZ22)))</f>
        <v/>
      </c>
      <c r="AL22" s="1131"/>
      <c r="AM22" s="1131"/>
      <c r="AN22" s="1131"/>
      <c r="AO22" s="1133" t="str">
        <f t="shared" ref="AO22" si="10">IF(OR(C22="",F22="",K22="",Q22="",S22="",U22="",Z22="",AB22="",AD22="",AF22=""),"",IF((Q22*S22)-(Z22*AB22)&lt;=0,0,ROUND((Q22*S22)-(Z22*AB22),0)))</f>
        <v/>
      </c>
      <c r="AP22" s="1133"/>
      <c r="AQ22" s="1133"/>
      <c r="AR22" s="135"/>
      <c r="AU22" s="1124" t="str">
        <f>IFERROR(IF(OR(C22="",F22="",K22="",Q22="",S22="",U22="",Z22="",AB22="",AD22="",AF22=""),"",((1+ELOSS)*PEAKTD*(1+INDEX(ELECCB[Capacity Reserve Margin],MATCH(AX22,ELECCB[Year Number],0)))*((AO22*INDEX(ELECCB[NPV AEC $/kWh],MATCH(AX22,ELECCB[Year Number],1)))+(AV22*INDEX(ELECCB[NPV ACC+T&amp;D $/kW],MATCH(AX22,ELECCB[Year Number],1))))/AH22)),0)</f>
        <v/>
      </c>
      <c r="AV22" s="985" t="str">
        <f>IF(OR(C22="",F22="",K22="",Q22="",S22="",U22="",Z22="",AB22="",AD22="",AF22=""),"",ROUND(AO22*INDEX(ENDUSEALL[Factor],MATCH(AW22,ENDUSEALL[End Use to Coincident Peak Demand Factors],0)),4))</f>
        <v/>
      </c>
      <c r="AW22" s="987" t="str">
        <f t="shared" ref="AW22" si="11">IF(OR(C22="",F22="",K22="",M22="",Q22="",S22="",U22="",Z22="",AB22="",AD22="",AF22=""),"",K22)</f>
        <v/>
      </c>
      <c r="AX22" s="1126" t="str">
        <f>IF(OR(C22="",F22="",K22="",Q22="",S22="",U22="",Z22="",AB22="",AD22="",AF22=""),"",INDEX(CMEHVAC[EUL],MATCH(F22,CMEHVAC[Proj Desc 1],0)))</f>
        <v/>
      </c>
      <c r="AY22" s="1122" t="str">
        <f>IF(OR(C22="",F22="",K22="",Q22="",S22="",U22="",Z22="",AB22="",AD22="",AF22=""),"",INDEX(CMEHVAC[Measure Number],MATCH(F22,CMEHVAC[Proj Desc 1],0)))</f>
        <v/>
      </c>
      <c r="AZ22" s="1118" t="str">
        <f>IFERROR(ROUND(MIN(AH22*0.5,AO22*INDEX(ENDUSEALL[Inc Rate],MATCH(AW22,ENDUSEALL[End Use to Coincident Peak Demand Factors],0))),2),"")</f>
        <v/>
      </c>
      <c r="BA22" s="1118" t="str">
        <f>IFERROR(ROUND(MIN(AH22,AO22*INDEX(ENDUSEALL[Inc Rate],MATCH(AW22,ENDUSEALL[End Use to Coincident Peak Demand Factors],0))),2),"")</f>
        <v/>
      </c>
      <c r="BB22" s="1118" t="str">
        <f>IFERROR(AH22/M02S02F35/AO22,"")</f>
        <v/>
      </c>
      <c r="BC22" s="1118" t="str">
        <f>IFERROR(IF((Q22*S22)-(Z22*AB22)&lt;=0,MEASURESAV,IF(M02S02F35="",MEASURERATE, IF(AH22/M02S02F35/AO22&lt;1,MEASUREPAY,IF(AU22&lt;1,MEASURECB,"")))),MEASURESUBMIT)</f>
        <v>Submit for Review</v>
      </c>
    </row>
    <row r="23" spans="2:55" ht="15.95" customHeight="1" x14ac:dyDescent="0.25">
      <c r="B23" s="1063"/>
      <c r="C23" s="1104"/>
      <c r="D23" s="1104"/>
      <c r="E23" s="1104"/>
      <c r="F23" s="1031"/>
      <c r="G23" s="1032"/>
      <c r="H23" s="1032"/>
      <c r="I23" s="1032"/>
      <c r="J23" s="1033"/>
      <c r="K23" s="1031"/>
      <c r="L23" s="1033"/>
      <c r="M23" s="1031"/>
      <c r="N23" s="1032"/>
      <c r="O23" s="1032"/>
      <c r="P23" s="1033"/>
      <c r="Q23" s="1106"/>
      <c r="R23" s="1106"/>
      <c r="S23" s="1109"/>
      <c r="T23" s="1110"/>
      <c r="U23" s="1033"/>
      <c r="V23" s="1112"/>
      <c r="W23" s="1112"/>
      <c r="X23" s="1112"/>
      <c r="Y23" s="1112"/>
      <c r="Z23" s="1106"/>
      <c r="AA23" s="1106"/>
      <c r="AB23" s="1109"/>
      <c r="AC23" s="1121"/>
      <c r="AD23" s="1051"/>
      <c r="AE23" s="1137"/>
      <c r="AF23" s="1137"/>
      <c r="AG23" s="1138"/>
      <c r="AH23" s="1129"/>
      <c r="AI23" s="1130"/>
      <c r="AJ23" s="1130"/>
      <c r="AK23" s="1132"/>
      <c r="AL23" s="1132"/>
      <c r="AM23" s="1132"/>
      <c r="AN23" s="1132"/>
      <c r="AO23" s="1134"/>
      <c r="AP23" s="1134"/>
      <c r="AQ23" s="1134"/>
      <c r="AR23" s="135"/>
      <c r="AU23" s="1125"/>
      <c r="AV23" s="986"/>
      <c r="AW23" s="988"/>
      <c r="AX23" s="1127"/>
      <c r="AY23" s="1123"/>
      <c r="AZ23" s="1119"/>
      <c r="BA23" s="1119"/>
      <c r="BB23" s="1119"/>
      <c r="BC23" s="1119"/>
    </row>
    <row r="24" spans="2:55" ht="15.95" customHeight="1" x14ac:dyDescent="0.25">
      <c r="B24" s="1063">
        <v>5</v>
      </c>
      <c r="C24" s="1103"/>
      <c r="D24" s="1103"/>
      <c r="E24" s="1103"/>
      <c r="F24" s="1099"/>
      <c r="G24" s="1101"/>
      <c r="H24" s="1101"/>
      <c r="I24" s="1101"/>
      <c r="J24" s="1100"/>
      <c r="K24" s="1099"/>
      <c r="L24" s="1100"/>
      <c r="M24" s="1099"/>
      <c r="N24" s="1101"/>
      <c r="O24" s="1101"/>
      <c r="P24" s="1100"/>
      <c r="Q24" s="1105"/>
      <c r="R24" s="1105"/>
      <c r="S24" s="1107"/>
      <c r="T24" s="1108"/>
      <c r="U24" s="1030"/>
      <c r="V24" s="1111"/>
      <c r="W24" s="1111"/>
      <c r="X24" s="1111"/>
      <c r="Y24" s="1111"/>
      <c r="Z24" s="1105"/>
      <c r="AA24" s="1105"/>
      <c r="AB24" s="1107"/>
      <c r="AC24" s="1120"/>
      <c r="AD24" s="1049"/>
      <c r="AE24" s="1135"/>
      <c r="AF24" s="1135"/>
      <c r="AG24" s="1136"/>
      <c r="AH24" s="1027" t="str">
        <f t="shared" ref="AH24" si="12">IF(OR(C24="",F24="",K24="",Q24="",S24="",U24="",Z24="",AB24="",AD24="",AF24=""),"",ROUND(AD24+AF24,2))</f>
        <v/>
      </c>
      <c r="AI24" s="1128"/>
      <c r="AJ24" s="1128"/>
      <c r="AK24" s="1131" t="str">
        <f t="shared" ref="AK24" si="13">IF(OR(C24="",F24="",K24="",Q24="",S24="",U24="",Z24="",AB24="",AD24="",AF24=""),"",IF(BC24&lt;&gt;"",BC24,IF(C24="New/Replace Failed Equip.",BA24,AZ24)))</f>
        <v/>
      </c>
      <c r="AL24" s="1131"/>
      <c r="AM24" s="1131"/>
      <c r="AN24" s="1131"/>
      <c r="AO24" s="1133" t="str">
        <f t="shared" ref="AO24" si="14">IF(OR(C24="",F24="",K24="",Q24="",S24="",U24="",Z24="",AB24="",AD24="",AF24=""),"",IF((Q24*S24)-(Z24*AB24)&lt;=0,0,ROUND((Q24*S24)-(Z24*AB24),0)))</f>
        <v/>
      </c>
      <c r="AP24" s="1133"/>
      <c r="AQ24" s="1133"/>
      <c r="AR24" s="135"/>
      <c r="AU24" s="1124" t="str">
        <f>IFERROR(IF(OR(C24="",F24="",K24="",Q24="",S24="",U24="",Z24="",AB24="",AD24="",AF24=""),"",((1+ELOSS)*PEAKTD*(1+INDEX(ELECCB[Capacity Reserve Margin],MATCH(AX24,ELECCB[Year Number],0)))*((AO24*INDEX(ELECCB[NPV AEC $/kWh],MATCH(AX24,ELECCB[Year Number],1)))+(AV24*INDEX(ELECCB[NPV ACC+T&amp;D $/kW],MATCH(AX24,ELECCB[Year Number],1))))/AH24)),0)</f>
        <v/>
      </c>
      <c r="AV24" s="985" t="str">
        <f>IF(OR(C24="",F24="",K24="",Q24="",S24="",U24="",Z24="",AB24="",AD24="",AF24=""),"",ROUND(AO24*INDEX(ENDUSEALL[Factor],MATCH(AW24,ENDUSEALL[End Use to Coincident Peak Demand Factors],0)),4))</f>
        <v/>
      </c>
      <c r="AW24" s="987" t="str">
        <f t="shared" ref="AW24" si="15">IF(OR(C24="",F24="",K24="",M24="",Q24="",S24="",U24="",Z24="",AB24="",AD24="",AF24=""),"",K24)</f>
        <v/>
      </c>
      <c r="AX24" s="1126" t="str">
        <f>IF(OR(C24="",F24="",K24="",Q24="",S24="",U24="",Z24="",AB24="",AD24="",AF24=""),"",INDEX(CMEHVAC[EUL],MATCH(F24,CMEHVAC[Proj Desc 1],0)))</f>
        <v/>
      </c>
      <c r="AY24" s="1122" t="str">
        <f>IF(OR(C24="",F24="",K24="",Q24="",S24="",U24="",Z24="",AB24="",AD24="",AF24=""),"",INDEX(CMEHVAC[Measure Number],MATCH(F24,CMEHVAC[Proj Desc 1],0)))</f>
        <v/>
      </c>
      <c r="AZ24" s="1118" t="str">
        <f>IFERROR(ROUND(MIN(AH24*0.5,AO24*INDEX(ENDUSEALL[Inc Rate],MATCH(AW24,ENDUSEALL[End Use to Coincident Peak Demand Factors],0))),2),"")</f>
        <v/>
      </c>
      <c r="BA24" s="1118" t="str">
        <f>IFERROR(ROUND(MIN(AH24,AO24*INDEX(ENDUSEALL[Inc Rate],MATCH(AW24,ENDUSEALL[End Use to Coincident Peak Demand Factors],0))),2),"")</f>
        <v/>
      </c>
      <c r="BB24" s="1118" t="str">
        <f>IFERROR(AH24/M02S02F35/AO24,"")</f>
        <v/>
      </c>
      <c r="BC24" s="1118" t="str">
        <f>IFERROR(IF((Q24*S24)-(Z24*AB24)&lt;=0,MEASURESAV,IF(M02S02F35="",MEASURERATE, IF(AH24/M02S02F35/AO24&lt;1,MEASUREPAY,IF(AU24&lt;1,MEASURECB,"")))),MEASURESUBMIT)</f>
        <v>Submit for Review</v>
      </c>
    </row>
    <row r="25" spans="2:55" ht="15.95" customHeight="1" x14ac:dyDescent="0.25">
      <c r="B25" s="1063"/>
      <c r="C25" s="1104"/>
      <c r="D25" s="1104"/>
      <c r="E25" s="1104"/>
      <c r="F25" s="1031"/>
      <c r="G25" s="1032"/>
      <c r="H25" s="1032"/>
      <c r="I25" s="1032"/>
      <c r="J25" s="1033"/>
      <c r="K25" s="1031"/>
      <c r="L25" s="1033"/>
      <c r="M25" s="1031"/>
      <c r="N25" s="1032"/>
      <c r="O25" s="1032"/>
      <c r="P25" s="1033"/>
      <c r="Q25" s="1106"/>
      <c r="R25" s="1106"/>
      <c r="S25" s="1109"/>
      <c r="T25" s="1110"/>
      <c r="U25" s="1033"/>
      <c r="V25" s="1112"/>
      <c r="W25" s="1112"/>
      <c r="X25" s="1112"/>
      <c r="Y25" s="1112"/>
      <c r="Z25" s="1106"/>
      <c r="AA25" s="1106"/>
      <c r="AB25" s="1109"/>
      <c r="AC25" s="1121"/>
      <c r="AD25" s="1051"/>
      <c r="AE25" s="1137"/>
      <c r="AF25" s="1137"/>
      <c r="AG25" s="1138"/>
      <c r="AH25" s="1129"/>
      <c r="AI25" s="1130"/>
      <c r="AJ25" s="1130"/>
      <c r="AK25" s="1132"/>
      <c r="AL25" s="1132"/>
      <c r="AM25" s="1132"/>
      <c r="AN25" s="1132"/>
      <c r="AO25" s="1134"/>
      <c r="AP25" s="1134"/>
      <c r="AQ25" s="1134"/>
      <c r="AR25" s="135"/>
      <c r="AU25" s="1125"/>
      <c r="AV25" s="986"/>
      <c r="AW25" s="988"/>
      <c r="AX25" s="1127"/>
      <c r="AY25" s="1123"/>
      <c r="AZ25" s="1119"/>
      <c r="BA25" s="1119"/>
      <c r="BB25" s="1119"/>
      <c r="BC25" s="1119"/>
    </row>
    <row r="26" spans="2:55" ht="15.95" customHeight="1" x14ac:dyDescent="0.25">
      <c r="B26" s="1063">
        <v>6</v>
      </c>
      <c r="C26" s="1103"/>
      <c r="D26" s="1103"/>
      <c r="E26" s="1103"/>
      <c r="F26" s="1099"/>
      <c r="G26" s="1101"/>
      <c r="H26" s="1101"/>
      <c r="I26" s="1101"/>
      <c r="J26" s="1100"/>
      <c r="K26" s="1099"/>
      <c r="L26" s="1100"/>
      <c r="M26" s="1099"/>
      <c r="N26" s="1101"/>
      <c r="O26" s="1101"/>
      <c r="P26" s="1100"/>
      <c r="Q26" s="1105"/>
      <c r="R26" s="1105"/>
      <c r="S26" s="1107"/>
      <c r="T26" s="1108"/>
      <c r="U26" s="1030"/>
      <c r="V26" s="1111"/>
      <c r="W26" s="1111"/>
      <c r="X26" s="1111"/>
      <c r="Y26" s="1111"/>
      <c r="Z26" s="1105"/>
      <c r="AA26" s="1105"/>
      <c r="AB26" s="1107"/>
      <c r="AC26" s="1120"/>
      <c r="AD26" s="1049"/>
      <c r="AE26" s="1135"/>
      <c r="AF26" s="1135"/>
      <c r="AG26" s="1136"/>
      <c r="AH26" s="1027" t="str">
        <f t="shared" ref="AH26" si="16">IF(OR(C26="",F26="",K26="",Q26="",S26="",U26="",Z26="",AB26="",AD26="",AF26=""),"",ROUND(AD26+AF26,2))</f>
        <v/>
      </c>
      <c r="AI26" s="1128"/>
      <c r="AJ26" s="1128"/>
      <c r="AK26" s="1131" t="str">
        <f t="shared" ref="AK26" si="17">IF(OR(C26="",F26="",K26="",Q26="",S26="",U26="",Z26="",AB26="",AD26="",AF26=""),"",IF(BC26&lt;&gt;"",BC26,IF(C26="New/Replace Failed Equip.",BA26,AZ26)))</f>
        <v/>
      </c>
      <c r="AL26" s="1131"/>
      <c r="AM26" s="1131"/>
      <c r="AN26" s="1131"/>
      <c r="AO26" s="1133" t="str">
        <f t="shared" ref="AO26" si="18">IF(OR(C26="",F26="",K26="",Q26="",S26="",U26="",Z26="",AB26="",AD26="",AF26=""),"",IF((Q26*S26)-(Z26*AB26)&lt;=0,0,ROUND((Q26*S26)-(Z26*AB26),0)))</f>
        <v/>
      </c>
      <c r="AP26" s="1133"/>
      <c r="AQ26" s="1133"/>
      <c r="AR26" s="135"/>
      <c r="AU26" s="1124" t="str">
        <f>IFERROR(IF(OR(C26="",F26="",K26="",Q26="",S26="",U26="",Z26="",AB26="",AD26="",AF26=""),"",((1+ELOSS)*PEAKTD*(1+INDEX(ELECCB[Capacity Reserve Margin],MATCH(AX26,ELECCB[Year Number],0)))*((AO26*INDEX(ELECCB[NPV AEC $/kWh],MATCH(AX26,ELECCB[Year Number],1)))+(AV26*INDEX(ELECCB[NPV ACC+T&amp;D $/kW],MATCH(AX26,ELECCB[Year Number],1))))/AH26)),0)</f>
        <v/>
      </c>
      <c r="AV26" s="985" t="str">
        <f>IF(OR(C26="",F26="",K26="",Q26="",S26="",U26="",Z26="",AB26="",AD26="",AF26=""),"",ROUND(AO26*INDEX(ENDUSEALL[Factor],MATCH(AW26,ENDUSEALL[End Use to Coincident Peak Demand Factors],0)),4))</f>
        <v/>
      </c>
      <c r="AW26" s="987" t="str">
        <f t="shared" ref="AW26" si="19">IF(OR(C26="",F26="",K26="",M26="",Q26="",S26="",U26="",Z26="",AB26="",AD26="",AF26=""),"",K26)</f>
        <v/>
      </c>
      <c r="AX26" s="1126" t="str">
        <f>IF(OR(C26="",F26="",K26="",Q26="",S26="",U26="",Z26="",AB26="",AD26="",AF26=""),"",INDEX(CMEHVAC[EUL],MATCH(F26,CMEHVAC[Proj Desc 1],0)))</f>
        <v/>
      </c>
      <c r="AY26" s="1122" t="str">
        <f>IF(OR(C26="",F26="",K26="",Q26="",S26="",U26="",Z26="",AB26="",AD26="",AF26=""),"",INDEX(CMEHVAC[Measure Number],MATCH(F26,CMEHVAC[Proj Desc 1],0)))</f>
        <v/>
      </c>
      <c r="AZ26" s="1118" t="str">
        <f>IFERROR(ROUND(MIN(AH26*0.5,AO26*INDEX(ENDUSEALL[Inc Rate],MATCH(AW26,ENDUSEALL[End Use to Coincident Peak Demand Factors],0))),2),"")</f>
        <v/>
      </c>
      <c r="BA26" s="1118" t="str">
        <f>IFERROR(ROUND(MIN(AH26,AO26*INDEX(ENDUSEALL[Inc Rate],MATCH(AW26,ENDUSEALL[End Use to Coincident Peak Demand Factors],0))),2),"")</f>
        <v/>
      </c>
      <c r="BB26" s="1118" t="str">
        <f>IFERROR(AH26/M02S02F35/AO26,"")</f>
        <v/>
      </c>
      <c r="BC26" s="1118" t="str">
        <f>IFERROR(IF((Q26*S26)-(Z26*AB26)&lt;=0,MEASURESAV,IF(M02S02F35="",MEASURERATE, IF(AH26/M02S02F35/AO26&lt;1,MEASUREPAY,IF(AU26&lt;1,MEASURECB,"")))),MEASURESUBMIT)</f>
        <v>Submit for Review</v>
      </c>
    </row>
    <row r="27" spans="2:55" ht="15.95" customHeight="1" x14ac:dyDescent="0.25">
      <c r="B27" s="1063"/>
      <c r="C27" s="1104"/>
      <c r="D27" s="1104"/>
      <c r="E27" s="1104"/>
      <c r="F27" s="1031"/>
      <c r="G27" s="1032"/>
      <c r="H27" s="1032"/>
      <c r="I27" s="1032"/>
      <c r="J27" s="1033"/>
      <c r="K27" s="1031"/>
      <c r="L27" s="1033"/>
      <c r="M27" s="1031"/>
      <c r="N27" s="1032"/>
      <c r="O27" s="1032"/>
      <c r="P27" s="1033"/>
      <c r="Q27" s="1106"/>
      <c r="R27" s="1106"/>
      <c r="S27" s="1109"/>
      <c r="T27" s="1110"/>
      <c r="U27" s="1033"/>
      <c r="V27" s="1112"/>
      <c r="W27" s="1112"/>
      <c r="X27" s="1112"/>
      <c r="Y27" s="1112"/>
      <c r="Z27" s="1106"/>
      <c r="AA27" s="1106"/>
      <c r="AB27" s="1109"/>
      <c r="AC27" s="1121"/>
      <c r="AD27" s="1051"/>
      <c r="AE27" s="1137"/>
      <c r="AF27" s="1137"/>
      <c r="AG27" s="1138"/>
      <c r="AH27" s="1129"/>
      <c r="AI27" s="1130"/>
      <c r="AJ27" s="1130"/>
      <c r="AK27" s="1132"/>
      <c r="AL27" s="1132"/>
      <c r="AM27" s="1132"/>
      <c r="AN27" s="1132"/>
      <c r="AO27" s="1134"/>
      <c r="AP27" s="1134"/>
      <c r="AQ27" s="1134"/>
      <c r="AR27" s="135"/>
      <c r="AU27" s="1125"/>
      <c r="AV27" s="986"/>
      <c r="AW27" s="988"/>
      <c r="AX27" s="1127"/>
      <c r="AY27" s="1123"/>
      <c r="AZ27" s="1119"/>
      <c r="BA27" s="1119"/>
      <c r="BB27" s="1119"/>
      <c r="BC27" s="1119"/>
    </row>
    <row r="28" spans="2:55" ht="15.95" customHeight="1" x14ac:dyDescent="0.25">
      <c r="B28" s="1063">
        <v>7</v>
      </c>
      <c r="C28" s="1103"/>
      <c r="D28" s="1103"/>
      <c r="E28" s="1103"/>
      <c r="F28" s="1099"/>
      <c r="G28" s="1101"/>
      <c r="H28" s="1101"/>
      <c r="I28" s="1101"/>
      <c r="J28" s="1100"/>
      <c r="K28" s="1099"/>
      <c r="L28" s="1100"/>
      <c r="M28" s="1099"/>
      <c r="N28" s="1101"/>
      <c r="O28" s="1101"/>
      <c r="P28" s="1100"/>
      <c r="Q28" s="1105"/>
      <c r="R28" s="1105"/>
      <c r="S28" s="1107"/>
      <c r="T28" s="1108"/>
      <c r="U28" s="1030"/>
      <c r="V28" s="1111"/>
      <c r="W28" s="1111"/>
      <c r="X28" s="1111"/>
      <c r="Y28" s="1111"/>
      <c r="Z28" s="1105"/>
      <c r="AA28" s="1105"/>
      <c r="AB28" s="1107"/>
      <c r="AC28" s="1120"/>
      <c r="AD28" s="1049"/>
      <c r="AE28" s="1135"/>
      <c r="AF28" s="1135"/>
      <c r="AG28" s="1136"/>
      <c r="AH28" s="1027" t="str">
        <f t="shared" ref="AH28" si="20">IF(OR(C28="",F28="",K28="",Q28="",S28="",U28="",Z28="",AB28="",AD28="",AF28=""),"",ROUND(AD28+AF28,2))</f>
        <v/>
      </c>
      <c r="AI28" s="1128"/>
      <c r="AJ28" s="1128"/>
      <c r="AK28" s="1131" t="str">
        <f t="shared" ref="AK28" si="21">IF(OR(C28="",F28="",K28="",Q28="",S28="",U28="",Z28="",AB28="",AD28="",AF28=""),"",IF(BC28&lt;&gt;"",BC28,IF(C28="New/Replace Failed Equip.",BA28,AZ28)))</f>
        <v/>
      </c>
      <c r="AL28" s="1131"/>
      <c r="AM28" s="1131"/>
      <c r="AN28" s="1131"/>
      <c r="AO28" s="1133" t="str">
        <f t="shared" ref="AO28" si="22">IF(OR(C28="",F28="",K28="",Q28="",S28="",U28="",Z28="",AB28="",AD28="",AF28=""),"",IF((Q28*S28)-(Z28*AB28)&lt;=0,0,ROUND((Q28*S28)-(Z28*AB28),0)))</f>
        <v/>
      </c>
      <c r="AP28" s="1133"/>
      <c r="AQ28" s="1133"/>
      <c r="AR28" s="135"/>
      <c r="AU28" s="1124" t="str">
        <f>IFERROR(IF(OR(C28="",F28="",K28="",Q28="",S28="",U28="",Z28="",AB28="",AD28="",AF28=""),"",((1+ELOSS)*PEAKTD*(1+INDEX(ELECCB[Capacity Reserve Margin],MATCH(AX28,ELECCB[Year Number],0)))*((AO28*INDEX(ELECCB[NPV AEC $/kWh],MATCH(AX28,ELECCB[Year Number],1)))+(AV28*INDEX(ELECCB[NPV ACC+T&amp;D $/kW],MATCH(AX28,ELECCB[Year Number],1))))/AH28)),0)</f>
        <v/>
      </c>
      <c r="AV28" s="985" t="str">
        <f>IF(OR(C28="",F28="",K28="",Q28="",S28="",U28="",Z28="",AB28="",AD28="",AF28=""),"",ROUND(AO28*INDEX(ENDUSEALL[Factor],MATCH(AW28,ENDUSEALL[End Use to Coincident Peak Demand Factors],0)),4))</f>
        <v/>
      </c>
      <c r="AW28" s="987" t="str">
        <f t="shared" ref="AW28" si="23">IF(OR(C28="",F28="",K28="",M28="",Q28="",S28="",U28="",Z28="",AB28="",AD28="",AF28=""),"",K28)</f>
        <v/>
      </c>
      <c r="AX28" s="1126" t="str">
        <f>IF(OR(C28="",F28="",K28="",Q28="",S28="",U28="",Z28="",AB28="",AD28="",AF28=""),"",INDEX(CMEHVAC[EUL],MATCH(F28,CMEHVAC[Proj Desc 1],0)))</f>
        <v/>
      </c>
      <c r="AY28" s="1122" t="str">
        <f>IF(OR(C28="",F28="",K28="",Q28="",S28="",U28="",Z28="",AB28="",AD28="",AF28=""),"",INDEX(CMEHVAC[Measure Number],MATCH(F28,CMEHVAC[Proj Desc 1],0)))</f>
        <v/>
      </c>
      <c r="AZ28" s="1118" t="str">
        <f>IFERROR(ROUND(MIN(AH28*0.5,AO28*INDEX(ENDUSEALL[Inc Rate],MATCH(AW28,ENDUSEALL[End Use to Coincident Peak Demand Factors],0))),2),"")</f>
        <v/>
      </c>
      <c r="BA28" s="1118" t="str">
        <f>IFERROR(ROUND(MIN(AH28,AO28*INDEX(ENDUSEALL[Inc Rate],MATCH(AW28,ENDUSEALL[End Use to Coincident Peak Demand Factors],0))),2),"")</f>
        <v/>
      </c>
      <c r="BB28" s="1118" t="str">
        <f>IFERROR(AH28/M02S02F35/AO28,"")</f>
        <v/>
      </c>
      <c r="BC28" s="1118" t="str">
        <f>IFERROR(IF((Q28*S28)-(Z28*AB28)&lt;=0,MEASURESAV,IF(M02S02F35="",MEASURERATE, IF(AH28/M02S02F35/AO28&lt;1,MEASUREPAY,IF(AU28&lt;1,MEASURECB,"")))),MEASURESUBMIT)</f>
        <v>Submit for Review</v>
      </c>
    </row>
    <row r="29" spans="2:55" ht="15.95" customHeight="1" x14ac:dyDescent="0.25">
      <c r="B29" s="1063"/>
      <c r="C29" s="1104"/>
      <c r="D29" s="1104"/>
      <c r="E29" s="1104"/>
      <c r="F29" s="1031"/>
      <c r="G29" s="1032"/>
      <c r="H29" s="1032"/>
      <c r="I29" s="1032"/>
      <c r="J29" s="1033"/>
      <c r="K29" s="1031"/>
      <c r="L29" s="1033"/>
      <c r="M29" s="1031"/>
      <c r="N29" s="1032"/>
      <c r="O29" s="1032"/>
      <c r="P29" s="1033"/>
      <c r="Q29" s="1106"/>
      <c r="R29" s="1106"/>
      <c r="S29" s="1109"/>
      <c r="T29" s="1110"/>
      <c r="U29" s="1033"/>
      <c r="V29" s="1112"/>
      <c r="W29" s="1112"/>
      <c r="X29" s="1112"/>
      <c r="Y29" s="1112"/>
      <c r="Z29" s="1106"/>
      <c r="AA29" s="1106"/>
      <c r="AB29" s="1109"/>
      <c r="AC29" s="1121"/>
      <c r="AD29" s="1051"/>
      <c r="AE29" s="1137"/>
      <c r="AF29" s="1137"/>
      <c r="AG29" s="1138"/>
      <c r="AH29" s="1129"/>
      <c r="AI29" s="1130"/>
      <c r="AJ29" s="1130"/>
      <c r="AK29" s="1132"/>
      <c r="AL29" s="1132"/>
      <c r="AM29" s="1132"/>
      <c r="AN29" s="1132"/>
      <c r="AO29" s="1134"/>
      <c r="AP29" s="1134"/>
      <c r="AQ29" s="1134"/>
      <c r="AR29" s="135"/>
      <c r="AU29" s="1125"/>
      <c r="AV29" s="986"/>
      <c r="AW29" s="988"/>
      <c r="AX29" s="1127"/>
      <c r="AY29" s="1123"/>
      <c r="AZ29" s="1119"/>
      <c r="BA29" s="1119"/>
      <c r="BB29" s="1119"/>
      <c r="BC29" s="1119"/>
    </row>
    <row r="30" spans="2:55" ht="15.95" customHeight="1" x14ac:dyDescent="0.25">
      <c r="B30" s="1063">
        <v>8</v>
      </c>
      <c r="C30" s="1103"/>
      <c r="D30" s="1103"/>
      <c r="E30" s="1103"/>
      <c r="F30" s="1099"/>
      <c r="G30" s="1101"/>
      <c r="H30" s="1101"/>
      <c r="I30" s="1101"/>
      <c r="J30" s="1100"/>
      <c r="K30" s="1099"/>
      <c r="L30" s="1100"/>
      <c r="M30" s="1099"/>
      <c r="N30" s="1101"/>
      <c r="O30" s="1101"/>
      <c r="P30" s="1100"/>
      <c r="Q30" s="1105"/>
      <c r="R30" s="1105"/>
      <c r="S30" s="1107"/>
      <c r="T30" s="1108"/>
      <c r="U30" s="1030"/>
      <c r="V30" s="1111"/>
      <c r="W30" s="1111"/>
      <c r="X30" s="1111"/>
      <c r="Y30" s="1111"/>
      <c r="Z30" s="1105"/>
      <c r="AA30" s="1105"/>
      <c r="AB30" s="1107"/>
      <c r="AC30" s="1120"/>
      <c r="AD30" s="1049"/>
      <c r="AE30" s="1135"/>
      <c r="AF30" s="1135"/>
      <c r="AG30" s="1136"/>
      <c r="AH30" s="1027" t="str">
        <f t="shared" ref="AH30" si="24">IF(OR(C30="",F30="",K30="",Q30="",S30="",U30="",Z30="",AB30="",AD30="",AF30=""),"",ROUND(AD30+AF30,2))</f>
        <v/>
      </c>
      <c r="AI30" s="1128"/>
      <c r="AJ30" s="1128"/>
      <c r="AK30" s="1131" t="str">
        <f t="shared" ref="AK30" si="25">IF(OR(C30="",F30="",K30="",Q30="",S30="",U30="",Z30="",AB30="",AD30="",AF30=""),"",IF(BC30&lt;&gt;"",BC30,IF(C30="New/Replace Failed Equip.",BA30,AZ30)))</f>
        <v/>
      </c>
      <c r="AL30" s="1131"/>
      <c r="AM30" s="1131"/>
      <c r="AN30" s="1131"/>
      <c r="AO30" s="1133" t="str">
        <f t="shared" ref="AO30" si="26">IF(OR(C30="",F30="",K30="",Q30="",S30="",U30="",Z30="",AB30="",AD30="",AF30=""),"",IF((Q30*S30)-(Z30*AB30)&lt;=0,0,ROUND((Q30*S30)-(Z30*AB30),0)))</f>
        <v/>
      </c>
      <c r="AP30" s="1133"/>
      <c r="AQ30" s="1133"/>
      <c r="AR30" s="135"/>
      <c r="AU30" s="1124" t="str">
        <f>IFERROR(IF(OR(C30="",F30="",K30="",Q30="",S30="",U30="",Z30="",AB30="",AD30="",AF30=""),"",((1+ELOSS)*PEAKTD*(1+INDEX(ELECCB[Capacity Reserve Margin],MATCH(AX30,ELECCB[Year Number],0)))*((AO30*INDEX(ELECCB[NPV AEC $/kWh],MATCH(AX30,ELECCB[Year Number],1)))+(AV30*INDEX(ELECCB[NPV ACC+T&amp;D $/kW],MATCH(AX30,ELECCB[Year Number],1))))/AH30)),0)</f>
        <v/>
      </c>
      <c r="AV30" s="985" t="str">
        <f>IF(OR(C30="",F30="",K30="",Q30="",S30="",U30="",Z30="",AB30="",AD30="",AF30=""),"",ROUND(AO30*INDEX(ENDUSEALL[Factor],MATCH(AW30,ENDUSEALL[End Use to Coincident Peak Demand Factors],0)),4))</f>
        <v/>
      </c>
      <c r="AW30" s="987" t="str">
        <f t="shared" ref="AW30" si="27">IF(OR(C30="",F30="",K30="",M30="",Q30="",S30="",U30="",Z30="",AB30="",AD30="",AF30=""),"",K30)</f>
        <v/>
      </c>
      <c r="AX30" s="1126" t="str">
        <f>IF(OR(C30="",F30="",K30="",Q30="",S30="",U30="",Z30="",AB30="",AD30="",AF30=""),"",INDEX(CMEHVAC[EUL],MATCH(F30,CMEHVAC[Proj Desc 1],0)))</f>
        <v/>
      </c>
      <c r="AY30" s="1122" t="str">
        <f>IF(OR(C30="",F30="",K30="",Q30="",S30="",U30="",Z30="",AB30="",AD30="",AF30=""),"",INDEX(CMEHVAC[Measure Number],MATCH(F30,CMEHVAC[Proj Desc 1],0)))</f>
        <v/>
      </c>
      <c r="AZ30" s="1118" t="str">
        <f>IFERROR(ROUND(MIN(AH30*0.5,AO30*INDEX(ENDUSEALL[Inc Rate],MATCH(AW30,ENDUSEALL[End Use to Coincident Peak Demand Factors],0))),2),"")</f>
        <v/>
      </c>
      <c r="BA30" s="1118" t="str">
        <f>IFERROR(ROUND(MIN(AH30,AO30*INDEX(ENDUSEALL[Inc Rate],MATCH(AW30,ENDUSEALL[End Use to Coincident Peak Demand Factors],0))),2),"")</f>
        <v/>
      </c>
      <c r="BB30" s="1118" t="str">
        <f>IFERROR(AH30/M02S02F35/AO30,"")</f>
        <v/>
      </c>
      <c r="BC30" s="1118" t="str">
        <f>IFERROR(IF((Q30*S30)-(Z30*AB30)&lt;=0,MEASURESAV,IF(M02S02F35="",MEASURERATE, IF(AH30/M02S02F35/AO30&lt;1,MEASUREPAY,IF(AU30&lt;1,MEASURECB,"")))),MEASURESUBMIT)</f>
        <v>Submit for Review</v>
      </c>
    </row>
    <row r="31" spans="2:55" ht="15.95" customHeight="1" x14ac:dyDescent="0.25">
      <c r="B31" s="1063"/>
      <c r="C31" s="1104"/>
      <c r="D31" s="1104"/>
      <c r="E31" s="1104"/>
      <c r="F31" s="1031"/>
      <c r="G31" s="1032"/>
      <c r="H31" s="1032"/>
      <c r="I31" s="1032"/>
      <c r="J31" s="1033"/>
      <c r="K31" s="1031"/>
      <c r="L31" s="1033"/>
      <c r="M31" s="1031"/>
      <c r="N31" s="1032"/>
      <c r="O31" s="1032"/>
      <c r="P31" s="1033"/>
      <c r="Q31" s="1106"/>
      <c r="R31" s="1106"/>
      <c r="S31" s="1109"/>
      <c r="T31" s="1110"/>
      <c r="U31" s="1033"/>
      <c r="V31" s="1112"/>
      <c r="W31" s="1112"/>
      <c r="X31" s="1112"/>
      <c r="Y31" s="1112"/>
      <c r="Z31" s="1106"/>
      <c r="AA31" s="1106"/>
      <c r="AB31" s="1109"/>
      <c r="AC31" s="1121"/>
      <c r="AD31" s="1051"/>
      <c r="AE31" s="1137"/>
      <c r="AF31" s="1137"/>
      <c r="AG31" s="1138"/>
      <c r="AH31" s="1129"/>
      <c r="AI31" s="1130"/>
      <c r="AJ31" s="1130"/>
      <c r="AK31" s="1132"/>
      <c r="AL31" s="1132"/>
      <c r="AM31" s="1132"/>
      <c r="AN31" s="1132"/>
      <c r="AO31" s="1134"/>
      <c r="AP31" s="1134"/>
      <c r="AQ31" s="1134"/>
      <c r="AR31" s="135"/>
      <c r="AU31" s="1125"/>
      <c r="AV31" s="986"/>
      <c r="AW31" s="988"/>
      <c r="AX31" s="1127"/>
      <c r="AY31" s="1123"/>
      <c r="AZ31" s="1119"/>
      <c r="BA31" s="1119"/>
      <c r="BB31" s="1119"/>
      <c r="BC31" s="1119"/>
    </row>
    <row r="32" spans="2:55" ht="15.95" customHeight="1" x14ac:dyDescent="0.25">
      <c r="B32" s="1063">
        <v>9</v>
      </c>
      <c r="C32" s="1103"/>
      <c r="D32" s="1103"/>
      <c r="E32" s="1103"/>
      <c r="F32" s="1099"/>
      <c r="G32" s="1101"/>
      <c r="H32" s="1101"/>
      <c r="I32" s="1101"/>
      <c r="J32" s="1100"/>
      <c r="K32" s="1099"/>
      <c r="L32" s="1100"/>
      <c r="M32" s="1099"/>
      <c r="N32" s="1101"/>
      <c r="O32" s="1101"/>
      <c r="P32" s="1100"/>
      <c r="Q32" s="1105"/>
      <c r="R32" s="1105"/>
      <c r="S32" s="1107"/>
      <c r="T32" s="1108"/>
      <c r="U32" s="1030"/>
      <c r="V32" s="1111"/>
      <c r="W32" s="1111"/>
      <c r="X32" s="1111"/>
      <c r="Y32" s="1111"/>
      <c r="Z32" s="1105"/>
      <c r="AA32" s="1105"/>
      <c r="AB32" s="1107"/>
      <c r="AC32" s="1120"/>
      <c r="AD32" s="1049"/>
      <c r="AE32" s="1135"/>
      <c r="AF32" s="1135"/>
      <c r="AG32" s="1136"/>
      <c r="AH32" s="1027" t="str">
        <f t="shared" ref="AH32" si="28">IF(OR(C32="",F32="",K32="",Q32="",S32="",U32="",Z32="",AB32="",AD32="",AF32=""),"",ROUND(AD32+AF32,2))</f>
        <v/>
      </c>
      <c r="AI32" s="1128"/>
      <c r="AJ32" s="1128"/>
      <c r="AK32" s="1131" t="str">
        <f t="shared" ref="AK32" si="29">IF(OR(C32="",F32="",K32="",Q32="",S32="",U32="",Z32="",AB32="",AD32="",AF32=""),"",IF(BC32&lt;&gt;"",BC32,IF(C32="New/Replace Failed Equip.",BA32,AZ32)))</f>
        <v/>
      </c>
      <c r="AL32" s="1131"/>
      <c r="AM32" s="1131"/>
      <c r="AN32" s="1131"/>
      <c r="AO32" s="1133" t="str">
        <f t="shared" ref="AO32" si="30">IF(OR(C32="",F32="",K32="",Q32="",S32="",U32="",Z32="",AB32="",AD32="",AF32=""),"",IF((Q32*S32)-(Z32*AB32)&lt;=0,0,ROUND((Q32*S32)-(Z32*AB32),0)))</f>
        <v/>
      </c>
      <c r="AP32" s="1133"/>
      <c r="AQ32" s="1133"/>
      <c r="AR32" s="135"/>
      <c r="AU32" s="1124" t="str">
        <f>IFERROR(IF(OR(C32="",F32="",K32="",Q32="",S32="",U32="",Z32="",AB32="",AD32="",AF32=""),"",((1+ELOSS)*PEAKTD*(1+INDEX(ELECCB[Capacity Reserve Margin],MATCH(AX32,ELECCB[Year Number],0)))*((AO32*INDEX(ELECCB[NPV AEC $/kWh],MATCH(AX32,ELECCB[Year Number],1)))+(AV32*INDEX(ELECCB[NPV ACC+T&amp;D $/kW],MATCH(AX32,ELECCB[Year Number],1))))/AH32)),0)</f>
        <v/>
      </c>
      <c r="AV32" s="985" t="str">
        <f>IF(OR(C32="",F32="",K32="",Q32="",S32="",U32="",Z32="",AB32="",AD32="",AF32=""),"",ROUND(AO32*INDEX(ENDUSEALL[Factor],MATCH(AW32,ENDUSEALL[End Use to Coincident Peak Demand Factors],0)),4))</f>
        <v/>
      </c>
      <c r="AW32" s="987" t="str">
        <f t="shared" ref="AW32" si="31">IF(OR(C32="",F32="",K32="",M32="",Q32="",S32="",U32="",Z32="",AB32="",AD32="",AF32=""),"",K32)</f>
        <v/>
      </c>
      <c r="AX32" s="1126" t="str">
        <f>IF(OR(C32="",F32="",K32="",Q32="",S32="",U32="",Z32="",AB32="",AD32="",AF32=""),"",INDEX(CMEHVAC[EUL],MATCH(F32,CMEHVAC[Proj Desc 1],0)))</f>
        <v/>
      </c>
      <c r="AY32" s="1122" t="str">
        <f>IF(OR(C32="",F32="",K32="",Q32="",S32="",U32="",Z32="",AB32="",AD32="",AF32=""),"",INDEX(CMEHVAC[Measure Number],MATCH(F32,CMEHVAC[Proj Desc 1],0)))</f>
        <v/>
      </c>
      <c r="AZ32" s="1118" t="str">
        <f>IFERROR(ROUND(MIN(AH32*0.5,AO32*INDEX(ENDUSEALL[Inc Rate],MATCH(AW32,ENDUSEALL[End Use to Coincident Peak Demand Factors],0))),2),"")</f>
        <v/>
      </c>
      <c r="BA32" s="1118" t="str">
        <f>IFERROR(ROUND(MIN(AH32,AO32*INDEX(ENDUSEALL[Inc Rate],MATCH(AW32,ENDUSEALL[End Use to Coincident Peak Demand Factors],0))),2),"")</f>
        <v/>
      </c>
      <c r="BB32" s="1118" t="str">
        <f>IFERROR(AH32/M02S02F35/AO32,"")</f>
        <v/>
      </c>
      <c r="BC32" s="1118" t="str">
        <f>IFERROR(IF((Q32*S32)-(Z32*AB32)&lt;=0,MEASURESAV,IF(M02S02F35="",MEASURERATE, IF(AH32/M02S02F35/AO32&lt;1,MEASUREPAY,IF(AU32&lt;1,MEASURECB,"")))),MEASURESUBMIT)</f>
        <v>Submit for Review</v>
      </c>
    </row>
    <row r="33" spans="2:55" ht="15.95" customHeight="1" x14ac:dyDescent="0.25">
      <c r="B33" s="1063"/>
      <c r="C33" s="1104"/>
      <c r="D33" s="1104"/>
      <c r="E33" s="1104"/>
      <c r="F33" s="1031"/>
      <c r="G33" s="1032"/>
      <c r="H33" s="1032"/>
      <c r="I33" s="1032"/>
      <c r="J33" s="1033"/>
      <c r="K33" s="1031"/>
      <c r="L33" s="1033"/>
      <c r="M33" s="1031"/>
      <c r="N33" s="1032"/>
      <c r="O33" s="1032"/>
      <c r="P33" s="1033"/>
      <c r="Q33" s="1106"/>
      <c r="R33" s="1106"/>
      <c r="S33" s="1109"/>
      <c r="T33" s="1110"/>
      <c r="U33" s="1033"/>
      <c r="V33" s="1112"/>
      <c r="W33" s="1112"/>
      <c r="X33" s="1112"/>
      <c r="Y33" s="1112"/>
      <c r="Z33" s="1106"/>
      <c r="AA33" s="1106"/>
      <c r="AB33" s="1109"/>
      <c r="AC33" s="1121"/>
      <c r="AD33" s="1051"/>
      <c r="AE33" s="1137"/>
      <c r="AF33" s="1137"/>
      <c r="AG33" s="1138"/>
      <c r="AH33" s="1129"/>
      <c r="AI33" s="1130"/>
      <c r="AJ33" s="1130"/>
      <c r="AK33" s="1132"/>
      <c r="AL33" s="1132"/>
      <c r="AM33" s="1132"/>
      <c r="AN33" s="1132"/>
      <c r="AO33" s="1134"/>
      <c r="AP33" s="1134"/>
      <c r="AQ33" s="1134"/>
      <c r="AR33" s="135"/>
      <c r="AU33" s="1125"/>
      <c r="AV33" s="986"/>
      <c r="AW33" s="988"/>
      <c r="AX33" s="1127"/>
      <c r="AY33" s="1123"/>
      <c r="AZ33" s="1119"/>
      <c r="BA33" s="1119"/>
      <c r="BB33" s="1119"/>
      <c r="BC33" s="1119"/>
    </row>
    <row r="34" spans="2:55" ht="15.95" customHeight="1" x14ac:dyDescent="0.25">
      <c r="B34" s="1063">
        <v>10</v>
      </c>
      <c r="C34" s="1103"/>
      <c r="D34" s="1103"/>
      <c r="E34" s="1103"/>
      <c r="F34" s="1099"/>
      <c r="G34" s="1101"/>
      <c r="H34" s="1101"/>
      <c r="I34" s="1101"/>
      <c r="J34" s="1100"/>
      <c r="K34" s="1099"/>
      <c r="L34" s="1100"/>
      <c r="M34" s="1099"/>
      <c r="N34" s="1101"/>
      <c r="O34" s="1101"/>
      <c r="P34" s="1100"/>
      <c r="Q34" s="1105"/>
      <c r="R34" s="1105"/>
      <c r="S34" s="1107"/>
      <c r="T34" s="1108"/>
      <c r="U34" s="1030"/>
      <c r="V34" s="1111"/>
      <c r="W34" s="1111"/>
      <c r="X34" s="1111"/>
      <c r="Y34" s="1111"/>
      <c r="Z34" s="1105"/>
      <c r="AA34" s="1105"/>
      <c r="AB34" s="1107"/>
      <c r="AC34" s="1120"/>
      <c r="AD34" s="1049"/>
      <c r="AE34" s="1135"/>
      <c r="AF34" s="1135"/>
      <c r="AG34" s="1136"/>
      <c r="AH34" s="1027" t="str">
        <f t="shared" ref="AH34" si="32">IF(OR(C34="",F34="",K34="",Q34="",S34="",U34="",Z34="",AB34="",AD34="",AF34=""),"",ROUND(AD34+AF34,2))</f>
        <v/>
      </c>
      <c r="AI34" s="1128"/>
      <c r="AJ34" s="1128"/>
      <c r="AK34" s="1131" t="str">
        <f t="shared" ref="AK34" si="33">IF(OR(C34="",F34="",K34="",Q34="",S34="",U34="",Z34="",AB34="",AD34="",AF34=""),"",IF(BC34&lt;&gt;"",BC34,IF(C34="New/Replace Failed Equip.",BA34,AZ34)))</f>
        <v/>
      </c>
      <c r="AL34" s="1131"/>
      <c r="AM34" s="1131"/>
      <c r="AN34" s="1131"/>
      <c r="AO34" s="1133" t="str">
        <f t="shared" ref="AO34" si="34">IF(OR(C34="",F34="",K34="",Q34="",S34="",U34="",Z34="",AB34="",AD34="",AF34=""),"",IF((Q34*S34)-(Z34*AB34)&lt;=0,0,ROUND((Q34*S34)-(Z34*AB34),0)))</f>
        <v/>
      </c>
      <c r="AP34" s="1133"/>
      <c r="AQ34" s="1133"/>
      <c r="AR34" s="135"/>
      <c r="AU34" s="1124" t="str">
        <f>IFERROR(IF(OR(C34="",F34="",K34="",Q34="",S34="",U34="",Z34="",AB34="",AD34="",AF34=""),"",((1+ELOSS)*PEAKTD*(1+INDEX(ELECCB[Capacity Reserve Margin],MATCH(AX34,ELECCB[Year Number],0)))*((AO34*INDEX(ELECCB[NPV AEC $/kWh],MATCH(AX34,ELECCB[Year Number],1)))+(AV34*INDEX(ELECCB[NPV ACC+T&amp;D $/kW],MATCH(AX34,ELECCB[Year Number],1))))/AH34)),0)</f>
        <v/>
      </c>
      <c r="AV34" s="985" t="str">
        <f>IF(OR(C34="",F34="",K34="",Q34="",S34="",U34="",Z34="",AB34="",AD34="",AF34=""),"",ROUND(AO34*INDEX(ENDUSEALL[Factor],MATCH(AW34,ENDUSEALL[End Use to Coincident Peak Demand Factors],0)),4))</f>
        <v/>
      </c>
      <c r="AW34" s="987" t="str">
        <f t="shared" ref="AW34" si="35">IF(OR(C34="",F34="",K34="",M34="",Q34="",S34="",U34="",Z34="",AB34="",AD34="",AF34=""),"",K34)</f>
        <v/>
      </c>
      <c r="AX34" s="1126" t="str">
        <f>IF(OR(C34="",F34="",K34="",Q34="",S34="",U34="",Z34="",AB34="",AD34="",AF34=""),"",INDEX(CMEHVAC[EUL],MATCH(F34,CMEHVAC[Proj Desc 1],0)))</f>
        <v/>
      </c>
      <c r="AY34" s="1122" t="str">
        <f>IF(OR(C34="",F34="",K34="",Q34="",S34="",U34="",Z34="",AB34="",AD34="",AF34=""),"",INDEX(CMEHVAC[Measure Number],MATCH(F34,CMEHVAC[Proj Desc 1],0)))</f>
        <v/>
      </c>
      <c r="AZ34" s="1118" t="str">
        <f>IFERROR(ROUND(MIN(AH34*0.5,AO34*INDEX(ENDUSEALL[Inc Rate],MATCH(AW34,ENDUSEALL[End Use to Coincident Peak Demand Factors],0))),2),"")</f>
        <v/>
      </c>
      <c r="BA34" s="1118" t="str">
        <f>IFERROR(ROUND(MIN(AH34,AO34*INDEX(ENDUSEALL[Inc Rate],MATCH(AW34,ENDUSEALL[End Use to Coincident Peak Demand Factors],0))),2),"")</f>
        <v/>
      </c>
      <c r="BB34" s="1118" t="str">
        <f>IFERROR(AH34/M02S02F35/AO34,"")</f>
        <v/>
      </c>
      <c r="BC34" s="1118" t="str">
        <f>IFERROR(IF((Q34*S34)-(Z34*AB34)&lt;=0,MEASURESAV,IF(M02S02F35="",MEASURERATE, IF(AH34/M02S02F35/AO34&lt;1,MEASUREPAY,IF(AU34&lt;1,MEASURECB,"")))),MEASURESUBMIT)</f>
        <v>Submit for Review</v>
      </c>
    </row>
    <row r="35" spans="2:55" ht="15.95" customHeight="1" x14ac:dyDescent="0.25">
      <c r="B35" s="1063"/>
      <c r="C35" s="1104"/>
      <c r="D35" s="1104"/>
      <c r="E35" s="1104"/>
      <c r="F35" s="1031"/>
      <c r="G35" s="1032"/>
      <c r="H35" s="1032"/>
      <c r="I35" s="1032"/>
      <c r="J35" s="1033"/>
      <c r="K35" s="1031"/>
      <c r="L35" s="1033"/>
      <c r="M35" s="1031"/>
      <c r="N35" s="1032"/>
      <c r="O35" s="1032"/>
      <c r="P35" s="1033"/>
      <c r="Q35" s="1106"/>
      <c r="R35" s="1106"/>
      <c r="S35" s="1109"/>
      <c r="T35" s="1110"/>
      <c r="U35" s="1033"/>
      <c r="V35" s="1112"/>
      <c r="W35" s="1112"/>
      <c r="X35" s="1112"/>
      <c r="Y35" s="1112"/>
      <c r="Z35" s="1106"/>
      <c r="AA35" s="1106"/>
      <c r="AB35" s="1109"/>
      <c r="AC35" s="1121"/>
      <c r="AD35" s="1051"/>
      <c r="AE35" s="1137"/>
      <c r="AF35" s="1137"/>
      <c r="AG35" s="1138"/>
      <c r="AH35" s="1129"/>
      <c r="AI35" s="1130"/>
      <c r="AJ35" s="1130"/>
      <c r="AK35" s="1132"/>
      <c r="AL35" s="1132"/>
      <c r="AM35" s="1132"/>
      <c r="AN35" s="1132"/>
      <c r="AO35" s="1134"/>
      <c r="AP35" s="1134"/>
      <c r="AQ35" s="1134"/>
      <c r="AR35" s="135"/>
      <c r="AU35" s="1125"/>
      <c r="AV35" s="986"/>
      <c r="AW35" s="988"/>
      <c r="AX35" s="1127"/>
      <c r="AY35" s="1123"/>
      <c r="AZ35" s="1119"/>
      <c r="BA35" s="1119"/>
      <c r="BB35" s="1119"/>
      <c r="BC35" s="1119"/>
    </row>
    <row r="36" spans="2:55" ht="15.95" hidden="1" customHeight="1" x14ac:dyDescent="0.25">
      <c r="B36" s="1063">
        <v>11</v>
      </c>
      <c r="AR36" s="135"/>
      <c r="AV36" s="334"/>
    </row>
    <row r="37" spans="2:55" ht="15.95" hidden="1" customHeight="1" x14ac:dyDescent="0.25">
      <c r="B37" s="1063"/>
      <c r="AR37" s="135"/>
      <c r="AV37" s="334"/>
    </row>
    <row r="38" spans="2:55" ht="15.95" hidden="1" customHeight="1" x14ac:dyDescent="0.25">
      <c r="B38" s="1063">
        <v>12</v>
      </c>
      <c r="AR38" s="135"/>
      <c r="AV38" s="334"/>
    </row>
    <row r="39" spans="2:55" ht="15.95" hidden="1" customHeight="1" x14ac:dyDescent="0.25">
      <c r="B39" s="1063"/>
      <c r="AR39" s="135"/>
      <c r="AV39" s="334"/>
    </row>
    <row r="40" spans="2:55" ht="15.95" hidden="1" customHeight="1" x14ac:dyDescent="0.25">
      <c r="B40" s="1063">
        <v>13</v>
      </c>
      <c r="AR40" s="135"/>
      <c r="AV40" s="334"/>
    </row>
    <row r="41" spans="2:55" ht="15.95" hidden="1" customHeight="1" x14ac:dyDescent="0.25">
      <c r="B41" s="1063"/>
      <c r="AR41" s="135"/>
      <c r="AV41" s="334"/>
    </row>
    <row r="42" spans="2:55" ht="15.95" hidden="1" customHeight="1" x14ac:dyDescent="0.25">
      <c r="B42" s="1062">
        <v>14</v>
      </c>
      <c r="AV42" s="334"/>
    </row>
    <row r="43" spans="2:55" ht="15.95" hidden="1" customHeight="1" x14ac:dyDescent="0.25">
      <c r="B43" s="1062"/>
      <c r="AV43" s="334"/>
    </row>
    <row r="44" spans="2:55" ht="15.95" hidden="1" customHeight="1" x14ac:dyDescent="0.25">
      <c r="B44" s="1062">
        <v>15</v>
      </c>
      <c r="AV44" s="334"/>
    </row>
    <row r="45" spans="2:55" ht="15.95" hidden="1" customHeight="1" x14ac:dyDescent="0.25">
      <c r="B45" s="1062"/>
      <c r="AV45" s="334"/>
    </row>
    <row r="46" spans="2:55" ht="15.95" hidden="1" customHeight="1" x14ac:dyDescent="0.25">
      <c r="B46" s="1062">
        <v>16</v>
      </c>
      <c r="AV46" s="334"/>
    </row>
    <row r="47" spans="2:55" ht="15.95" hidden="1" customHeight="1" x14ac:dyDescent="0.25">
      <c r="B47" s="1062"/>
      <c r="AV47" s="334"/>
    </row>
    <row r="48" spans="2:55" ht="15.95" hidden="1" customHeight="1" x14ac:dyDescent="0.25">
      <c r="B48" s="1062">
        <v>17</v>
      </c>
      <c r="AV48" s="334"/>
    </row>
    <row r="49" spans="2:51" ht="15.95" hidden="1" customHeight="1" x14ac:dyDescent="0.25">
      <c r="B49" s="1062"/>
      <c r="AV49" s="334"/>
    </row>
    <row r="50" spans="2:51" ht="15.95" hidden="1" customHeight="1" x14ac:dyDescent="0.25">
      <c r="B50" s="1062">
        <v>18</v>
      </c>
      <c r="AV50" s="334"/>
    </row>
    <row r="51" spans="2:51" ht="15.95" hidden="1" customHeight="1" x14ac:dyDescent="0.25">
      <c r="B51" s="1062"/>
      <c r="AV51" s="334"/>
    </row>
    <row r="52" spans="2:51" ht="15.95" hidden="1" customHeight="1" x14ac:dyDescent="0.25">
      <c r="B52" s="1062">
        <v>19</v>
      </c>
      <c r="AV52" s="334"/>
    </row>
    <row r="53" spans="2:51" ht="15.95" hidden="1" customHeight="1" x14ac:dyDescent="0.25">
      <c r="B53" s="1062"/>
      <c r="AV53" s="334"/>
    </row>
    <row r="54" spans="2:51" ht="15.95" hidden="1" customHeight="1" x14ac:dyDescent="0.25">
      <c r="B54" s="1062">
        <v>20</v>
      </c>
      <c r="AR54" s="63"/>
      <c r="AU54" s="1139" t="str">
        <f>IF(OR(C54="",F54="",J54="",N54="",P54="",R54="",V54="",X54="",Z54="",AB54="",AD54="",AF54=""),"",((1+ELOSS)*PEAKTD*(1+INDEX(ELECCB[Capacity Reserve Margin],MATCH(AB54,ELECCB[Year Number],0)))*((AO54*INDEX(ELECCB[NPV AEC $/kWh],MATCH(AB54,ELECCB[Year Number],1)))+(AX54*INDEX(ELECCB[NPV ACC+T&amp;D $/kW],MATCH(AB54,ELECCB[Year Number],1))))/AH54))</f>
        <v/>
      </c>
      <c r="AV54" s="985" t="str">
        <f>IF(OR(C54="",F54="",J54="",N54="",P54="",R54="",V54="",X54="",Z54="",AB54="",AD54="",AF54=""),"",IF((N54*P54)-(V54*X54)&lt;=0,"No Savings",IF(M02S02F35="","Enter Utility Rate (Site Info Tab)",IF(AH54/M02S02F35/AO54&lt;1,"Payback Too Fast, Submit for Review",IF(AU54&lt;1,"Not Cost Effective Submit for Review",ROUND(MIN(AH54*0.5,AO54*INDEX(INCRATE[Electric],MATCH("CMNONLIGHT",INCRATE[Incentive Type]))),2))))))</f>
        <v/>
      </c>
      <c r="AW54" s="1118" t="str">
        <f>IF(OR(C54="",F54="",J54="",N54="",P54="",R54="",V54="",X54="",Z54="",AB54="",AD54="",AF54=""),"",IF((N54*P54)-(V54*X54)&lt;=0,"No Savings",IF(M02S02F35="","Enter Utility Rate (Site Info Tab)",IF(AH54/M02S02F35/AO54&lt;1,"Payback Too Fast, Submit for Review",IF(AU54&lt;1,"Not Cost Effective Submit for Review",ROUND(MIN(AH54,AO54*INDEX(INCRATE[Electric],MATCH("NCNONLIGHT",INCRATE[Incentive Type]))),2))))))</f>
        <v/>
      </c>
      <c r="AX54" s="1141" t="str">
        <f>IF(OR(C54="",F54="",J54="",N54="",P54="",R54="",V54="",X54="",Z54="",AB54="",AD54="",AF54=""),"",ROUND(AO54*INDEX(PROGRAMECAT[End Use Factor],MATCH(F54,PROGRAMECAT[Category 1],0)),4))</f>
        <v/>
      </c>
      <c r="AY54" s="983"/>
    </row>
    <row r="55" spans="2:51" ht="15.95" hidden="1" customHeight="1" x14ac:dyDescent="0.25">
      <c r="B55" s="1062"/>
      <c r="AR55" s="63"/>
      <c r="AU55" s="1140"/>
      <c r="AV55" s="986"/>
      <c r="AW55" s="1119"/>
      <c r="AX55" s="1142"/>
      <c r="AY55" s="984"/>
    </row>
    <row r="56" spans="2:51" ht="15.95" hidden="1" customHeight="1" x14ac:dyDescent="0.25">
      <c r="B56" s="1062">
        <v>21</v>
      </c>
      <c r="AR56" s="63"/>
      <c r="AU56" s="1139" t="str">
        <f>IF(OR(C56="",F56="",J56="",N56="",P56="",R56="",V56="",X56="",Z56="",AB56="",AD56="",AF56=""),"",((1+ELOSS)*PEAKTD*(1+INDEX(ELECCB[Capacity Reserve Margin],MATCH(AB56,ELECCB[Year Number],0)))*((AO56*INDEX(ELECCB[NPV AEC $/kWh],MATCH(AB56,ELECCB[Year Number],1)))+(AX56*INDEX(ELECCB[NPV ACC+T&amp;D $/kW],MATCH(AB56,ELECCB[Year Number],1))))/AH56))</f>
        <v/>
      </c>
      <c r="AV56" s="985" t="str">
        <f>IF(OR(C56="",F56="",J56="",N56="",P56="",R56="",V56="",X56="",Z56="",AB56="",AD56="",AF56=""),"",IF((N56*P56)-(V56*X56)&lt;=0,"No Savings",IF(M02S02F35="","Enter Utility Rate (Site Info Tab)",IF(AH56/M02S02F35/AO56&lt;1,"Payback Too Fast, Submit for Review",IF(AU56&lt;1,"Not Cost Effective Submit for Review",ROUND(MIN(AH56*0.5,AO56*INDEX(INCRATE[Electric],MATCH("CMNONLIGHT",INCRATE[Incentive Type]))),2))))))</f>
        <v/>
      </c>
      <c r="AW56" s="1118" t="str">
        <f>IF(OR(C56="",F56="",J56="",N56="",P56="",R56="",V56="",X56="",Z56="",AB56="",AD56="",AF56=""),"",IF((N56*P56)-(V56*X56)&lt;=0,"No Savings",IF(M02S02F35="","Enter Utility Rate (Site Info Tab)",IF(AH56/M02S02F35/AO56&lt;1,"Payback Too Fast, Submit for Review",IF(AU56&lt;1,"Not Cost Effective Submit for Review",ROUND(MIN(AH56,AO56*INDEX(INCRATE[Electric],MATCH("NCNONLIGHT",INCRATE[Incentive Type]))),2))))))</f>
        <v/>
      </c>
      <c r="AX56" s="1141" t="str">
        <f>IF(OR(C56="",F56="",J56="",N56="",P56="",R56="",V56="",X56="",Z56="",AB56="",AD56="",AF56=""),"",ROUND(AO56*INDEX(PROGRAMECAT[End Use Factor],MATCH(F56,PROGRAMECAT[Category 1],0)),4))</f>
        <v/>
      </c>
      <c r="AY56" s="983"/>
    </row>
    <row r="57" spans="2:51" ht="15.95" hidden="1" customHeight="1" x14ac:dyDescent="0.25">
      <c r="B57" s="1062"/>
      <c r="AR57" s="63"/>
      <c r="AU57" s="1140"/>
      <c r="AV57" s="986"/>
      <c r="AW57" s="1119"/>
      <c r="AX57" s="1142"/>
      <c r="AY57" s="984"/>
    </row>
    <row r="58" spans="2:51" ht="15.95" hidden="1" customHeight="1" x14ac:dyDescent="0.25">
      <c r="B58" s="1062">
        <v>22</v>
      </c>
      <c r="AV58" s="334"/>
    </row>
    <row r="59" spans="2:51" ht="15.95" hidden="1" customHeight="1" x14ac:dyDescent="0.25">
      <c r="B59" s="1062"/>
      <c r="AV59" s="334"/>
    </row>
    <row r="60" spans="2:51" ht="15.95" hidden="1" customHeight="1" x14ac:dyDescent="0.25">
      <c r="B60" s="1062">
        <v>23</v>
      </c>
      <c r="AV60" s="334"/>
    </row>
    <row r="61" spans="2:51" ht="15.95" hidden="1" customHeight="1" x14ac:dyDescent="0.25">
      <c r="B61" s="1062"/>
      <c r="AV61" s="334"/>
    </row>
    <row r="62" spans="2:51" ht="15.95" hidden="1" customHeight="1" x14ac:dyDescent="0.25">
      <c r="B62" s="1062">
        <v>24</v>
      </c>
      <c r="AV62" s="334"/>
    </row>
    <row r="63" spans="2:51" ht="15.95" hidden="1" customHeight="1" x14ac:dyDescent="0.25">
      <c r="B63" s="1062"/>
      <c r="AV63" s="334"/>
    </row>
    <row r="64" spans="2:51" ht="15.95" hidden="1" customHeight="1" x14ac:dyDescent="0.25">
      <c r="B64" s="1062">
        <v>25</v>
      </c>
      <c r="AV64" s="334"/>
    </row>
    <row r="65" spans="2:48" ht="15.95" hidden="1" customHeight="1" x14ac:dyDescent="0.25">
      <c r="B65" s="1062"/>
      <c r="AV65" s="334"/>
    </row>
    <row r="66" spans="2:48" ht="15.95" hidden="1" customHeight="1" x14ac:dyDescent="0.25">
      <c r="B66" s="1062">
        <v>26</v>
      </c>
      <c r="AV66" s="334"/>
    </row>
    <row r="67" spans="2:48" ht="15.95" hidden="1" customHeight="1" x14ac:dyDescent="0.25">
      <c r="B67" s="1062"/>
      <c r="AV67" s="334"/>
    </row>
    <row r="68" spans="2:48" ht="15.95" hidden="1" customHeight="1" x14ac:dyDescent="0.25">
      <c r="B68" s="1062">
        <v>27</v>
      </c>
      <c r="AV68" s="334"/>
    </row>
    <row r="69" spans="2:48" ht="15.95" hidden="1" customHeight="1" x14ac:dyDescent="0.25">
      <c r="B69" s="1062"/>
      <c r="AV69" s="334"/>
    </row>
    <row r="70" spans="2:48" ht="15.95" hidden="1" customHeight="1" x14ac:dyDescent="0.25">
      <c r="B70" s="1062">
        <v>28</v>
      </c>
      <c r="AV70" s="334"/>
    </row>
    <row r="71" spans="2:48" ht="15.95" hidden="1" customHeight="1" x14ac:dyDescent="0.25">
      <c r="B71" s="1062"/>
      <c r="AV71" s="334"/>
    </row>
    <row r="72" spans="2:48" ht="15.95" hidden="1" customHeight="1" x14ac:dyDescent="0.25">
      <c r="B72" s="1062">
        <v>29</v>
      </c>
      <c r="AV72" s="334"/>
    </row>
    <row r="73" spans="2:48" ht="15.95" hidden="1" customHeight="1" x14ac:dyDescent="0.25">
      <c r="B73" s="1062"/>
      <c r="AV73" s="334"/>
    </row>
    <row r="74" spans="2:48" ht="15.95" hidden="1" customHeight="1" x14ac:dyDescent="0.25">
      <c r="B74" s="1062">
        <v>30</v>
      </c>
      <c r="AV74" s="334"/>
    </row>
    <row r="75" spans="2:48" ht="15.95" hidden="1" customHeight="1" x14ac:dyDescent="0.25">
      <c r="B75" s="1062"/>
      <c r="AV75" s="334"/>
    </row>
    <row r="76" spans="2:48" ht="15.95" hidden="1" customHeight="1" x14ac:dyDescent="0.25">
      <c r="B76" s="1062">
        <v>31</v>
      </c>
      <c r="AV76" s="334"/>
    </row>
    <row r="77" spans="2:48" ht="15.95" hidden="1" customHeight="1" x14ac:dyDescent="0.25">
      <c r="B77" s="1062"/>
      <c r="AV77" s="334"/>
    </row>
    <row r="78" spans="2:48" ht="15.95" hidden="1" customHeight="1" x14ac:dyDescent="0.25">
      <c r="B78" s="1062">
        <v>32</v>
      </c>
      <c r="AV78" s="334"/>
    </row>
    <row r="79" spans="2:48" ht="15.95" hidden="1" customHeight="1" x14ac:dyDescent="0.25">
      <c r="B79" s="1062"/>
      <c r="AV79" s="334"/>
    </row>
    <row r="80" spans="2:48" ht="15.95" hidden="1" customHeight="1" x14ac:dyDescent="0.25">
      <c r="B80" s="1062">
        <v>33</v>
      </c>
      <c r="AV80" s="334"/>
    </row>
    <row r="81" spans="2:48" ht="15.95" hidden="1" customHeight="1" x14ac:dyDescent="0.25">
      <c r="B81" s="1062"/>
      <c r="AV81" s="334"/>
    </row>
    <row r="82" spans="2:48" ht="15.95" hidden="1" customHeight="1" x14ac:dyDescent="0.25">
      <c r="B82" s="1062">
        <v>34</v>
      </c>
      <c r="AV82" s="334"/>
    </row>
    <row r="83" spans="2:48" ht="15.95" hidden="1" customHeight="1" x14ac:dyDescent="0.25">
      <c r="B83" s="1062"/>
      <c r="AV83" s="334"/>
    </row>
    <row r="84" spans="2:48" ht="15.95" hidden="1" customHeight="1" x14ac:dyDescent="0.25">
      <c r="B84" s="1062">
        <v>35</v>
      </c>
      <c r="AV84" s="334"/>
    </row>
    <row r="85" spans="2:48" ht="15.95" hidden="1" customHeight="1" x14ac:dyDescent="0.25">
      <c r="B85" s="1062"/>
      <c r="AV85" s="334"/>
    </row>
    <row r="86" spans="2:48" ht="15.95" hidden="1" customHeight="1" x14ac:dyDescent="0.25">
      <c r="B86" s="1062">
        <v>36</v>
      </c>
      <c r="AV86" s="334"/>
    </row>
    <row r="87" spans="2:48" ht="15.95" hidden="1" customHeight="1" x14ac:dyDescent="0.25">
      <c r="B87" s="1062"/>
      <c r="AV87" s="334"/>
    </row>
    <row r="88" spans="2:48" ht="15.95" hidden="1" customHeight="1" x14ac:dyDescent="0.25">
      <c r="B88" s="1062">
        <v>37</v>
      </c>
      <c r="AV88" s="334"/>
    </row>
    <row r="89" spans="2:48" ht="15.95" hidden="1" customHeight="1" x14ac:dyDescent="0.25">
      <c r="B89" s="1062"/>
      <c r="AV89" s="334"/>
    </row>
    <row r="90" spans="2:48" ht="15.95" hidden="1" customHeight="1" x14ac:dyDescent="0.25">
      <c r="B90" s="1062">
        <v>38</v>
      </c>
      <c r="AV90" s="334"/>
    </row>
    <row r="91" spans="2:48" ht="15.95" hidden="1" customHeight="1" x14ac:dyDescent="0.25">
      <c r="B91" s="1062"/>
      <c r="AV91" s="334"/>
    </row>
    <row r="92" spans="2:48" ht="15.95" hidden="1" customHeight="1" x14ac:dyDescent="0.25">
      <c r="B92" s="1062">
        <v>39</v>
      </c>
      <c r="AV92" s="334"/>
    </row>
    <row r="93" spans="2:48" ht="15.95" hidden="1" customHeight="1" x14ac:dyDescent="0.25">
      <c r="B93" s="1062"/>
      <c r="AV93" s="334"/>
    </row>
    <row r="94" spans="2:48" ht="15.95" hidden="1" customHeight="1" x14ac:dyDescent="0.25">
      <c r="B94" s="1062">
        <v>40</v>
      </c>
      <c r="AV94" s="334"/>
    </row>
    <row r="95" spans="2:48" ht="15.95" hidden="1" customHeight="1" x14ac:dyDescent="0.25">
      <c r="B95" s="1062"/>
      <c r="AV95" s="334"/>
    </row>
    <row r="96" spans="2:48" ht="15.95" hidden="1" customHeight="1" x14ac:dyDescent="0.25">
      <c r="B96" s="1062">
        <v>41</v>
      </c>
      <c r="AV96" s="334"/>
    </row>
    <row r="97" spans="2:48" ht="15.95" hidden="1" customHeight="1" x14ac:dyDescent="0.25">
      <c r="B97" s="1062"/>
      <c r="AV97" s="334"/>
    </row>
    <row r="98" spans="2:48" ht="15.95" hidden="1" customHeight="1" x14ac:dyDescent="0.25">
      <c r="B98" s="1062">
        <v>42</v>
      </c>
      <c r="AV98" s="334"/>
    </row>
    <row r="99" spans="2:48" ht="15.95" hidden="1" customHeight="1" x14ac:dyDescent="0.25">
      <c r="B99" s="1062"/>
      <c r="AV99" s="334"/>
    </row>
    <row r="100" spans="2:48" ht="15.95" hidden="1" customHeight="1" x14ac:dyDescent="0.25">
      <c r="B100" s="1062">
        <v>43</v>
      </c>
      <c r="AV100" s="334"/>
    </row>
    <row r="101" spans="2:48" ht="15.95" hidden="1" customHeight="1" x14ac:dyDescent="0.25">
      <c r="B101" s="1062"/>
      <c r="AV101" s="334"/>
    </row>
    <row r="102" spans="2:48" ht="15.95" hidden="1" customHeight="1" x14ac:dyDescent="0.25">
      <c r="B102" s="1062">
        <v>44</v>
      </c>
      <c r="AV102" s="334"/>
    </row>
    <row r="103" spans="2:48" ht="15.95" hidden="1" customHeight="1" x14ac:dyDescent="0.25">
      <c r="B103" s="1062"/>
      <c r="AV103" s="334"/>
    </row>
    <row r="104" spans="2:48" ht="15.95" hidden="1" customHeight="1" x14ac:dyDescent="0.25">
      <c r="B104" s="1062">
        <v>45</v>
      </c>
      <c r="AV104" s="334"/>
    </row>
    <row r="105" spans="2:48" ht="15.95" hidden="1" customHeight="1" x14ac:dyDescent="0.25">
      <c r="B105" s="1062"/>
      <c r="AV105" s="334"/>
    </row>
    <row r="106" spans="2:48" ht="15.95" hidden="1" customHeight="1" x14ac:dyDescent="0.25">
      <c r="B106" s="1062">
        <v>46</v>
      </c>
      <c r="AV106" s="334"/>
    </row>
    <row r="107" spans="2:48" ht="15.95" hidden="1" customHeight="1" x14ac:dyDescent="0.25">
      <c r="B107" s="1062"/>
      <c r="AV107" s="334"/>
    </row>
    <row r="108" spans="2:48" ht="15.95" hidden="1" customHeight="1" x14ac:dyDescent="0.25">
      <c r="B108" s="1062">
        <v>47</v>
      </c>
      <c r="AV108" s="334"/>
    </row>
    <row r="109" spans="2:48" ht="15.95" hidden="1" customHeight="1" x14ac:dyDescent="0.25">
      <c r="B109" s="1062"/>
      <c r="AV109" s="334"/>
    </row>
    <row r="110" spans="2:48" ht="15.95" hidden="1" customHeight="1" x14ac:dyDescent="0.25">
      <c r="B110" s="1062">
        <v>48</v>
      </c>
      <c r="AV110" s="334"/>
    </row>
    <row r="111" spans="2:48" ht="15.95" hidden="1" customHeight="1" x14ac:dyDescent="0.25">
      <c r="B111" s="1062"/>
      <c r="AV111" s="334"/>
    </row>
    <row r="112" spans="2:48" ht="15.95" hidden="1" customHeight="1" x14ac:dyDescent="0.25">
      <c r="B112" s="1062">
        <v>49</v>
      </c>
      <c r="AV112" s="334"/>
    </row>
    <row r="113" spans="2:48" ht="15.95" hidden="1" customHeight="1" x14ac:dyDescent="0.25">
      <c r="B113" s="1062"/>
      <c r="AV113" s="334"/>
    </row>
    <row r="114" spans="2:48" ht="15.95" hidden="1" customHeight="1" x14ac:dyDescent="0.25">
      <c r="B114" s="1062">
        <v>50</v>
      </c>
      <c r="AV114" s="334"/>
    </row>
    <row r="115" spans="2:48" ht="15.95" hidden="1" customHeight="1" x14ac:dyDescent="0.25">
      <c r="B115" s="1062"/>
      <c r="AV115" s="334"/>
    </row>
    <row r="116" spans="2:48" ht="15.95" hidden="1" customHeight="1" x14ac:dyDescent="0.25">
      <c r="B116" s="1062">
        <v>51</v>
      </c>
      <c r="AV116" s="334"/>
    </row>
    <row r="117" spans="2:48" ht="15.95" hidden="1" customHeight="1" x14ac:dyDescent="0.25">
      <c r="B117" s="1062"/>
      <c r="AV117" s="334"/>
    </row>
    <row r="118" spans="2:48" ht="15.95" hidden="1" customHeight="1" x14ac:dyDescent="0.25">
      <c r="B118" s="1062">
        <v>52</v>
      </c>
      <c r="AV118" s="334"/>
    </row>
    <row r="119" spans="2:48" ht="15.95" hidden="1" customHeight="1" x14ac:dyDescent="0.25">
      <c r="B119" s="1062"/>
      <c r="AV119" s="334"/>
    </row>
    <row r="120" spans="2:48" ht="15.95" hidden="1" customHeight="1" x14ac:dyDescent="0.25">
      <c r="B120" s="1062">
        <v>53</v>
      </c>
      <c r="AV120" s="334"/>
    </row>
    <row r="121" spans="2:48" ht="15.95" hidden="1" customHeight="1" x14ac:dyDescent="0.25">
      <c r="B121" s="1062"/>
      <c r="AV121" s="334"/>
    </row>
    <row r="122" spans="2:48" ht="15.95" hidden="1" customHeight="1" x14ac:dyDescent="0.25">
      <c r="B122" s="1062">
        <v>54</v>
      </c>
      <c r="AV122" s="334"/>
    </row>
    <row r="123" spans="2:48" ht="15.95" hidden="1" customHeight="1" x14ac:dyDescent="0.25">
      <c r="B123" s="1062"/>
      <c r="AV123" s="334"/>
    </row>
    <row r="124" spans="2:48" ht="15.95" hidden="1" customHeight="1" x14ac:dyDescent="0.25">
      <c r="B124" s="1062">
        <v>55</v>
      </c>
      <c r="AV124" s="334"/>
    </row>
    <row r="125" spans="2:48" ht="15.95" hidden="1" customHeight="1" x14ac:dyDescent="0.25">
      <c r="B125" s="1062"/>
      <c r="AV125" s="334"/>
    </row>
    <row r="126" spans="2:48" ht="15.95" hidden="1" customHeight="1" x14ac:dyDescent="0.25">
      <c r="B126" s="1062">
        <v>56</v>
      </c>
      <c r="AV126" s="334"/>
    </row>
    <row r="127" spans="2:48" ht="15.95" hidden="1" customHeight="1" x14ac:dyDescent="0.25">
      <c r="B127" s="1062"/>
      <c r="AV127" s="334"/>
    </row>
    <row r="128" spans="2:48" ht="15.95" hidden="1" customHeight="1" x14ac:dyDescent="0.25">
      <c r="B128" s="1062">
        <v>57</v>
      </c>
      <c r="AV128" s="334"/>
    </row>
    <row r="129" spans="2:48" ht="15.95" hidden="1" customHeight="1" x14ac:dyDescent="0.25">
      <c r="B129" s="1062"/>
      <c r="AV129" s="334"/>
    </row>
    <row r="130" spans="2:48" ht="15.95" hidden="1" customHeight="1" x14ac:dyDescent="0.25">
      <c r="B130" s="1062">
        <v>58</v>
      </c>
      <c r="AV130" s="334"/>
    </row>
    <row r="131" spans="2:48" ht="15.95" hidden="1" customHeight="1" x14ac:dyDescent="0.25">
      <c r="B131" s="1062"/>
      <c r="AV131" s="334"/>
    </row>
    <row r="132" spans="2:48" ht="15.95" hidden="1" customHeight="1" x14ac:dyDescent="0.25">
      <c r="B132" s="1062">
        <v>59</v>
      </c>
      <c r="AV132" s="334"/>
    </row>
    <row r="133" spans="2:48" ht="15.95" hidden="1" customHeight="1" x14ac:dyDescent="0.25">
      <c r="B133" s="1062"/>
      <c r="AV133" s="334"/>
    </row>
    <row r="134" spans="2:48" ht="15.95" hidden="1" customHeight="1" x14ac:dyDescent="0.25">
      <c r="B134" s="1062">
        <v>60</v>
      </c>
      <c r="AV134" s="334"/>
    </row>
    <row r="135" spans="2:48" ht="15.95" hidden="1" customHeight="1" x14ac:dyDescent="0.25">
      <c r="B135" s="1062"/>
      <c r="AV135" s="334"/>
    </row>
    <row r="136" spans="2:48" ht="15.95" hidden="1" customHeight="1" x14ac:dyDescent="0.25">
      <c r="B136" s="1062">
        <v>61</v>
      </c>
      <c r="AV136" s="334"/>
    </row>
    <row r="137" spans="2:48" ht="15.95" hidden="1" customHeight="1" x14ac:dyDescent="0.25">
      <c r="B137" s="1062"/>
      <c r="AV137" s="334"/>
    </row>
    <row r="138" spans="2:48" ht="15.95" hidden="1" customHeight="1" x14ac:dyDescent="0.25">
      <c r="B138" s="1062">
        <v>62</v>
      </c>
      <c r="AV138" s="334"/>
    </row>
    <row r="139" spans="2:48" ht="15.95" hidden="1" customHeight="1" x14ac:dyDescent="0.25">
      <c r="B139" s="1062"/>
      <c r="AV139" s="334"/>
    </row>
    <row r="140" spans="2:48" ht="15.95" hidden="1" customHeight="1" x14ac:dyDescent="0.25">
      <c r="B140" s="1062">
        <v>63</v>
      </c>
      <c r="AV140" s="334"/>
    </row>
    <row r="141" spans="2:48" ht="15.95" hidden="1" customHeight="1" x14ac:dyDescent="0.25">
      <c r="B141" s="1062"/>
      <c r="AV141" s="334"/>
    </row>
    <row r="142" spans="2:48" ht="15.95" hidden="1" customHeight="1" x14ac:dyDescent="0.25">
      <c r="B142" s="1062">
        <v>64</v>
      </c>
      <c r="AV142" s="334"/>
    </row>
    <row r="143" spans="2:48" ht="15.95" hidden="1" customHeight="1" x14ac:dyDescent="0.25">
      <c r="B143" s="1062"/>
      <c r="AV143" s="334"/>
    </row>
    <row r="144" spans="2:48" ht="15.95" hidden="1" customHeight="1" x14ac:dyDescent="0.25">
      <c r="B144" s="1062">
        <v>65</v>
      </c>
      <c r="AV144" s="334"/>
    </row>
    <row r="145" spans="2:48" ht="15.95" hidden="1" customHeight="1" x14ac:dyDescent="0.25">
      <c r="B145" s="1062"/>
      <c r="AV145" s="334"/>
    </row>
    <row r="146" spans="2:48" ht="15.95" hidden="1" customHeight="1" x14ac:dyDescent="0.25">
      <c r="B146" s="1062">
        <v>66</v>
      </c>
      <c r="AV146" s="334"/>
    </row>
    <row r="147" spans="2:48" ht="15.95" hidden="1" customHeight="1" x14ac:dyDescent="0.25">
      <c r="B147" s="1062"/>
      <c r="AV147" s="334"/>
    </row>
    <row r="148" spans="2:48" ht="15.95" hidden="1" customHeight="1" x14ac:dyDescent="0.25">
      <c r="B148" s="1062">
        <v>67</v>
      </c>
      <c r="AV148" s="334"/>
    </row>
    <row r="149" spans="2:48" ht="15.95" hidden="1" customHeight="1" x14ac:dyDescent="0.25">
      <c r="B149" s="1062"/>
      <c r="AV149" s="334"/>
    </row>
    <row r="150" spans="2:48" ht="15.95" hidden="1" customHeight="1" x14ac:dyDescent="0.25">
      <c r="B150" s="1062">
        <v>68</v>
      </c>
      <c r="AV150" s="334"/>
    </row>
    <row r="151" spans="2:48" ht="15.95" hidden="1" customHeight="1" x14ac:dyDescent="0.25">
      <c r="B151" s="1062"/>
      <c r="AV151" s="334"/>
    </row>
    <row r="152" spans="2:48" ht="15.95" hidden="1" customHeight="1" x14ac:dyDescent="0.25">
      <c r="B152" s="1062">
        <v>69</v>
      </c>
      <c r="AV152" s="334"/>
    </row>
    <row r="153" spans="2:48" ht="15.95" hidden="1" customHeight="1" x14ac:dyDescent="0.25">
      <c r="B153" s="1062"/>
      <c r="AV153" s="334"/>
    </row>
    <row r="154" spans="2:48" ht="15.95" hidden="1" customHeight="1" x14ac:dyDescent="0.25">
      <c r="B154" s="1062">
        <v>70</v>
      </c>
      <c r="AV154" s="334"/>
    </row>
    <row r="155" spans="2:48" ht="15.95" hidden="1" customHeight="1" x14ac:dyDescent="0.25">
      <c r="B155" s="1062"/>
      <c r="AV155" s="334"/>
    </row>
    <row r="156" spans="2:48" ht="15.95" hidden="1" customHeight="1" x14ac:dyDescent="0.25">
      <c r="B156" s="1062">
        <v>71</v>
      </c>
      <c r="AV156" s="334"/>
    </row>
    <row r="157" spans="2:48" ht="15.95" hidden="1" customHeight="1" x14ac:dyDescent="0.25">
      <c r="B157" s="1062"/>
      <c r="AV157" s="334"/>
    </row>
    <row r="158" spans="2:48" ht="15.95" hidden="1" customHeight="1" x14ac:dyDescent="0.25">
      <c r="B158" s="1062">
        <v>72</v>
      </c>
      <c r="AV158" s="334"/>
    </row>
    <row r="159" spans="2:48" ht="15.95" hidden="1" customHeight="1" x14ac:dyDescent="0.25">
      <c r="B159" s="1062"/>
      <c r="AV159" s="334"/>
    </row>
    <row r="160" spans="2:48" ht="15.95" hidden="1" customHeight="1" x14ac:dyDescent="0.25">
      <c r="B160" s="1062">
        <v>73</v>
      </c>
      <c r="AV160" s="334"/>
    </row>
    <row r="161" spans="2:48" ht="15.95" hidden="1" customHeight="1" x14ac:dyDescent="0.25">
      <c r="B161" s="1062"/>
      <c r="AV161" s="334"/>
    </row>
    <row r="162" spans="2:48" ht="15.95" hidden="1" customHeight="1" x14ac:dyDescent="0.25">
      <c r="B162" s="1062">
        <v>74</v>
      </c>
      <c r="AV162" s="334"/>
    </row>
    <row r="163" spans="2:48" ht="15.95" hidden="1" customHeight="1" x14ac:dyDescent="0.25">
      <c r="B163" s="1062"/>
      <c r="AV163" s="334"/>
    </row>
    <row r="164" spans="2:48" ht="15.95" hidden="1" customHeight="1" x14ac:dyDescent="0.25">
      <c r="B164" s="1062">
        <v>75</v>
      </c>
      <c r="AV164" s="334"/>
    </row>
    <row r="165" spans="2:48" ht="15.95" hidden="1" customHeight="1" x14ac:dyDescent="0.25">
      <c r="B165" s="1062"/>
      <c r="AV165" s="334"/>
    </row>
    <row r="166" spans="2:48" ht="15.95" hidden="1" customHeight="1" x14ac:dyDescent="0.25">
      <c r="B166" s="1062">
        <v>76</v>
      </c>
      <c r="AV166" s="334"/>
    </row>
    <row r="167" spans="2:48" ht="15.95" hidden="1" customHeight="1" x14ac:dyDescent="0.25">
      <c r="B167" s="1062"/>
      <c r="AV167" s="334"/>
    </row>
    <row r="168" spans="2:48" ht="15.95" hidden="1" customHeight="1" x14ac:dyDescent="0.25">
      <c r="B168" s="1062">
        <v>77</v>
      </c>
      <c r="AV168" s="334"/>
    </row>
    <row r="169" spans="2:48" ht="15.95" hidden="1" customHeight="1" x14ac:dyDescent="0.25">
      <c r="B169" s="1062"/>
      <c r="AV169" s="334"/>
    </row>
    <row r="170" spans="2:48" ht="15.95" hidden="1" customHeight="1" x14ac:dyDescent="0.25">
      <c r="B170" s="1062">
        <v>78</v>
      </c>
      <c r="AV170" s="334"/>
    </row>
    <row r="171" spans="2:48" ht="15.95" hidden="1" customHeight="1" x14ac:dyDescent="0.25">
      <c r="B171" s="1062"/>
      <c r="AV171" s="334"/>
    </row>
    <row r="172" spans="2:48" ht="15.95" hidden="1" customHeight="1" x14ac:dyDescent="0.25">
      <c r="B172" s="1062">
        <v>79</v>
      </c>
      <c r="AV172" s="334"/>
    </row>
    <row r="173" spans="2:48" ht="15.95" hidden="1" customHeight="1" x14ac:dyDescent="0.25">
      <c r="B173" s="1062"/>
      <c r="AV173" s="334"/>
    </row>
    <row r="174" spans="2:48" ht="15.95" hidden="1" customHeight="1" x14ac:dyDescent="0.25">
      <c r="B174" s="1062">
        <v>80</v>
      </c>
      <c r="AV174" s="334"/>
    </row>
    <row r="175" spans="2:48" ht="15.95" hidden="1" customHeight="1" x14ac:dyDescent="0.25">
      <c r="B175" s="1062"/>
      <c r="AV175" s="334"/>
    </row>
    <row r="176" spans="2:48" ht="15.95" hidden="1" customHeight="1" x14ac:dyDescent="0.25">
      <c r="B176" s="1062">
        <v>81</v>
      </c>
      <c r="AV176" s="334"/>
    </row>
    <row r="177" spans="2:48" ht="15.95" hidden="1" customHeight="1" x14ac:dyDescent="0.25">
      <c r="B177" s="1062"/>
      <c r="AV177" s="334"/>
    </row>
    <row r="178" spans="2:48" ht="15.95" hidden="1" customHeight="1" x14ac:dyDescent="0.25">
      <c r="B178" s="1062">
        <v>82</v>
      </c>
      <c r="AV178" s="334"/>
    </row>
    <row r="179" spans="2:48" ht="15.95" hidden="1" customHeight="1" x14ac:dyDescent="0.25">
      <c r="B179" s="1062"/>
      <c r="AV179" s="334"/>
    </row>
    <row r="180" spans="2:48" ht="15.95" hidden="1" customHeight="1" x14ac:dyDescent="0.25">
      <c r="B180" s="1062">
        <v>83</v>
      </c>
      <c r="AV180" s="334"/>
    </row>
    <row r="181" spans="2:48" ht="15.95" hidden="1" customHeight="1" x14ac:dyDescent="0.25">
      <c r="B181" s="1062"/>
      <c r="AV181" s="334"/>
    </row>
    <row r="182" spans="2:48" ht="15.95" hidden="1" customHeight="1" x14ac:dyDescent="0.25">
      <c r="B182" s="1062">
        <v>84</v>
      </c>
      <c r="AV182" s="334"/>
    </row>
    <row r="183" spans="2:48" ht="15.95" hidden="1" customHeight="1" x14ac:dyDescent="0.25">
      <c r="B183" s="1062"/>
      <c r="AV183" s="334"/>
    </row>
    <row r="184" spans="2:48" ht="15.95" hidden="1" customHeight="1" x14ac:dyDescent="0.25">
      <c r="B184" s="1062">
        <v>85</v>
      </c>
      <c r="AV184" s="334"/>
    </row>
    <row r="185" spans="2:48" ht="15.95" hidden="1" customHeight="1" x14ac:dyDescent="0.25">
      <c r="B185" s="1062"/>
      <c r="AV185" s="334"/>
    </row>
    <row r="186" spans="2:48" ht="15.95" hidden="1" customHeight="1" x14ac:dyDescent="0.25">
      <c r="B186" s="1062">
        <v>86</v>
      </c>
      <c r="AV186" s="334"/>
    </row>
    <row r="187" spans="2:48" ht="15.95" hidden="1" customHeight="1" x14ac:dyDescent="0.25">
      <c r="B187" s="1062"/>
      <c r="AV187" s="334"/>
    </row>
    <row r="188" spans="2:48" ht="15.95" hidden="1" customHeight="1" x14ac:dyDescent="0.25">
      <c r="B188" s="1062">
        <v>87</v>
      </c>
      <c r="AV188" s="334"/>
    </row>
    <row r="189" spans="2:48" ht="15.95" hidden="1" customHeight="1" x14ac:dyDescent="0.25">
      <c r="B189" s="1062"/>
      <c r="AV189" s="334"/>
    </row>
    <row r="190" spans="2:48" ht="15.95" hidden="1" customHeight="1" x14ac:dyDescent="0.25">
      <c r="B190" s="1062">
        <v>88</v>
      </c>
      <c r="AV190" s="334"/>
    </row>
    <row r="191" spans="2:48" ht="15.95" hidden="1" customHeight="1" x14ac:dyDescent="0.25">
      <c r="B191" s="1062"/>
      <c r="AV191" s="334"/>
    </row>
    <row r="192" spans="2:48" ht="15.95" hidden="1" customHeight="1" x14ac:dyDescent="0.25">
      <c r="B192" s="1062">
        <v>89</v>
      </c>
      <c r="AV192" s="334"/>
    </row>
    <row r="193" spans="2:53" ht="15.95" hidden="1" customHeight="1" x14ac:dyDescent="0.25">
      <c r="B193" s="1062"/>
      <c r="AV193" s="334"/>
    </row>
    <row r="194" spans="2:53" ht="15.95" hidden="1" customHeight="1" x14ac:dyDescent="0.25">
      <c r="B194" s="1062">
        <v>90</v>
      </c>
      <c r="AV194" s="334"/>
    </row>
    <row r="195" spans="2:53" ht="15.95" hidden="1" customHeight="1" x14ac:dyDescent="0.25">
      <c r="B195" s="1062"/>
      <c r="AV195" s="334"/>
    </row>
    <row r="196" spans="2:53" ht="15.95" hidden="1" customHeight="1" x14ac:dyDescent="0.25">
      <c r="B196" s="1062">
        <v>91</v>
      </c>
      <c r="AV196" s="334"/>
    </row>
    <row r="197" spans="2:53" ht="15.95" hidden="1" customHeight="1" x14ac:dyDescent="0.25">
      <c r="B197" s="1062"/>
      <c r="AV197" s="334"/>
    </row>
    <row r="198" spans="2:53" ht="15.95" hidden="1" customHeight="1" x14ac:dyDescent="0.25">
      <c r="B198" s="1062">
        <v>92</v>
      </c>
      <c r="AV198" s="334"/>
    </row>
    <row r="199" spans="2:53" ht="15.95" hidden="1" customHeight="1" x14ac:dyDescent="0.25">
      <c r="B199" s="1062"/>
      <c r="AV199" s="334"/>
    </row>
    <row r="200" spans="2:53" ht="15.95" customHeight="1" x14ac:dyDescent="0.25">
      <c r="B200" s="136" t="str">
        <f>FOOT1</f>
        <v>Ameren Missouri BizSavers program</v>
      </c>
      <c r="C200" s="136"/>
      <c r="D200" s="136"/>
      <c r="E200" s="136"/>
      <c r="F200" s="136"/>
      <c r="G200" s="136"/>
      <c r="H200" s="136"/>
      <c r="I200" s="136"/>
      <c r="J200" s="136"/>
      <c r="K200" s="136"/>
      <c r="L200" s="136"/>
      <c r="M200" s="729" t="str">
        <f>FOOTDISCLAIM</f>
        <v/>
      </c>
      <c r="N200" s="729"/>
      <c r="O200" s="729"/>
      <c r="P200" s="729"/>
      <c r="Q200" s="729"/>
      <c r="R200" s="729"/>
      <c r="S200" s="729"/>
      <c r="T200" s="729"/>
      <c r="U200" s="729"/>
      <c r="V200" s="729"/>
      <c r="W200" s="729"/>
      <c r="X200" s="729"/>
      <c r="Y200" s="729"/>
      <c r="Z200" s="729"/>
      <c r="AA200" s="729"/>
      <c r="AB200" s="729"/>
      <c r="AC200" s="729"/>
      <c r="AD200" s="729"/>
      <c r="AE200" s="729"/>
      <c r="AF200" s="729"/>
      <c r="AG200" s="729"/>
      <c r="AH200" s="136"/>
      <c r="AI200" s="136"/>
      <c r="AJ200" s="136"/>
      <c r="AK200" s="136"/>
      <c r="AL200" s="136"/>
      <c r="AM200" s="136"/>
      <c r="AN200" s="136"/>
      <c r="AO200" s="136"/>
      <c r="AP200" s="136"/>
      <c r="AQ200" s="136"/>
      <c r="AR200" s="300" t="str">
        <f>FOOT4</f>
        <v/>
      </c>
      <c r="AV200"/>
      <c r="AW200"/>
      <c r="AX200"/>
      <c r="AY200"/>
      <c r="AZ200"/>
      <c r="BA200"/>
    </row>
    <row r="201" spans="2:53" ht="15.95" customHeight="1" x14ac:dyDescent="0.25">
      <c r="B201" s="136" t="str">
        <f>FOOT2</f>
        <v>Toll-Free 866-941-7299</v>
      </c>
      <c r="C201" s="136"/>
      <c r="D201" s="136"/>
      <c r="E201" s="136"/>
      <c r="F201" s="136"/>
      <c r="G201" s="136"/>
      <c r="H201" s="136"/>
      <c r="I201" s="136"/>
      <c r="J201" s="136"/>
      <c r="K201" s="136"/>
      <c r="L201" s="136"/>
      <c r="M201" s="729"/>
      <c r="N201" s="729"/>
      <c r="O201" s="729"/>
      <c r="P201" s="729"/>
      <c r="Q201" s="729"/>
      <c r="R201" s="729"/>
      <c r="S201" s="729"/>
      <c r="T201" s="729"/>
      <c r="U201" s="729"/>
      <c r="V201" s="729"/>
      <c r="W201" s="729"/>
      <c r="X201" s="729"/>
      <c r="Y201" s="729"/>
      <c r="Z201" s="729"/>
      <c r="AA201" s="729"/>
      <c r="AB201" s="729"/>
      <c r="AC201" s="729"/>
      <c r="AD201" s="729"/>
      <c r="AE201" s="729"/>
      <c r="AF201" s="729"/>
      <c r="AG201" s="729"/>
      <c r="AH201" s="136"/>
      <c r="AI201" s="136"/>
      <c r="AJ201" s="136"/>
      <c r="AK201" s="136"/>
      <c r="AL201" s="136"/>
      <c r="AM201" s="136"/>
      <c r="AN201" s="136"/>
      <c r="AO201" s="136"/>
      <c r="AP201" s="136"/>
      <c r="AQ201" s="136"/>
      <c r="AR201" s="300" t="str">
        <f>FOOT5</f>
        <v/>
      </c>
      <c r="AV201"/>
      <c r="AW201"/>
      <c r="AX201"/>
      <c r="AY201"/>
      <c r="AZ201"/>
      <c r="BA201"/>
    </row>
    <row r="202" spans="2:53" ht="15.95" customHeight="1" x14ac:dyDescent="0.25">
      <c r="B202" s="138" t="str">
        <f>FOOT3</f>
        <v>BizSavers@ameren.com</v>
      </c>
      <c r="C202" s="136"/>
      <c r="D202" s="136"/>
      <c r="E202" s="136"/>
      <c r="F202" s="136"/>
      <c r="G202" s="136"/>
      <c r="H202" s="136"/>
      <c r="I202" s="136"/>
      <c r="J202" s="136"/>
      <c r="K202" s="136"/>
      <c r="L202" s="136"/>
      <c r="M202" s="139"/>
      <c r="N202" s="136"/>
      <c r="O202" s="136"/>
      <c r="P202" s="139"/>
      <c r="Q202" s="139"/>
      <c r="R202" s="139"/>
      <c r="S202" s="139"/>
      <c r="T202" s="139"/>
      <c r="U202" s="139"/>
      <c r="V202" s="139"/>
      <c r="W202" s="140" t="str">
        <f>VERSION</f>
        <v>New Construction v3.8.0</v>
      </c>
      <c r="X202" s="139"/>
      <c r="Y202" s="139"/>
      <c r="Z202" s="139"/>
      <c r="AA202" s="139"/>
      <c r="AB202" s="139"/>
      <c r="AC202" s="139"/>
      <c r="AD202" s="139"/>
      <c r="AE202" s="136"/>
      <c r="AF202" s="136"/>
      <c r="AG202" s="136"/>
      <c r="AH202" s="136"/>
      <c r="AI202" s="136"/>
      <c r="AJ202" s="136"/>
      <c r="AK202" s="136"/>
      <c r="AL202" s="136"/>
      <c r="AM202" s="136"/>
      <c r="AN202" s="136"/>
      <c r="AO202" s="136"/>
      <c r="AP202" s="136"/>
      <c r="AQ202" s="136"/>
      <c r="AR202" s="300" t="str">
        <f>FOOT6</f>
        <v>Product of TRC Companies</v>
      </c>
    </row>
    <row r="203" spans="2:53" ht="15" hidden="1" customHeight="1" x14ac:dyDescent="0.25"/>
  </sheetData>
  <sheetProtection algorithmName="SHA-512" hashValue="OsumiGNJJxbuxbd5xRIVqkdgglRAYQ7UiVyDfDqIZFH/2yKq+nWvCFSEL+N4lDBh8/RnBr6dwr63fS2a+lFusw==" saltValue="Wumqy7HP3xdEIyIq/O4PLg==" spinCount="100000" sheet="1" objects="1" scenarios="1" selectLockedCells="1"/>
  <mergeCells count="370">
    <mergeCell ref="BC32:BC33"/>
    <mergeCell ref="BC34:BC35"/>
    <mergeCell ref="BC14:BC15"/>
    <mergeCell ref="BC16:BC17"/>
    <mergeCell ref="BC18:BC19"/>
    <mergeCell ref="BC20:BC21"/>
    <mergeCell ref="BC22:BC23"/>
    <mergeCell ref="BC24:BC25"/>
    <mergeCell ref="BC26:BC27"/>
    <mergeCell ref="BC28:BC29"/>
    <mergeCell ref="BC30:BC31"/>
    <mergeCell ref="BB32:BB33"/>
    <mergeCell ref="BB34:BB35"/>
    <mergeCell ref="BB14:BB15"/>
    <mergeCell ref="BB16:BB17"/>
    <mergeCell ref="BB18:BB19"/>
    <mergeCell ref="BB20:BB21"/>
    <mergeCell ref="BB22:BB23"/>
    <mergeCell ref="BB24:BB25"/>
    <mergeCell ref="BB26:BB27"/>
    <mergeCell ref="BB28:BB29"/>
    <mergeCell ref="BB30:BB31"/>
    <mergeCell ref="AZ28:AZ29"/>
    <mergeCell ref="BA28:BA29"/>
    <mergeCell ref="AY34:AY35"/>
    <mergeCell ref="AZ34:AZ35"/>
    <mergeCell ref="BA34:BA35"/>
    <mergeCell ref="AY30:AY31"/>
    <mergeCell ref="AZ30:AZ31"/>
    <mergeCell ref="BA30:BA31"/>
    <mergeCell ref="AY32:AY33"/>
    <mergeCell ref="AZ32:AZ33"/>
    <mergeCell ref="BA32:BA33"/>
    <mergeCell ref="AO26:AQ27"/>
    <mergeCell ref="AO28:AQ29"/>
    <mergeCell ref="AO30:AQ31"/>
    <mergeCell ref="AO32:AQ33"/>
    <mergeCell ref="AO34:AQ35"/>
    <mergeCell ref="AU26:AU27"/>
    <mergeCell ref="AV26:AV27"/>
    <mergeCell ref="AW26:AW27"/>
    <mergeCell ref="AX26:AX27"/>
    <mergeCell ref="AU30:AU31"/>
    <mergeCell ref="AV30:AV31"/>
    <mergeCell ref="AW30:AW31"/>
    <mergeCell ref="AX30:AX31"/>
    <mergeCell ref="AU34:AU35"/>
    <mergeCell ref="AV34:AV35"/>
    <mergeCell ref="AW34:AW35"/>
    <mergeCell ref="AX34:AX35"/>
    <mergeCell ref="AU28:AU29"/>
    <mergeCell ref="AV28:AV29"/>
    <mergeCell ref="AW28:AW29"/>
    <mergeCell ref="AX28:AX29"/>
    <mergeCell ref="AU32:AU33"/>
    <mergeCell ref="AV32:AV33"/>
    <mergeCell ref="AW32:AW33"/>
    <mergeCell ref="AH26:AJ27"/>
    <mergeCell ref="AH28:AJ29"/>
    <mergeCell ref="AH30:AJ31"/>
    <mergeCell ref="AH32:AJ33"/>
    <mergeCell ref="AH34:AJ35"/>
    <mergeCell ref="AK26:AN27"/>
    <mergeCell ref="AK28:AN29"/>
    <mergeCell ref="AK30:AN31"/>
    <mergeCell ref="AK32:AN33"/>
    <mergeCell ref="AK34:AN35"/>
    <mergeCell ref="AD26:AE27"/>
    <mergeCell ref="AD28:AE29"/>
    <mergeCell ref="AD30:AE31"/>
    <mergeCell ref="AD32:AE33"/>
    <mergeCell ref="AD34:AE35"/>
    <mergeCell ref="AF26:AG27"/>
    <mergeCell ref="AF28:AG29"/>
    <mergeCell ref="Q26:R27"/>
    <mergeCell ref="Q28:R29"/>
    <mergeCell ref="Q30:R31"/>
    <mergeCell ref="Q32:R33"/>
    <mergeCell ref="Q34:R35"/>
    <mergeCell ref="Z34:AA35"/>
    <mergeCell ref="AB26:AC27"/>
    <mergeCell ref="AB28:AC29"/>
    <mergeCell ref="AB30:AC31"/>
    <mergeCell ref="AB32:AC33"/>
    <mergeCell ref="AB34:AC35"/>
    <mergeCell ref="AF30:AG31"/>
    <mergeCell ref="AF32:AG33"/>
    <mergeCell ref="AF34:AG35"/>
    <mergeCell ref="S34:T35"/>
    <mergeCell ref="U26:Y27"/>
    <mergeCell ref="U28:Y29"/>
    <mergeCell ref="U30:Y31"/>
    <mergeCell ref="U32:Y33"/>
    <mergeCell ref="U34:Y35"/>
    <mergeCell ref="Z26:AA27"/>
    <mergeCell ref="Z28:AA29"/>
    <mergeCell ref="Z30:AA31"/>
    <mergeCell ref="Z32:AA33"/>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B182:B183"/>
    <mergeCell ref="B160:B161"/>
    <mergeCell ref="B138:B139"/>
    <mergeCell ref="B158:B15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0:B141"/>
    <mergeCell ref="B142:B143"/>
    <mergeCell ref="B144:B145"/>
    <mergeCell ref="B146:B147"/>
    <mergeCell ref="B148:B149"/>
    <mergeCell ref="B150:B151"/>
    <mergeCell ref="B152:B153"/>
    <mergeCell ref="B154:B155"/>
    <mergeCell ref="B156:B157"/>
    <mergeCell ref="B112:B113"/>
    <mergeCell ref="B90:B91"/>
    <mergeCell ref="B92:B93"/>
    <mergeCell ref="B94:B95"/>
    <mergeCell ref="B96:B97"/>
    <mergeCell ref="B98:B99"/>
    <mergeCell ref="B100:B101"/>
    <mergeCell ref="B102:B103"/>
    <mergeCell ref="B104:B105"/>
    <mergeCell ref="B106:B107"/>
    <mergeCell ref="B108:B109"/>
    <mergeCell ref="B110:B111"/>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S26:T27"/>
    <mergeCell ref="S28:T29"/>
    <mergeCell ref="S30:T31"/>
    <mergeCell ref="S32:T33"/>
    <mergeCell ref="B38:B39"/>
    <mergeCell ref="M200:AG201"/>
    <mergeCell ref="B16:B17"/>
    <mergeCell ref="R11:U11"/>
    <mergeCell ref="V11:Y11"/>
    <mergeCell ref="Z11:AC11"/>
    <mergeCell ref="B40:B41"/>
    <mergeCell ref="B18:B19"/>
    <mergeCell ref="B20:B21"/>
    <mergeCell ref="B22:B23"/>
    <mergeCell ref="B24:B25"/>
    <mergeCell ref="B26:B27"/>
    <mergeCell ref="B28:B29"/>
    <mergeCell ref="B64:B65"/>
    <mergeCell ref="B42:B43"/>
    <mergeCell ref="B44:B45"/>
    <mergeCell ref="B46:B47"/>
    <mergeCell ref="B48:B49"/>
    <mergeCell ref="B50:B51"/>
    <mergeCell ref="B52:B53"/>
    <mergeCell ref="B30:B31"/>
    <mergeCell ref="B32:B33"/>
    <mergeCell ref="B34:B35"/>
    <mergeCell ref="B36:B37"/>
    <mergeCell ref="C26:E27"/>
    <mergeCell ref="C28:E29"/>
    <mergeCell ref="C30:E31"/>
    <mergeCell ref="C32:E33"/>
    <mergeCell ref="C34:E35"/>
    <mergeCell ref="AY26:AY27"/>
    <mergeCell ref="AZ14:AZ15"/>
    <mergeCell ref="BA14:BA15"/>
    <mergeCell ref="AV18:AV19"/>
    <mergeCell ref="AW18:AW19"/>
    <mergeCell ref="AX18:AX19"/>
    <mergeCell ref="AY14:AY15"/>
    <mergeCell ref="AY16:AY17"/>
    <mergeCell ref="AY18:AY19"/>
    <mergeCell ref="AX14:AX15"/>
    <mergeCell ref="AZ16:AZ17"/>
    <mergeCell ref="BA16:BA17"/>
    <mergeCell ref="AV16:AV17"/>
    <mergeCell ref="AV14:AV15"/>
    <mergeCell ref="AW14:AW15"/>
    <mergeCell ref="AW16:AW17"/>
    <mergeCell ref="AX16:AX17"/>
    <mergeCell ref="BA18:BA19"/>
    <mergeCell ref="AZ26:AZ27"/>
    <mergeCell ref="BA26:BA27"/>
    <mergeCell ref="BA20:BA21"/>
    <mergeCell ref="BA22:BA23"/>
    <mergeCell ref="BA24:BA25"/>
    <mergeCell ref="AW22:AW23"/>
    <mergeCell ref="AU54:AU55"/>
    <mergeCell ref="AV54:AV55"/>
    <mergeCell ref="AW54:AW55"/>
    <mergeCell ref="AX32:AX33"/>
    <mergeCell ref="AY28:AY29"/>
    <mergeCell ref="AX54:AX55"/>
    <mergeCell ref="AY54:AY55"/>
    <mergeCell ref="AX56:AX57"/>
    <mergeCell ref="AY56:AY57"/>
    <mergeCell ref="AU56:AU57"/>
    <mergeCell ref="AV56:AV57"/>
    <mergeCell ref="AW56:AW57"/>
    <mergeCell ref="AU14:AU15"/>
    <mergeCell ref="AK22:AN23"/>
    <mergeCell ref="AO22:AQ23"/>
    <mergeCell ref="Z24:AA25"/>
    <mergeCell ref="AB24:AC25"/>
    <mergeCell ref="Z14:AA15"/>
    <mergeCell ref="AB14:AC15"/>
    <mergeCell ref="Z18:AA19"/>
    <mergeCell ref="AB18:AC19"/>
    <mergeCell ref="AD18:AE19"/>
    <mergeCell ref="AD24:AE25"/>
    <mergeCell ref="AD22:AE23"/>
    <mergeCell ref="AB16:AC17"/>
    <mergeCell ref="AX22:AX23"/>
    <mergeCell ref="AY22:AY23"/>
    <mergeCell ref="AU24:AU25"/>
    <mergeCell ref="AV24:AV25"/>
    <mergeCell ref="AW24:AW25"/>
    <mergeCell ref="AX24:AX25"/>
    <mergeCell ref="AU16:AU17"/>
    <mergeCell ref="AU18:AU19"/>
    <mergeCell ref="AF18:AG19"/>
    <mergeCell ref="AH18:AJ19"/>
    <mergeCell ref="AK18:AN19"/>
    <mergeCell ref="AO18:AQ19"/>
    <mergeCell ref="AF24:AG25"/>
    <mergeCell ref="AH24:AJ25"/>
    <mergeCell ref="AK24:AN25"/>
    <mergeCell ref="AO24:AQ25"/>
    <mergeCell ref="AF22:AG23"/>
    <mergeCell ref="AH22:AJ23"/>
    <mergeCell ref="AQ1:AR1"/>
    <mergeCell ref="AQ2:AR3"/>
    <mergeCell ref="AH20:AJ21"/>
    <mergeCell ref="AK20:AN21"/>
    <mergeCell ref="AO20:AQ21"/>
    <mergeCell ref="AH14:AJ15"/>
    <mergeCell ref="AK14:AN15"/>
    <mergeCell ref="AO14:AQ15"/>
    <mergeCell ref="AF16:AG17"/>
    <mergeCell ref="AH16:AJ17"/>
    <mergeCell ref="AK16:AN17"/>
    <mergeCell ref="AO16:AQ17"/>
    <mergeCell ref="AD14:AG14"/>
    <mergeCell ref="AD15:AE15"/>
    <mergeCell ref="AH1:AK1"/>
    <mergeCell ref="AL1:AP1"/>
    <mergeCell ref="AH2:AK3"/>
    <mergeCell ref="AL2:AP3"/>
    <mergeCell ref="AF15:AG15"/>
    <mergeCell ref="AD16:AE17"/>
    <mergeCell ref="AD20:AE21"/>
    <mergeCell ref="AF20:AG21"/>
    <mergeCell ref="Q22:R23"/>
    <mergeCell ref="S22:T23"/>
    <mergeCell ref="Z20:AA21"/>
    <mergeCell ref="AB20:AC21"/>
    <mergeCell ref="U20:Y21"/>
    <mergeCell ref="F20:J21"/>
    <mergeCell ref="F22:J23"/>
    <mergeCell ref="M20:P21"/>
    <mergeCell ref="M22:P23"/>
    <mergeCell ref="K22:L23"/>
    <mergeCell ref="U24:Y25"/>
    <mergeCell ref="AZ18:AZ19"/>
    <mergeCell ref="AZ20:AZ21"/>
    <mergeCell ref="AZ22:AZ23"/>
    <mergeCell ref="AZ24:AZ25"/>
    <mergeCell ref="S20:T21"/>
    <mergeCell ref="C20:E21"/>
    <mergeCell ref="C22:E23"/>
    <mergeCell ref="C24:E25"/>
    <mergeCell ref="Z22:AA23"/>
    <mergeCell ref="U22:Y23"/>
    <mergeCell ref="Q24:R25"/>
    <mergeCell ref="S24:T25"/>
    <mergeCell ref="AB22:AC23"/>
    <mergeCell ref="AY24:AY25"/>
    <mergeCell ref="AU20:AU21"/>
    <mergeCell ref="AV20:AV21"/>
    <mergeCell ref="AW20:AW21"/>
    <mergeCell ref="AX20:AX21"/>
    <mergeCell ref="AY20:AY21"/>
    <mergeCell ref="AU22:AU23"/>
    <mergeCell ref="AV22:AV23"/>
    <mergeCell ref="Q20:R21"/>
    <mergeCell ref="K20:L21"/>
    <mergeCell ref="F14:J15"/>
    <mergeCell ref="K14:L15"/>
    <mergeCell ref="M14:P15"/>
    <mergeCell ref="F18:J19"/>
    <mergeCell ref="K18:L19"/>
    <mergeCell ref="M18:P19"/>
    <mergeCell ref="R9:AC10"/>
    <mergeCell ref="C18:E19"/>
    <mergeCell ref="Q18:R19"/>
    <mergeCell ref="S18:T19"/>
    <mergeCell ref="U18:Y19"/>
    <mergeCell ref="R12:U13"/>
    <mergeCell ref="V12:Y13"/>
    <mergeCell ref="Z12:AC13"/>
    <mergeCell ref="C14:E15"/>
    <mergeCell ref="Q14:R15"/>
    <mergeCell ref="S14:T15"/>
    <mergeCell ref="U14:Y15"/>
    <mergeCell ref="U16:Y17"/>
    <mergeCell ref="S16:T17"/>
    <mergeCell ref="Q16:R17"/>
    <mergeCell ref="C16:E17"/>
    <mergeCell ref="Z16:AA17"/>
    <mergeCell ref="K24:L25"/>
    <mergeCell ref="K26:L27"/>
    <mergeCell ref="K28:L29"/>
    <mergeCell ref="K30:L31"/>
    <mergeCell ref="K32:L33"/>
    <mergeCell ref="K34:L35"/>
    <mergeCell ref="F16:J17"/>
    <mergeCell ref="K16:L17"/>
    <mergeCell ref="M24:P25"/>
    <mergeCell ref="M26:P27"/>
    <mergeCell ref="M28:P29"/>
    <mergeCell ref="M30:P31"/>
    <mergeCell ref="M32:P33"/>
    <mergeCell ref="M34:P35"/>
    <mergeCell ref="F24:J25"/>
    <mergeCell ref="F26:J27"/>
    <mergeCell ref="F28:J29"/>
    <mergeCell ref="F30:J31"/>
    <mergeCell ref="F32:J33"/>
    <mergeCell ref="F34:J35"/>
    <mergeCell ref="M16:P17"/>
  </mergeCells>
  <conditionalFormatting sqref="AK16 AK18 AK20 AK22 AK24 AK26 AK28 AK30 AK32 AK34">
    <cfRule type="expression" dxfId="199" priority="70">
      <formula>ISNUMBER(AK16)=FALSE</formula>
    </cfRule>
  </conditionalFormatting>
  <conditionalFormatting sqref="Q20:AG35 U18:AG19 Q16:AG17">
    <cfRule type="expression" dxfId="198" priority="63">
      <formula>AND(ISBLANK($F16)=FALSE,ISBLANK(Q16)=TRUE)</formula>
    </cfRule>
  </conditionalFormatting>
  <conditionalFormatting sqref="M18 Q18:T19 M16 M22 M26 M30 M34 M20 M24 M28 M32">
    <cfRule type="expression" dxfId="197" priority="56">
      <formula>AND(ISBLANK($F16)=FALSE,ISBLANK(M16)=TRUE)</formula>
    </cfRule>
  </conditionalFormatting>
  <conditionalFormatting sqref="AQ2:AR3">
    <cfRule type="cellIs" dxfId="196" priority="3" operator="equal">
      <formula>1</formula>
    </cfRule>
    <cfRule type="cellIs" dxfId="195" priority="4" operator="between">
      <formula>0.51</formula>
      <formula>0.99</formula>
    </cfRule>
    <cfRule type="cellIs" dxfId="194" priority="5" operator="lessThanOrEqual">
      <formula>0.5</formula>
    </cfRule>
  </conditionalFormatting>
  <conditionalFormatting sqref="AH2 AL2">
    <cfRule type="expression" dxfId="193" priority="1">
      <formula>OR(PROJSTATUS=PROJSTATELI,PROJSTATUS=PROJSTATEXP,PROJSTATUS=PROJSTATUNDER)</formula>
    </cfRule>
    <cfRule type="expression" dxfId="192" priority="2">
      <formula>PROJSTATUS=PROJSTATFILLINITIAL</formula>
    </cfRule>
    <cfRule type="expression" dxfId="191" priority="6">
      <formula>PROJSTATUS=PROJSTATPREAPPROVE</formula>
    </cfRule>
    <cfRule type="expression" dxfId="190" priority="7">
      <formula>OR(PROJSTATUS=PROJSTATSSUBMITINITIAL,PROJSTATUS=PROJSTATREVIEW)</formula>
    </cfRule>
  </conditionalFormatting>
  <dataValidations count="8">
    <dataValidation type="decimal" allowBlank="1" showInputMessage="1" showErrorMessage="1" error="Please enter a numerical value" sqref="Z16 Z32 Q16 Z18 Z34 Q20 Q22 Q24 Q26 Q28 Q30 Q32 Q34 Q18 Z20 Z22 Z24 Z26 Z28 Z30" xr:uid="{00000000-0002-0000-1D00-000000000000}">
      <formula1>0</formula1>
      <formula2>999999</formula2>
    </dataValidation>
    <dataValidation type="decimal" allowBlank="1" showInputMessage="1" showErrorMessage="1" prompt="Enter the kWh use per unit of equipment in one year." sqref="AB16 AB32 S16 AB34 S20 S22 S24 AB18 S26 S28 S30 S32 S34 S18 AB20 AB22 AB24 AB26 AB28 AB30" xr:uid="{00000000-0002-0000-1D00-000001000000}">
      <formula1>0</formula1>
      <formula2>999999999</formula2>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xr:uid="{00000000-0002-0000-1D00-000002000000}">
      <formula1>IF(ISBLANK(F16),NONPRESCPROGRAM,"")</formula1>
    </dataValidation>
    <dataValidation type="list" allowBlank="1" showInputMessage="1" showErrorMessage="1" prompt="Select the measure type that is closest to the selections in this list. If not listed, select &quot;Others&quot;" sqref="F18 F34 F32 F20 F22 F24 F26 F28 F30 F16" xr:uid="{00000000-0002-0000-1D00-000003000000}">
      <formula1>CMEHVACDESC</formula1>
    </dataValidation>
    <dataValidation type="list" allowBlank="1" showInputMessage="1" showErrorMessage="1" sqref="AW16:AW35" xr:uid="{00000000-0002-0000-1D00-000004000000}">
      <formula1>ENDUSECAT</formula1>
    </dataValidation>
    <dataValidation type="decimal" allowBlank="1" showInputMessage="1" showErrorMessage="1" error="Please enter a numerical value" prompt="NOTE: This is the TOTAL Material Cost of the measure, not a per UNIT basis._x000a__x000a_For installation of failed equipment or new equipment not replacing old, this is the total cost difference between purchasing the baseline equipment vs. what is being installed." sqref="AD16:AE35" xr:uid="{00000000-0002-0000-1D00-000005000000}">
      <formula1>0</formula1>
      <formula2>999999999</formula2>
    </dataValidation>
    <dataValidation type="decimal" allowBlank="1" showInputMessage="1" showErrorMessage="1" error="Please enter a numerical value" prompt="NOTE: This is the TOTAL Labor Cost of the measure, not a per UNIT basis._x000a__x000a_For installation of failed equipment or new equipment not replacing old, this is the total cost difference between installing the baseline equipment vs. what is being installed." sqref="AF16:AG35" xr:uid="{00000000-0002-0000-1D00-000006000000}">
      <formula1>0</formula1>
      <formula2>999999999</formula2>
    </dataValidation>
    <dataValidation type="list" allowBlank="1" showInputMessage="1" showErrorMessage="1" prompt="Please select whether the achieved savings is Cooling or HVAC._x000a__x000a_In general, for savings to be designated Cooling, usage must be confined to chillers, or to fans and controls in use during the cooling season. Other usage is designated as HVAC." sqref="K16:L35" xr:uid="{00000000-0002-0000-1D00-000007000000}">
      <formula1>HVACENDUSETYPE</formula1>
    </dataValidation>
  </dataValidations>
  <hyperlinks>
    <hyperlink ref="B202" r:id="rId1" display="NIPSCO.Savings@LMCO.com" xr:uid="{00000000-0004-0000-1D00-000000000000}"/>
  </hyperlinks>
  <pageMargins left="0.25" right="0.25" top="0.25" bottom="0.25" header="0.25" footer="0.25"/>
  <pageSetup scale="62" fitToHeight="0" orientation="landscape"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31BCF-1CE4-4DC3-8194-BD0AED46669C}">
  <sheetPr codeName="Sheet3"/>
  <dimension ref="A1:BF202"/>
  <sheetViews>
    <sheetView showGridLines="0" showRowColHeaders="0" zoomScale="85" zoomScaleNormal="85" workbookViewId="0">
      <selection activeCell="D31" sqref="D31:G32"/>
    </sheetView>
  </sheetViews>
  <sheetFormatPr defaultColWidth="0" defaultRowHeight="15.95" customHeight="1" zeroHeight="1" x14ac:dyDescent="0.25"/>
  <cols>
    <col min="1" max="45" width="4.7109375" customWidth="1"/>
    <col min="46" max="46" width="4.7109375" style="63" hidden="1" customWidth="1"/>
    <col min="47" max="71" width="9.140625" hidden="1" customWidth="1"/>
    <col min="72" max="16384" width="9.140625" hidden="1"/>
  </cols>
  <sheetData>
    <row r="1" spans="1:58" ht="15.95" customHeight="1" x14ac:dyDescent="0.3">
      <c r="A1" s="63"/>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711" t="s">
        <v>494</v>
      </c>
      <c r="AI1" s="712"/>
      <c r="AJ1" s="712"/>
      <c r="AK1" s="712"/>
      <c r="AL1" s="723" t="s">
        <v>911</v>
      </c>
      <c r="AM1" s="723"/>
      <c r="AN1" s="723"/>
      <c r="AO1" s="723"/>
      <c r="AP1" s="723"/>
      <c r="AQ1" s="717" t="s">
        <v>499</v>
      </c>
      <c r="AR1" s="718"/>
      <c r="AS1" s="135"/>
      <c r="AT1" s="135"/>
    </row>
    <row r="2" spans="1:58" ht="15.95" customHeight="1" x14ac:dyDescent="0.25">
      <c r="A2" s="63"/>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713" t="str">
        <f ca="1">INCENSTATUS</f>
        <v>---</v>
      </c>
      <c r="AI2" s="714"/>
      <c r="AJ2" s="714"/>
      <c r="AK2" s="714"/>
      <c r="AL2" s="724" t="str">
        <f ca="1">PROJSTATUS</f>
        <v>Please Complete Initial Application</v>
      </c>
      <c r="AM2" s="724"/>
      <c r="AN2" s="724"/>
      <c r="AO2" s="724"/>
      <c r="AP2" s="724"/>
      <c r="AQ2" s="719">
        <f ca="1">PROGRESSSTATUS</f>
        <v>0</v>
      </c>
      <c r="AR2" s="720"/>
      <c r="AS2" s="135"/>
      <c r="AT2" s="135"/>
    </row>
    <row r="3" spans="1:58" ht="15.95" customHeight="1" x14ac:dyDescent="0.25">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715"/>
      <c r="AI3" s="716"/>
      <c r="AJ3" s="716"/>
      <c r="AK3" s="716"/>
      <c r="AL3" s="725"/>
      <c r="AM3" s="725"/>
      <c r="AN3" s="725"/>
      <c r="AO3" s="725"/>
      <c r="AP3" s="725"/>
      <c r="AQ3" s="721"/>
      <c r="AR3" s="722"/>
      <c r="AS3" s="135"/>
      <c r="AT3" s="135"/>
    </row>
    <row r="4" spans="1:58" ht="15.95" customHeight="1" x14ac:dyDescent="0.25">
      <c r="A4" s="63"/>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135"/>
      <c r="AT4" s="135"/>
    </row>
    <row r="5" spans="1:58" ht="15.95" customHeight="1" x14ac:dyDescent="0.25">
      <c r="A5" s="63"/>
      <c r="B5" s="63"/>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135"/>
      <c r="AT5" s="135"/>
    </row>
    <row r="6" spans="1:58" ht="15.95" customHeight="1" x14ac:dyDescent="0.25">
      <c r="A6" s="63"/>
      <c r="B6" s="63"/>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135"/>
      <c r="AT6" s="135"/>
    </row>
    <row r="7" spans="1:58" ht="15.95" customHeight="1" x14ac:dyDescent="0.25">
      <c r="A7" s="63"/>
      <c r="B7" s="63"/>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135"/>
      <c r="AT7" s="135"/>
    </row>
    <row r="8" spans="1:58" ht="15.95" customHeight="1" x14ac:dyDescent="0.25">
      <c r="A8" s="63"/>
      <c r="B8" s="63"/>
      <c r="C8" s="63"/>
      <c r="D8" s="63"/>
      <c r="E8" s="63"/>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135"/>
      <c r="AT8" s="135"/>
    </row>
    <row r="9" spans="1:58" ht="15.95" customHeight="1" x14ac:dyDescent="0.25">
      <c r="A9" s="63"/>
      <c r="B9" s="135"/>
      <c r="R9" s="971" t="str">
        <f>CONCATENATE(M4S2," ","Summary")</f>
        <v>LPD-Exempt Interior Lighting Summary</v>
      </c>
      <c r="S9" s="971"/>
      <c r="T9" s="971"/>
      <c r="U9" s="971"/>
      <c r="V9" s="971"/>
      <c r="W9" s="971"/>
      <c r="X9" s="971"/>
      <c r="Y9" s="971"/>
      <c r="Z9" s="971"/>
      <c r="AA9" s="971"/>
      <c r="AB9" s="971"/>
      <c r="AC9" s="971"/>
      <c r="AR9" s="135"/>
      <c r="AS9" s="135"/>
      <c r="AT9" s="135"/>
    </row>
    <row r="10" spans="1:58" ht="15.95" customHeight="1" x14ac:dyDescent="0.25">
      <c r="A10" s="63"/>
      <c r="B10" s="135"/>
      <c r="C10" s="63"/>
      <c r="R10" s="971"/>
      <c r="S10" s="971"/>
      <c r="T10" s="971"/>
      <c r="U10" s="971"/>
      <c r="V10" s="971"/>
      <c r="W10" s="971"/>
      <c r="X10" s="971"/>
      <c r="Y10" s="971"/>
      <c r="Z10" s="971"/>
      <c r="AA10" s="971"/>
      <c r="AB10" s="971"/>
      <c r="AC10" s="971"/>
      <c r="AR10" s="135"/>
      <c r="AS10" s="135"/>
      <c r="AT10" s="135"/>
    </row>
    <row r="11" spans="1:58" ht="15.95" customHeight="1" x14ac:dyDescent="0.25">
      <c r="A11" s="63"/>
      <c r="B11" s="135"/>
      <c r="H11" s="63"/>
      <c r="R11" s="1007" t="s">
        <v>69</v>
      </c>
      <c r="S11" s="1007"/>
      <c r="T11" s="1007"/>
      <c r="U11" s="1007"/>
      <c r="V11" s="1007" t="s">
        <v>70</v>
      </c>
      <c r="W11" s="1007"/>
      <c r="X11" s="1007"/>
      <c r="Y11" s="1007"/>
      <c r="Z11" s="1007" t="s">
        <v>71</v>
      </c>
      <c r="AA11" s="1007"/>
      <c r="AB11" s="1007"/>
      <c r="AC11" s="1007"/>
      <c r="AR11" s="135"/>
      <c r="AS11" s="135"/>
      <c r="AT11" s="135"/>
    </row>
    <row r="12" spans="1:58" ht="15.95" customHeight="1" x14ac:dyDescent="0.25">
      <c r="A12" s="63"/>
      <c r="B12" s="135"/>
      <c r="R12" s="972">
        <f>SUM(AO18:AQ25)</f>
        <v>0</v>
      </c>
      <c r="S12" s="972"/>
      <c r="T12" s="972"/>
      <c r="U12" s="972"/>
      <c r="V12" s="972">
        <f>SUM(AU18:AU25)</f>
        <v>0</v>
      </c>
      <c r="W12" s="972"/>
      <c r="X12" s="972"/>
      <c r="Y12" s="972"/>
      <c r="Z12" s="1008">
        <f>SUM(AL18:AN25)</f>
        <v>0</v>
      </c>
      <c r="AA12" s="1008"/>
      <c r="AB12" s="1008"/>
      <c r="AC12" s="1008"/>
      <c r="AR12" s="135"/>
      <c r="AS12" s="135"/>
      <c r="AT12" s="135"/>
    </row>
    <row r="13" spans="1:58" ht="15.95" customHeight="1" x14ac:dyDescent="0.25">
      <c r="A13" s="63"/>
      <c r="B13" s="135"/>
      <c r="R13" s="972"/>
      <c r="S13" s="972"/>
      <c r="T13" s="972"/>
      <c r="U13" s="972"/>
      <c r="V13" s="972"/>
      <c r="W13" s="972"/>
      <c r="X13" s="972"/>
      <c r="Y13" s="972"/>
      <c r="Z13" s="1008"/>
      <c r="AA13" s="1008"/>
      <c r="AB13" s="1008"/>
      <c r="AC13" s="1008"/>
      <c r="AR13" s="135"/>
      <c r="AS13" s="135"/>
      <c r="AT13" s="135"/>
    </row>
    <row r="14" spans="1:58" ht="15.95" customHeight="1" x14ac:dyDescent="0.25">
      <c r="A14" s="63"/>
      <c r="B14" s="63"/>
      <c r="AR14" s="63"/>
      <c r="AS14" s="63"/>
    </row>
    <row r="15" spans="1:58" ht="15.95" customHeight="1" thickBot="1" x14ac:dyDescent="0.3">
      <c r="A15" s="63"/>
      <c r="B15" s="63"/>
      <c r="C15" s="1320" t="s">
        <v>2266</v>
      </c>
      <c r="D15" s="1320"/>
      <c r="E15" s="1320"/>
      <c r="F15" s="1320"/>
      <c r="G15" s="1320"/>
      <c r="H15" s="1320"/>
      <c r="I15" s="1320"/>
      <c r="J15" s="1320"/>
      <c r="K15" s="1320"/>
      <c r="L15" s="1320"/>
      <c r="M15" s="566"/>
      <c r="N15" s="567"/>
      <c r="O15" s="1321" t="s">
        <v>2182</v>
      </c>
      <c r="P15" s="1320"/>
      <c r="Q15" s="1320"/>
      <c r="R15" s="1320"/>
      <c r="S15" s="1320"/>
      <c r="T15" s="1320"/>
      <c r="U15" s="1320"/>
      <c r="V15" s="1320"/>
      <c r="W15" s="1320"/>
      <c r="X15" s="1320"/>
      <c r="Y15" s="1320"/>
      <c r="Z15" s="1320"/>
      <c r="AA15" s="1320"/>
      <c r="AB15" s="1320"/>
      <c r="AC15" s="1320"/>
      <c r="AD15" s="1320"/>
      <c r="AE15" s="16"/>
      <c r="AF15" s="1321" t="s">
        <v>103</v>
      </c>
      <c r="AG15" s="1320"/>
      <c r="AH15" s="1320"/>
      <c r="AI15" s="1322"/>
      <c r="AJ15" s="1321" t="s">
        <v>2183</v>
      </c>
      <c r="AK15" s="1320"/>
      <c r="AL15" s="1320"/>
      <c r="AM15" s="1320"/>
      <c r="AN15" s="1320"/>
      <c r="AO15" s="1320"/>
      <c r="AP15" s="1320"/>
      <c r="AQ15" s="1320"/>
      <c r="AR15" s="63"/>
      <c r="AS15" s="63"/>
      <c r="AU15" s="674"/>
      <c r="AV15" s="674"/>
      <c r="AW15" s="674"/>
      <c r="AX15" s="674"/>
      <c r="AY15" s="1153" t="s">
        <v>2205</v>
      </c>
      <c r="AZ15" s="1153"/>
      <c r="BA15" s="674"/>
      <c r="BB15" s="674"/>
      <c r="BC15" s="674"/>
      <c r="BD15" s="674"/>
      <c r="BE15" s="674"/>
      <c r="BF15" s="674"/>
    </row>
    <row r="16" spans="1:58" ht="15.95" customHeight="1" x14ac:dyDescent="0.25">
      <c r="A16" s="63"/>
      <c r="B16" s="63"/>
      <c r="C16" s="1315" t="s">
        <v>2184</v>
      </c>
      <c r="D16" s="1315"/>
      <c r="E16" s="1333" t="s">
        <v>2185</v>
      </c>
      <c r="F16" s="1333"/>
      <c r="G16" s="1333"/>
      <c r="H16" s="1333" t="s">
        <v>2186</v>
      </c>
      <c r="I16" s="1333"/>
      <c r="J16" s="1333"/>
      <c r="K16" s="1333" t="s">
        <v>2187</v>
      </c>
      <c r="L16" s="1333"/>
      <c r="M16" s="1333" t="s">
        <v>2188</v>
      </c>
      <c r="N16" s="1333"/>
      <c r="O16" s="1315" t="s">
        <v>2189</v>
      </c>
      <c r="P16" s="1315"/>
      <c r="Q16" s="1315"/>
      <c r="R16" s="1315" t="s">
        <v>2190</v>
      </c>
      <c r="S16" s="1315"/>
      <c r="T16" s="1315"/>
      <c r="U16" s="1315" t="s">
        <v>2191</v>
      </c>
      <c r="V16" s="1315"/>
      <c r="W16" s="1316" t="s">
        <v>2192</v>
      </c>
      <c r="X16" s="1317"/>
      <c r="Y16" s="1315" t="s">
        <v>2188</v>
      </c>
      <c r="Z16" s="1315"/>
      <c r="AA16" s="1315" t="s">
        <v>2193</v>
      </c>
      <c r="AB16" s="1315"/>
      <c r="AC16" s="1315"/>
      <c r="AD16" s="1315" t="s">
        <v>2155</v>
      </c>
      <c r="AE16" s="1313"/>
      <c r="AF16" s="1313" t="s">
        <v>2194</v>
      </c>
      <c r="AG16" s="1313"/>
      <c r="AH16" s="1313" t="s">
        <v>1321</v>
      </c>
      <c r="AI16" s="1313"/>
      <c r="AJ16" s="1313" t="s">
        <v>1618</v>
      </c>
      <c r="AK16" s="1313"/>
      <c r="AL16" s="1313" t="s">
        <v>93</v>
      </c>
      <c r="AM16" s="1313"/>
      <c r="AN16" s="1313"/>
      <c r="AO16" s="1313" t="s">
        <v>494</v>
      </c>
      <c r="AP16" s="1313"/>
      <c r="AQ16" s="1313"/>
      <c r="AR16" s="63"/>
      <c r="AS16" s="63"/>
      <c r="AU16" s="1153" t="s">
        <v>216</v>
      </c>
      <c r="AV16" s="1153" t="s">
        <v>217</v>
      </c>
      <c r="AW16" s="1153" t="s">
        <v>2206</v>
      </c>
      <c r="AX16" s="1153" t="s">
        <v>2160</v>
      </c>
      <c r="AY16" s="1153" t="s">
        <v>2207</v>
      </c>
      <c r="AZ16" s="1153" t="s">
        <v>2208</v>
      </c>
      <c r="BA16" s="1153" t="s">
        <v>1404</v>
      </c>
      <c r="BB16" s="1153" t="s">
        <v>141</v>
      </c>
      <c r="BC16" s="1153" t="s">
        <v>1618</v>
      </c>
      <c r="BD16" s="1153" t="s">
        <v>133</v>
      </c>
      <c r="BE16" s="1153" t="s">
        <v>521</v>
      </c>
      <c r="BF16" s="1153" t="s">
        <v>2209</v>
      </c>
    </row>
    <row r="17" spans="1:58" ht="15.95" customHeight="1" thickBot="1" x14ac:dyDescent="0.3">
      <c r="A17" s="63"/>
      <c r="B17" s="63"/>
      <c r="C17" s="1314"/>
      <c r="D17" s="1314"/>
      <c r="E17" s="1314"/>
      <c r="F17" s="1314"/>
      <c r="G17" s="1314"/>
      <c r="H17" s="1314"/>
      <c r="I17" s="1314"/>
      <c r="J17" s="1314"/>
      <c r="K17" s="1314"/>
      <c r="L17" s="1314"/>
      <c r="M17" s="1314"/>
      <c r="N17" s="1314"/>
      <c r="O17" s="1314"/>
      <c r="P17" s="1314"/>
      <c r="Q17" s="1314"/>
      <c r="R17" s="1314"/>
      <c r="S17" s="1314"/>
      <c r="T17" s="1314"/>
      <c r="U17" s="1314"/>
      <c r="V17" s="1314"/>
      <c r="W17" s="1318"/>
      <c r="X17" s="1319"/>
      <c r="Y17" s="1314"/>
      <c r="Z17" s="1314"/>
      <c r="AA17" s="1314"/>
      <c r="AB17" s="1314"/>
      <c r="AC17" s="1314"/>
      <c r="AD17" s="1314"/>
      <c r="AE17" s="1314"/>
      <c r="AF17" s="1314"/>
      <c r="AG17" s="1314"/>
      <c r="AH17" s="1314"/>
      <c r="AI17" s="1314"/>
      <c r="AJ17" s="1314"/>
      <c r="AK17" s="1314"/>
      <c r="AL17" s="1314"/>
      <c r="AM17" s="1314"/>
      <c r="AN17" s="1314"/>
      <c r="AO17" s="1314"/>
      <c r="AP17" s="1314"/>
      <c r="AQ17" s="1314"/>
      <c r="AR17" s="63"/>
      <c r="AS17" s="63"/>
      <c r="AU17" s="1154"/>
      <c r="AV17" s="1154"/>
      <c r="AW17" s="1154"/>
      <c r="AX17" s="1154"/>
      <c r="AY17" s="1154" t="s">
        <v>2210</v>
      </c>
      <c r="AZ17" s="1154"/>
      <c r="BA17" s="1154"/>
      <c r="BB17" s="1154"/>
      <c r="BC17" s="1154"/>
      <c r="BD17" s="1154"/>
      <c r="BE17" s="1154"/>
      <c r="BF17" s="1154"/>
    </row>
    <row r="18" spans="1:58" ht="15.95" customHeight="1" x14ac:dyDescent="0.25">
      <c r="A18" s="63"/>
      <c r="B18" s="1064">
        <v>1</v>
      </c>
      <c r="C18" s="1256" t="s">
        <v>161</v>
      </c>
      <c r="D18" s="1257"/>
      <c r="E18" s="1260" t="str">
        <f>IF(D31="","Space 1 Baseline",D31&amp;" Baseline")</f>
        <v>Space 1 Baseline</v>
      </c>
      <c r="F18" s="1261"/>
      <c r="G18" s="1262"/>
      <c r="H18" s="1260" t="str">
        <f>IF(OR(D31="",H31="",AM31="",AO31="",W51="",AJ51=""),"Complete Worksheet","See Worksheet")</f>
        <v>Complete Worksheet</v>
      </c>
      <c r="I18" s="1261"/>
      <c r="J18" s="1262"/>
      <c r="K18" s="1267" t="str">
        <f>IF(OR(D31="",H31="",AM31="",AO31="",W51=0,AJ51=0),"",1)</f>
        <v/>
      </c>
      <c r="L18" s="1268"/>
      <c r="M18" s="1247" t="str">
        <f>IF(OR(D31="",H31="",AM31="",AO31="",W51=0,AJ51=0),"",W51)</f>
        <v/>
      </c>
      <c r="N18" s="1271"/>
      <c r="O18" s="1273" t="s">
        <v>2267</v>
      </c>
      <c r="P18" s="1274"/>
      <c r="Q18" s="1275"/>
      <c r="R18" s="1235" t="str">
        <f>IF(OR(D31="",H31="",AM31="",AO31="",W51=0,AJ51=0),"Complete Worksheet","See Worksheet")</f>
        <v>Complete Worksheet</v>
      </c>
      <c r="S18" s="1236"/>
      <c r="T18" s="1237"/>
      <c r="U18" s="1241" t="str">
        <f>IF(OR(D31="",H31="",AM31="",AO31="",W51=0,AJ51=0),"",1)</f>
        <v/>
      </c>
      <c r="V18" s="1242"/>
      <c r="W18" s="1245"/>
      <c r="X18" s="1246"/>
      <c r="Y18" s="1247" t="str">
        <f>IF(OR(D31="",H31="",AM31="",AO31="",W51=0,AJ51=0),"",AJ51)</f>
        <v/>
      </c>
      <c r="Z18" s="1248"/>
      <c r="AA18" s="1176" t="str">
        <f>IF(OR(D31="",H31="",AM31="",AO31="",W51=0,AJ51=0),"",D31)</f>
        <v/>
      </c>
      <c r="AB18" s="1176"/>
      <c r="AC18" s="1176"/>
      <c r="AD18" s="1251" t="str">
        <f>IF(OR(D31="",H31="",AM31="",AO31="",W51=0,AJ51=0),"",H31)</f>
        <v/>
      </c>
      <c r="AE18" s="1251"/>
      <c r="AF18" s="1221" t="str">
        <f>IF(OR(D31="",H31="",AM31="",AO31="",W51=0,AJ51=0),"",AM31)</f>
        <v/>
      </c>
      <c r="AG18" s="1221"/>
      <c r="AH18" s="1221" t="str">
        <f>IF(OR(D31="",H31="",AM31="",AO31="",W51=0,AJ51=0),"",AO31)</f>
        <v/>
      </c>
      <c r="AI18" s="1222"/>
      <c r="AJ18" s="1223" t="str">
        <f>BC18</f>
        <v/>
      </c>
      <c r="AK18" s="1224"/>
      <c r="AL18" s="1307" t="str">
        <f>IF(OR(C18="",E18="",M18="",K18="",O18="",Y18="",R18="",AA18="",AF18="",AH18="",AD18="", U18=""),"",IFERROR(ROUND(IF(BD18&lt;=0,0,IF(M02S02F32&lt;&gt;"",INDEX(SPACEHEAT[HIF],MATCH(M02S02F32,SHEAT,0))*(AW18-AX18),(AW18-AX18)*1)),0),""))</f>
        <v/>
      </c>
      <c r="AM18" s="1307"/>
      <c r="AN18" s="1307"/>
      <c r="AO18" s="1308" t="str">
        <f>IF(OR(C18="",E18="",M18="",K18="",O18="",Y18="",R18="",AA18="",AF18="",AH18="",AD18="",U18=""),"",IF(BE18&lt;&gt;"",BE18,MIN(BD18,AU18)))</f>
        <v/>
      </c>
      <c r="AP18" s="1308"/>
      <c r="AQ18" s="1308"/>
      <c r="AR18" s="63"/>
      <c r="AS18" s="63"/>
      <c r="AU18" s="1149" t="str">
        <f>IF(OR(C18="",E18="",M18="",K18="",O18="",Y18="",R18="",AA18="",AF18="",AH18="",AD18="", U18=""),"",(ROUND((AF18+AH18)*U18,2)))</f>
        <v/>
      </c>
      <c r="AV18" s="1151" t="str">
        <f>IF(OR(C18="",E18="",M18="",K18="",O18="",Y18="",R18="",AA18="",AF18="",AH18="",AD18="", U18=""),"",ROUND(AL18*INDEX(ENDUSEALL[Factor],MATCH(IF(ISNUMBER(SEARCH("24/7",AA18)),"Miscellaneous","Lighting"),ENDUSEALL[End Use to Coincident Peak Demand Factors],0)),4))</f>
        <v/>
      </c>
      <c r="AW18" s="1147" t="str">
        <f>IF(OR(C18="",E18="",M18="",K18="",O18="",Y18="",R18="",AA18="",AF18="",AH18="",AD18="", U18=""),"",ROUND(M18*AD18*K18/1000,0))</f>
        <v/>
      </c>
      <c r="AX18" s="1147" t="str">
        <f>IF(OR(C18="",E18="",M18="",K18="",O18="",Y18="",R18="",AA18="",AF18="",AH18="",AD18="", U18=""),"",ROUND(Y18*AD18*U18/1000,0))</f>
        <v/>
      </c>
      <c r="AY18" s="1147" t="str">
        <f>IF(OR(C18="",E18="",M18="",K18="",O18="",Y18="",R18="",AA18="",AF18="",AH18="",AD18="", U18=""),"",ROUND(K18*M18,0))</f>
        <v/>
      </c>
      <c r="AZ18" s="1147" t="str">
        <f>IF(OR(C18="",E18="",M18="",K18="",O18="",Y18="",R18="",AA18="",AF18="",AH18="",AD18="", U18=""),"",ROUND(Y18*U18,0))</f>
        <v/>
      </c>
      <c r="BA18" s="1145" t="str">
        <f>CONCATENATE("Redesign-","LED","-","No")</f>
        <v>Redesign-LED-No</v>
      </c>
      <c r="BB18" s="1143" t="str">
        <f>IF(OR(C18="",E18="",M18="",K18="",O18="",Y18="",R18="",AA18="",AF18="",AH18="",AD18="", U18=""),"",INDEX(PMELIGHTLIN[Measure '#],MATCH(BA18,PMELIGHTLIN[Measure Validator],0)))</f>
        <v/>
      </c>
      <c r="BC18" s="1143" t="str">
        <f>IFERROR(IF(OR(C18="",AH18=""),"",IF(BB18="","",INDEX(PMELIGHTLIN[Inc Rate Unit],MATCH(BA18,PMELIGHTLIN[Measure Validator],0)))),"")</f>
        <v/>
      </c>
      <c r="BD18" s="1143" t="str">
        <f>IFERROR(ROUND(IF(OR(C18="",AH18=""),"",IF(BB18="","",(AY18-AZ18)*BC18)),2),"")</f>
        <v/>
      </c>
      <c r="BE18" s="1145" t="str">
        <f>IF(OR(C18="",E18="",M18="",K18="",O18="",Y18="",R18="",AA18="",AF18="",AH18="",AD18="", U18=""),"",IFERROR(IF(AD18&lt;INDEX(PMELIGHTLIN[Eff Watt 2],MATCH(BA18,PMELIGHTLIN[Measure Validator],0)),"Operating Hours Invalid",IF(ISNUMBER(SEARCH("SPILLOVER",AA18)),PROJSTATELI,IF((AW18-AX18)&lt;0,"No Savings",""))),"ERROR"))</f>
        <v/>
      </c>
      <c r="BF18" s="1147" t="str">
        <f>IF(AND(ISBLANK(AF18),ISBLANK(AH18)),"",IF(BD18&gt;AU18,"Yes","No"))</f>
        <v>No</v>
      </c>
    </row>
    <row r="19" spans="1:58" ht="15.95" customHeight="1" x14ac:dyDescent="0.25">
      <c r="A19" s="63"/>
      <c r="B19" s="1064"/>
      <c r="C19" s="1258"/>
      <c r="D19" s="1259"/>
      <c r="E19" s="1263"/>
      <c r="F19" s="1264"/>
      <c r="G19" s="1265"/>
      <c r="H19" s="1263"/>
      <c r="I19" s="1264"/>
      <c r="J19" s="1265"/>
      <c r="K19" s="1269"/>
      <c r="L19" s="1270"/>
      <c r="M19" s="1249"/>
      <c r="N19" s="1272"/>
      <c r="O19" s="1276"/>
      <c r="P19" s="1277"/>
      <c r="Q19" s="1278"/>
      <c r="R19" s="1238"/>
      <c r="S19" s="1239"/>
      <c r="T19" s="1240"/>
      <c r="U19" s="1243"/>
      <c r="V19" s="1244"/>
      <c r="W19" s="1245"/>
      <c r="X19" s="1246"/>
      <c r="Y19" s="1249"/>
      <c r="Z19" s="1250"/>
      <c r="AA19" s="1176"/>
      <c r="AB19" s="1176"/>
      <c r="AC19" s="1176"/>
      <c r="AD19" s="1251"/>
      <c r="AE19" s="1251"/>
      <c r="AF19" s="1221"/>
      <c r="AG19" s="1221"/>
      <c r="AH19" s="1221"/>
      <c r="AI19" s="1222"/>
      <c r="AJ19" s="1223"/>
      <c r="AK19" s="1224"/>
      <c r="AL19" s="1307"/>
      <c r="AM19" s="1307"/>
      <c r="AN19" s="1307"/>
      <c r="AO19" s="1308"/>
      <c r="AP19" s="1308"/>
      <c r="AQ19" s="1308"/>
      <c r="AR19" s="63"/>
      <c r="AS19" s="63"/>
      <c r="AU19" s="1150"/>
      <c r="AV19" s="1152"/>
      <c r="AW19" s="1148"/>
      <c r="AX19" s="1148"/>
      <c r="AY19" s="1148"/>
      <c r="AZ19" s="1148"/>
      <c r="BA19" s="1146"/>
      <c r="BB19" s="1144"/>
      <c r="BC19" s="1144"/>
      <c r="BD19" s="1144"/>
      <c r="BE19" s="1146"/>
      <c r="BF19" s="1148"/>
    </row>
    <row r="20" spans="1:58" ht="15.95" customHeight="1" x14ac:dyDescent="0.25">
      <c r="A20" s="63"/>
      <c r="B20" s="1064">
        <v>2</v>
      </c>
      <c r="C20" s="1256" t="s">
        <v>161</v>
      </c>
      <c r="D20" s="1257"/>
      <c r="E20" s="1260" t="str">
        <f>IF(D58="","Space 2 Baseline",D58&amp;" Baseline")</f>
        <v>Space 2 Baseline</v>
      </c>
      <c r="F20" s="1261"/>
      <c r="G20" s="1262"/>
      <c r="H20" s="1266" t="str">
        <f>IF(OR(D58="",H58="",AM58="",AO58="",W78="",AJ78=""),"Complete Worksheet","See Worksheet")</f>
        <v>Complete Worksheet</v>
      </c>
      <c r="I20" s="1266"/>
      <c r="J20" s="1266"/>
      <c r="K20" s="1267" t="str">
        <f>IF(OR(D58="",H58="",AM58="",AO58="",W78=0,AJ78=0),"",1)</f>
        <v/>
      </c>
      <c r="L20" s="1268"/>
      <c r="M20" s="1247" t="str">
        <f>IF(OR(D58="",H58="",AM58="",AO58="",W78=0,AJ78=0),"",W78)</f>
        <v/>
      </c>
      <c r="N20" s="1271"/>
      <c r="O20" s="1273" t="s">
        <v>2267</v>
      </c>
      <c r="P20" s="1274"/>
      <c r="Q20" s="1275"/>
      <c r="R20" s="1235" t="str">
        <f>IF(OR(D58="",H58="",AM58="",AO58="",W78=0,AJ78=0),"Complete Worksheet","See Worksheet")</f>
        <v>Complete Worksheet</v>
      </c>
      <c r="S20" s="1236"/>
      <c r="T20" s="1237"/>
      <c r="U20" s="1241" t="str">
        <f>IF(OR(D58="",H58="",AM58="",AO58="",W78=0,AJ78=0),"",1)</f>
        <v/>
      </c>
      <c r="V20" s="1242"/>
      <c r="W20" s="1245"/>
      <c r="X20" s="1246"/>
      <c r="Y20" s="1247" t="str">
        <f>IF(OR(D58="",H58="",AM58="",AO58="",W78=0,AJ78=0),"",AJ78)</f>
        <v/>
      </c>
      <c r="Z20" s="1248"/>
      <c r="AA20" s="1176" t="str">
        <f>IF(OR(D58="",H58="",AM58="",AO58="",W78=0,AJ78=0),"",D58)</f>
        <v/>
      </c>
      <c r="AB20" s="1176"/>
      <c r="AC20" s="1176"/>
      <c r="AD20" s="1251" t="str">
        <f>IF(OR(D58="",H58="",AM58="",AO58="",W78=0,AJ78=0),"",H58)</f>
        <v/>
      </c>
      <c r="AE20" s="1251"/>
      <c r="AF20" s="1221" t="str">
        <f>IF(OR(D58="",H58="",AM58="",AO58="",W78=0,AJ78=0),"",AM58)</f>
        <v/>
      </c>
      <c r="AG20" s="1221"/>
      <c r="AH20" s="1221" t="str">
        <f>IF(OR(D58="",H58="",AM58="",AO58="",W78=0,AJ78=0),"",AO58)</f>
        <v/>
      </c>
      <c r="AI20" s="1222"/>
      <c r="AJ20" s="1223" t="str">
        <f t="shared" ref="AJ20" si="0">BC20</f>
        <v/>
      </c>
      <c r="AK20" s="1224"/>
      <c r="AL20" s="1307" t="str">
        <f>IF(OR(C20="",E20="",M20="",K20="",O20="",Y20="",R20="",AA20="",AF20="",AH20="",AD20="", U20=""),"",IFERROR(ROUND(IF(BD20&lt;=0,0,IF(M02S02F32&lt;&gt;"",INDEX(SPACEHEAT[HIF],MATCH(M02S02F32,SHEAT,0))*(AW20-AX20),(AW20-AX20)*1)),0),""))</f>
        <v/>
      </c>
      <c r="AM20" s="1307"/>
      <c r="AN20" s="1307"/>
      <c r="AO20" s="1308" t="str">
        <f t="shared" ref="AO20" si="1">IF(OR(C20="",E20="",M20="",K20="",O20="",Y20="",R20="",AA20="",AF20="",AH20="",AD20="",U20=""),"",IF(BE20&lt;&gt;"",BE20,MIN(BD20,AU20)))</f>
        <v/>
      </c>
      <c r="AP20" s="1308"/>
      <c r="AQ20" s="1308"/>
      <c r="AR20" s="63"/>
      <c r="AS20" s="63"/>
      <c r="AU20" s="1149" t="str">
        <f t="shared" ref="AU20" si="2">IF(OR(C20="",E20="",M20="",K20="",O20="",Y20="",R20="",AA20="",AF20="",AH20="",AD20="", U20=""),"",(ROUND((AF20+AH20)*U20,2)))</f>
        <v/>
      </c>
      <c r="AV20" s="1151" t="str">
        <f>IF(OR(C20="",E20="",M20="",K20="",O20="",Y20="",R20="",AA20="",AF20="",AH20="",AD20="", U20=""),"",ROUND(AL20*INDEX(ENDUSEALL[Factor],MATCH(IF(ISNUMBER(SEARCH("24/7",AA20)),"Miscellaneous","Lighting"),ENDUSEALL[End Use to Coincident Peak Demand Factors],0)),4))</f>
        <v/>
      </c>
      <c r="AW20" s="1147" t="str">
        <f t="shared" ref="AW20" si="3">IF(OR(C20="",E20="",M20="",K20="",O20="",Y20="",R20="",AA20="",AF20="",AH20="",AD20="", U20=""),"",ROUND(M20*AD20*K20/1000,0))</f>
        <v/>
      </c>
      <c r="AX20" s="1147" t="str">
        <f t="shared" ref="AX20" si="4">IF(OR(C20="",E20="",M20="",K20="",O20="",Y20="",R20="",AA20="",AF20="",AH20="",AD20="", U20=""),"",ROUND(Y20*AD20*U20/1000,0))</f>
        <v/>
      </c>
      <c r="AY20" s="1147" t="str">
        <f t="shared" ref="AY20" si="5">IF(OR(C20="",E20="",M20="",K20="",O20="",Y20="",R20="",AA20="",AF20="",AH20="",AD20="", U20=""),"",ROUND(K20*M20,0))</f>
        <v/>
      </c>
      <c r="AZ20" s="1147" t="str">
        <f t="shared" ref="AZ20" si="6">IF(OR(C20="",E20="",M20="",K20="",O20="",Y20="",R20="",AA20="",AF20="",AH20="",AD20="", U20=""),"",ROUND(Y20*U20,0))</f>
        <v/>
      </c>
      <c r="BA20" s="1145" t="str">
        <f t="shared" ref="BA20" si="7">CONCATENATE("Redesign-","LED","-","No")</f>
        <v>Redesign-LED-No</v>
      </c>
      <c r="BB20" s="1143" t="str">
        <f>IF(OR(C20="",E20="",M20="",K20="",O20="",Y20="",R20="",AA20="",AF20="",AH20="",AD20="", U20=""),"",INDEX(PMELIGHTLIN[Measure '#],MATCH(BA20,PMELIGHTLIN[Measure Validator],0)))</f>
        <v/>
      </c>
      <c r="BC20" s="1143" t="str">
        <f>IFERROR(IF(OR(C20="",AH20=""),"",IF(BB20="","",INDEX(PMELIGHTLIN[Inc Rate Unit],MATCH(BA20,PMELIGHTLIN[Measure Validator],0)))),"")</f>
        <v/>
      </c>
      <c r="BD20" s="1143" t="str">
        <f>IFERROR(ROUND(IF(OR(C20="",AH20=""),"",IF(BB20="","",(AY20-AZ20)*BC20)),2),"")</f>
        <v/>
      </c>
      <c r="BE20" s="1145" t="str">
        <f>IF(OR(C20="",E20="",M20="",K20="",O20="",Y20="",R20="",AA20="",AF20="",AH20="",AD20="", U20=""),"",IFERROR(IF(AD20&lt;INDEX(PMELIGHTLIN[Eff Watt 2],MATCH(BA20,PMELIGHTLIN[Measure Validator],0)),"Operating Hours Invalid",IF(ISNUMBER(SEARCH("SPILLOVER",AA20)),PROJSTATELI,IF((AW20-AX20)&lt;0,"No Savings",""))),"ERROR"))</f>
        <v/>
      </c>
      <c r="BF20" s="1147" t="str">
        <f>IF(AND(ISBLANK(AF20),ISBLANK(AH20)),"",IF(BD20&gt;AU20,"Yes","No"))</f>
        <v>No</v>
      </c>
    </row>
    <row r="21" spans="1:58" ht="15.95" customHeight="1" x14ac:dyDescent="0.25">
      <c r="A21" s="63"/>
      <c r="B21" s="1064"/>
      <c r="C21" s="1258"/>
      <c r="D21" s="1259"/>
      <c r="E21" s="1263"/>
      <c r="F21" s="1264"/>
      <c r="G21" s="1265"/>
      <c r="H21" s="1266"/>
      <c r="I21" s="1266"/>
      <c r="J21" s="1266"/>
      <c r="K21" s="1269"/>
      <c r="L21" s="1270"/>
      <c r="M21" s="1249"/>
      <c r="N21" s="1272"/>
      <c r="O21" s="1276"/>
      <c r="P21" s="1277"/>
      <c r="Q21" s="1278"/>
      <c r="R21" s="1238"/>
      <c r="S21" s="1239"/>
      <c r="T21" s="1240"/>
      <c r="U21" s="1243"/>
      <c r="V21" s="1244"/>
      <c r="W21" s="1245"/>
      <c r="X21" s="1246"/>
      <c r="Y21" s="1249"/>
      <c r="Z21" s="1250"/>
      <c r="AA21" s="1176"/>
      <c r="AB21" s="1176"/>
      <c r="AC21" s="1176"/>
      <c r="AD21" s="1251"/>
      <c r="AE21" s="1251"/>
      <c r="AF21" s="1221"/>
      <c r="AG21" s="1221"/>
      <c r="AH21" s="1221"/>
      <c r="AI21" s="1222"/>
      <c r="AJ21" s="1223"/>
      <c r="AK21" s="1224"/>
      <c r="AL21" s="1307"/>
      <c r="AM21" s="1307"/>
      <c r="AN21" s="1307"/>
      <c r="AO21" s="1308"/>
      <c r="AP21" s="1308"/>
      <c r="AQ21" s="1308"/>
      <c r="AR21" s="63"/>
      <c r="AS21" s="63"/>
      <c r="AU21" s="1150"/>
      <c r="AV21" s="1152"/>
      <c r="AW21" s="1148"/>
      <c r="AX21" s="1148"/>
      <c r="AY21" s="1148"/>
      <c r="AZ21" s="1148"/>
      <c r="BA21" s="1146"/>
      <c r="BB21" s="1144"/>
      <c r="BC21" s="1144"/>
      <c r="BD21" s="1144"/>
      <c r="BE21" s="1146"/>
      <c r="BF21" s="1148"/>
    </row>
    <row r="22" spans="1:58" ht="15.95" customHeight="1" x14ac:dyDescent="0.25">
      <c r="A22" s="63"/>
      <c r="B22" s="1064">
        <v>3</v>
      </c>
      <c r="C22" s="1256" t="s">
        <v>161</v>
      </c>
      <c r="D22" s="1257"/>
      <c r="E22" s="1260" t="str">
        <f>IF(D85="","Space 3 Baseline",D85&amp;" Baseline")</f>
        <v>Space 3 Baseline</v>
      </c>
      <c r="F22" s="1261"/>
      <c r="G22" s="1262"/>
      <c r="H22" s="1266" t="str">
        <f>IF(OR(D85="",H85="",AM85="",AO85="",W105="",AJ105=""),"Complete Worksheet","See Worksheet")</f>
        <v>Complete Worksheet</v>
      </c>
      <c r="I22" s="1266"/>
      <c r="J22" s="1266"/>
      <c r="K22" s="1267" t="str">
        <f>IF(OR(D85="",H85="",AM85="",AO85="",W105=0,AJ105=0),"",1)</f>
        <v/>
      </c>
      <c r="L22" s="1268"/>
      <c r="M22" s="1247" t="str">
        <f>IF(OR(D85="",H85="",AM85="",AO85="",W105=0,AJ105=0),"",W105)</f>
        <v/>
      </c>
      <c r="N22" s="1271"/>
      <c r="O22" s="1273" t="s">
        <v>2267</v>
      </c>
      <c r="P22" s="1274"/>
      <c r="Q22" s="1275"/>
      <c r="R22" s="1235" t="str">
        <f>IF(OR(D85="",H85="",AM85="",AO85="",W105=0,AJ105=0),"Complete Worksheet","See Worksheet")</f>
        <v>Complete Worksheet</v>
      </c>
      <c r="S22" s="1236"/>
      <c r="T22" s="1237"/>
      <c r="U22" s="1241" t="str">
        <f>IF(OR(D85="",H85="",AM85="",AO85="",W105=0,AJ105=0),"",1)</f>
        <v/>
      </c>
      <c r="V22" s="1242"/>
      <c r="W22" s="1245"/>
      <c r="X22" s="1246"/>
      <c r="Y22" s="1247" t="str">
        <f>IF(OR(D85="",H85="",AM85="",AO85="",W105=0,AJ105=0),"",AJ105)</f>
        <v/>
      </c>
      <c r="Z22" s="1248"/>
      <c r="AA22" s="1176" t="str">
        <f>IF(OR(D85="",H85="",AM85="",AO85="",W105=0,AJ105=0),"",D85)</f>
        <v/>
      </c>
      <c r="AB22" s="1176"/>
      <c r="AC22" s="1176"/>
      <c r="AD22" s="1251" t="str">
        <f>IF(OR(D85="",H85="",AM85="",AO85="",W105=0,AJ105=0),"",H85)</f>
        <v/>
      </c>
      <c r="AE22" s="1251"/>
      <c r="AF22" s="1221" t="str">
        <f>IF(OR(D85="",H85="",AM85="",AO85="",W105=0,AJ105=0),"",AM85)</f>
        <v/>
      </c>
      <c r="AG22" s="1221"/>
      <c r="AH22" s="1221" t="str">
        <f>IF(OR(D85="",H85="",AM85="",AO85="",W105=0,AJ105=0),"",AO85)</f>
        <v/>
      </c>
      <c r="AI22" s="1222"/>
      <c r="AJ22" s="1223" t="str">
        <f t="shared" ref="AJ22" si="8">BC22</f>
        <v/>
      </c>
      <c r="AK22" s="1224"/>
      <c r="AL22" s="1307" t="str">
        <f>IF(OR(C22="",E22="",M22="",K22="",O22="",Y22="",R22="",AA22="",AF22="",AH22="",AD22="", U22=""),"",IFERROR(ROUND(IF(BD22&lt;=0,0,IF(M02S02F32&lt;&gt;"",INDEX(SPACEHEAT[HIF],MATCH(M02S02F32,SHEAT,0))*(AW22-AX22),(AW22-AX22)*1)),0),""))</f>
        <v/>
      </c>
      <c r="AM22" s="1307"/>
      <c r="AN22" s="1307"/>
      <c r="AO22" s="1308" t="str">
        <f t="shared" ref="AO22" si="9">IF(OR(C22="",E22="",M22="",K22="",O22="",Y22="",R22="",AA22="",AF22="",AH22="",AD22="",U22=""),"",IF(BE22&lt;&gt;"",BE22,MIN(BD22,AU22)))</f>
        <v/>
      </c>
      <c r="AP22" s="1308"/>
      <c r="AQ22" s="1308"/>
      <c r="AR22" s="63"/>
      <c r="AS22" s="63"/>
      <c r="AU22" s="1149" t="str">
        <f t="shared" ref="AU22" si="10">IF(OR(C22="",E22="",M22="",K22="",O22="",Y22="",R22="",AA22="",AF22="",AH22="",AD22="", U22=""),"",(ROUND((AF22+AH22)*U22,2)))</f>
        <v/>
      </c>
      <c r="AV22" s="1151" t="str">
        <f>IF(OR(C22="",E22="",M22="",K22="",O22="",Y22="",R22="",AA22="",AF22="",AH22="",AD22="", U22=""),"",ROUND(AL22*INDEX(ENDUSEALL[Factor],MATCH(IF(ISNUMBER(SEARCH("24/7",AA22)),"Miscellaneous","Lighting"),ENDUSEALL[End Use to Coincident Peak Demand Factors],0)),4))</f>
        <v/>
      </c>
      <c r="AW22" s="1147" t="str">
        <f t="shared" ref="AW22" si="11">IF(OR(C22="",E22="",M22="",K22="",O22="",Y22="",R22="",AA22="",AF22="",AH22="",AD22="", U22=""),"",ROUND(M22*AD22*K22/1000,0))</f>
        <v/>
      </c>
      <c r="AX22" s="1147" t="str">
        <f t="shared" ref="AX22" si="12">IF(OR(C22="",E22="",M22="",K22="",O22="",Y22="",R22="",AA22="",AF22="",AH22="",AD22="", U22=""),"",ROUND(Y22*AD22*U22/1000,0))</f>
        <v/>
      </c>
      <c r="AY22" s="1147" t="str">
        <f t="shared" ref="AY22" si="13">IF(OR(C22="",E22="",M22="",K22="",O22="",Y22="",R22="",AA22="",AF22="",AH22="",AD22="", U22=""),"",ROUND(K22*M22,0))</f>
        <v/>
      </c>
      <c r="AZ22" s="1147" t="str">
        <f t="shared" ref="AZ22" si="14">IF(OR(C22="",E22="",M22="",K22="",O22="",Y22="",R22="",AA22="",AF22="",AH22="",AD22="", U22=""),"",ROUND(Y22*U22,0))</f>
        <v/>
      </c>
      <c r="BA22" s="1145" t="str">
        <f t="shared" ref="BA22" si="15">CONCATENATE("Redesign-","LED","-","No")</f>
        <v>Redesign-LED-No</v>
      </c>
      <c r="BB22" s="1143" t="str">
        <f>IF(OR(C22="",E22="",M22="",K22="",O22="",Y22="",R22="",AA22="",AF22="",AH22="",AD22="", U22=""),"",INDEX(PMELIGHTLIN[Measure '#],MATCH(BA22,PMELIGHTLIN[Measure Validator],0)))</f>
        <v/>
      </c>
      <c r="BC22" s="1143" t="str">
        <f>IFERROR(IF(OR(C22="",AH22=""),"",IF(BB22="","",INDEX(PMELIGHTLIN[Inc Rate Unit],MATCH(BA22,PMELIGHTLIN[Measure Validator],0)))),"")</f>
        <v/>
      </c>
      <c r="BD22" s="1143" t="str">
        <f t="shared" ref="BD22" si="16">IFERROR(ROUND(IF(OR(C22="",AH22=""),"",IF(BB22="","",(AY22-AZ22)*BC22)),2),"")</f>
        <v/>
      </c>
      <c r="BE22" s="1145" t="str">
        <f>IF(OR(C22="",E22="",M22="",K22="",O22="",Y22="",R22="",AA22="",AF22="",AH22="",AD22="", U22=""),"",IFERROR(IF(AD22&lt;INDEX(PMELIGHTLIN[Eff Watt 2],MATCH(BA22,PMELIGHTLIN[Measure Validator],0)),"Operating Hours Invalid",IF(ISNUMBER(SEARCH("SPILLOVER",AA22)),PROJSTATELI,IF((AW22-AX22)&lt;0,"No Savings",""))),"ERROR"))</f>
        <v/>
      </c>
      <c r="BF22" s="1147" t="str">
        <f t="shared" ref="BF22" si="17">IF(AND(ISBLANK(AF22),ISBLANK(AH22)),"",IF(BD22&gt;AU22,"Yes","No"))</f>
        <v>No</v>
      </c>
    </row>
    <row r="23" spans="1:58" ht="15.95" customHeight="1" x14ac:dyDescent="0.25">
      <c r="A23" s="63"/>
      <c r="B23" s="1064"/>
      <c r="C23" s="1258"/>
      <c r="D23" s="1259"/>
      <c r="E23" s="1263"/>
      <c r="F23" s="1264"/>
      <c r="G23" s="1265"/>
      <c r="H23" s="1266"/>
      <c r="I23" s="1266"/>
      <c r="J23" s="1266"/>
      <c r="K23" s="1269"/>
      <c r="L23" s="1270"/>
      <c r="M23" s="1249"/>
      <c r="N23" s="1272"/>
      <c r="O23" s="1276"/>
      <c r="P23" s="1277"/>
      <c r="Q23" s="1278"/>
      <c r="R23" s="1238"/>
      <c r="S23" s="1239"/>
      <c r="T23" s="1240"/>
      <c r="U23" s="1243"/>
      <c r="V23" s="1244"/>
      <c r="W23" s="1245"/>
      <c r="X23" s="1246"/>
      <c r="Y23" s="1249"/>
      <c r="Z23" s="1250"/>
      <c r="AA23" s="1176"/>
      <c r="AB23" s="1176"/>
      <c r="AC23" s="1176"/>
      <c r="AD23" s="1251"/>
      <c r="AE23" s="1251"/>
      <c r="AF23" s="1221"/>
      <c r="AG23" s="1221"/>
      <c r="AH23" s="1221"/>
      <c r="AI23" s="1222"/>
      <c r="AJ23" s="1223"/>
      <c r="AK23" s="1224"/>
      <c r="AL23" s="1307"/>
      <c r="AM23" s="1307"/>
      <c r="AN23" s="1307"/>
      <c r="AO23" s="1308"/>
      <c r="AP23" s="1308"/>
      <c r="AQ23" s="1308"/>
      <c r="AR23" s="63"/>
      <c r="AS23" s="63"/>
      <c r="AU23" s="1150"/>
      <c r="AV23" s="1152"/>
      <c r="AW23" s="1148"/>
      <c r="AX23" s="1148"/>
      <c r="AY23" s="1148"/>
      <c r="AZ23" s="1148"/>
      <c r="BA23" s="1146"/>
      <c r="BB23" s="1144"/>
      <c r="BC23" s="1144"/>
      <c r="BD23" s="1144"/>
      <c r="BE23" s="1146"/>
      <c r="BF23" s="1148"/>
    </row>
    <row r="24" spans="1:58" ht="15.95" customHeight="1" x14ac:dyDescent="0.25">
      <c r="A24" s="63"/>
      <c r="B24" s="1064">
        <v>4</v>
      </c>
      <c r="C24" s="1256" t="s">
        <v>161</v>
      </c>
      <c r="D24" s="1257"/>
      <c r="E24" s="1260" t="str">
        <f>IF(D112="","Space 4 Baseline",D112&amp;" Baseline")</f>
        <v>Space 4 Baseline</v>
      </c>
      <c r="F24" s="1261"/>
      <c r="G24" s="1262"/>
      <c r="H24" s="1266" t="str">
        <f>IF(OR(D112="",H112="",AM112="",AO112="",W132="",AJ132=""),"Complete Worksheet","See Worksheet")</f>
        <v>Complete Worksheet</v>
      </c>
      <c r="I24" s="1266"/>
      <c r="J24" s="1266"/>
      <c r="K24" s="1267" t="str">
        <f>IF(OR(D112="",H112="",AM112="",AO112="",W132=0,AJ132=0),"",1)</f>
        <v/>
      </c>
      <c r="L24" s="1268"/>
      <c r="M24" s="1247" t="str">
        <f>IF(OR(D112="",H112="",AM112="",AO112="",W132=0,AJ132=0),"",W132)</f>
        <v/>
      </c>
      <c r="N24" s="1271"/>
      <c r="O24" s="1273" t="s">
        <v>2267</v>
      </c>
      <c r="P24" s="1274"/>
      <c r="Q24" s="1275"/>
      <c r="R24" s="1235" t="str">
        <f>IF(OR(D112="",H112="",AM112="",AO112="",W132=0,AJ132=0),"Complete Worksheet","See Worksheet")</f>
        <v>Complete Worksheet</v>
      </c>
      <c r="S24" s="1236"/>
      <c r="T24" s="1237"/>
      <c r="U24" s="1241" t="str">
        <f>IF(OR(D112="",H112="",AM112="",AO112="",W132=0,AJ132=0),"",1)</f>
        <v/>
      </c>
      <c r="V24" s="1242"/>
      <c r="W24" s="1245"/>
      <c r="X24" s="1246"/>
      <c r="Y24" s="1247" t="str">
        <f>IF(OR(D112="",H112="",AM112="",AO112="",W132=0,AJ132=0),"",AJ132)</f>
        <v/>
      </c>
      <c r="Z24" s="1248"/>
      <c r="AA24" s="1176" t="str">
        <f>IF(OR(D112="",H112="",AM112="",AO112="",W132=0,AJ132=0),"",D112)</f>
        <v/>
      </c>
      <c r="AB24" s="1176"/>
      <c r="AC24" s="1176"/>
      <c r="AD24" s="1251" t="str">
        <f>IF(OR(D112="",H112="",AM112="",AO112="",W132=0,AJ132=0),"",H112)</f>
        <v/>
      </c>
      <c r="AE24" s="1251"/>
      <c r="AF24" s="1221" t="str">
        <f>IF(OR(D112="",H112="",AM112="",AO112="",W132=0,AJ132=0),"",AM112)</f>
        <v/>
      </c>
      <c r="AG24" s="1221"/>
      <c r="AH24" s="1221" t="str">
        <f>IF(OR(D112="",H112="",AM112="",AO112="",W132=0,AJ132=0),"",AO112)</f>
        <v/>
      </c>
      <c r="AI24" s="1222"/>
      <c r="AJ24" s="1223" t="str">
        <f t="shared" ref="AJ24" si="18">BC24</f>
        <v/>
      </c>
      <c r="AK24" s="1224"/>
      <c r="AL24" s="1307" t="str">
        <f>IF(OR(C24="",E24="",M24="",K24="",O24="",Y24="",R24="",AA24="",AF24="",AH24="",AD24="", U24=""),"",IFERROR(ROUND(IF(BD24&lt;=0,0,IF(M02S02F32&lt;&gt;"",INDEX(SPACEHEAT[HIF],MATCH(M02S02F32,SHEAT,0))*(AW24-AX24),(AW24-AX24)*1)),0),""))</f>
        <v/>
      </c>
      <c r="AM24" s="1307"/>
      <c r="AN24" s="1307"/>
      <c r="AO24" s="1308" t="str">
        <f t="shared" ref="AO24" si="19">IF(OR(C24="",E24="",M24="",K24="",O24="",Y24="",R24="",AA24="",AF24="",AH24="",AD24="",U24=""),"",IF(BE24&lt;&gt;"",BE24,MIN(BD24,AU24)))</f>
        <v/>
      </c>
      <c r="AP24" s="1308"/>
      <c r="AQ24" s="1308"/>
      <c r="AR24" s="63"/>
      <c r="AS24" s="63"/>
      <c r="AU24" s="1149" t="str">
        <f t="shared" ref="AU24" si="20">IF(OR(C24="",E24="",M24="",K24="",O24="",Y24="",R24="",AA24="",AF24="",AH24="",AD24="", U24=""),"",(ROUND((AF24+AH24)*U24,2)))</f>
        <v/>
      </c>
      <c r="AV24" s="1151" t="str">
        <f>IF(OR(C24="",E24="",M24="",K24="",O24="",Y24="",R24="",AA24="",AF24="",AH24="",AD24="", U24=""),"",ROUND(AL24*INDEX(ENDUSEALL[Factor],MATCH(IF(ISNUMBER(SEARCH("24/7",AA24)),"Miscellaneous","Lighting"),ENDUSEALL[End Use to Coincident Peak Demand Factors],0)),4))</f>
        <v/>
      </c>
      <c r="AW24" s="1147" t="str">
        <f t="shared" ref="AW24" si="21">IF(OR(C24="",E24="",M24="",K24="",O24="",Y24="",R24="",AA24="",AF24="",AH24="",AD24="", U24=""),"",ROUND(M24*AD24*K24/1000,0))</f>
        <v/>
      </c>
      <c r="AX24" s="1147" t="str">
        <f t="shared" ref="AX24" si="22">IF(OR(C24="",E24="",M24="",K24="",O24="",Y24="",R24="",AA24="",AF24="",AH24="",AD24="", U24=""),"",ROUND(Y24*AD24*U24/1000,0))</f>
        <v/>
      </c>
      <c r="AY24" s="1147" t="str">
        <f t="shared" ref="AY24" si="23">IF(OR(C24="",E24="",M24="",K24="",O24="",Y24="",R24="",AA24="",AF24="",AH24="",AD24="", U24=""),"",ROUND(K24*M24,0))</f>
        <v/>
      </c>
      <c r="AZ24" s="1147" t="str">
        <f t="shared" ref="AZ24" si="24">IF(OR(C24="",E24="",M24="",K24="",O24="",Y24="",R24="",AA24="",AF24="",AH24="",AD24="", U24=""),"",ROUND(Y24*U24,0))</f>
        <v/>
      </c>
      <c r="BA24" s="1145" t="str">
        <f t="shared" ref="BA24" si="25">CONCATENATE("Redesign-","LED","-","No")</f>
        <v>Redesign-LED-No</v>
      </c>
      <c r="BB24" s="1143" t="str">
        <f>IF(OR(C24="",E24="",M24="",K24="",O24="",Y24="",R24="",AA24="",AF24="",AH24="",AD24="", U24=""),"",INDEX(PMELIGHTLIN[Measure '#],MATCH(BA24,PMELIGHTLIN[Measure Validator],0)))</f>
        <v/>
      </c>
      <c r="BC24" s="1143" t="str">
        <f>IFERROR(IF(OR(C24="",AH24=""),"",IF(BB24="","",INDEX(PMELIGHTLIN[Inc Rate Unit],MATCH(BA24,PMELIGHTLIN[Measure Validator],0)))),"")</f>
        <v/>
      </c>
      <c r="BD24" s="1143" t="str">
        <f t="shared" ref="BD24" si="26">IFERROR(ROUND(IF(OR(C24="",AH24=""),"",IF(BB24="","",(AY24-AZ24)*BC24)),2),"")</f>
        <v/>
      </c>
      <c r="BE24" s="1145" t="str">
        <f>IF(OR(C24="",E24="",M24="",K24="",O24="",Y24="",R24="",AA24="",AF24="",AH24="",AD24="", U24=""),"",IFERROR(IF(AD24&lt;INDEX(PMELIGHTLIN[Eff Watt 2],MATCH(BA24,PMELIGHTLIN[Measure Validator],0)),"Operating Hours Invalid",IF(ISNUMBER(SEARCH("SPILLOVER",AA24)),PROJSTATELI,IF((AW24-AX24)&lt;0,"No Savings",""))),"ERROR"))</f>
        <v/>
      </c>
      <c r="BF24" s="1147" t="str">
        <f t="shared" ref="BF24" si="27">IF(AND(ISBLANK(AF24),ISBLANK(AH24)),"",IF(BD24&gt;AU24,"Yes","No"))</f>
        <v>No</v>
      </c>
    </row>
    <row r="25" spans="1:58" ht="15.95" customHeight="1" x14ac:dyDescent="0.25">
      <c r="A25" s="63"/>
      <c r="B25" s="1064"/>
      <c r="C25" s="1258"/>
      <c r="D25" s="1259"/>
      <c r="E25" s="1263"/>
      <c r="F25" s="1264"/>
      <c r="G25" s="1265"/>
      <c r="H25" s="1266"/>
      <c r="I25" s="1266"/>
      <c r="J25" s="1266"/>
      <c r="K25" s="1269"/>
      <c r="L25" s="1270"/>
      <c r="M25" s="1249"/>
      <c r="N25" s="1272"/>
      <c r="O25" s="1276"/>
      <c r="P25" s="1277"/>
      <c r="Q25" s="1278"/>
      <c r="R25" s="1238"/>
      <c r="S25" s="1239"/>
      <c r="T25" s="1240"/>
      <c r="U25" s="1243"/>
      <c r="V25" s="1244"/>
      <c r="W25" s="1245"/>
      <c r="X25" s="1246"/>
      <c r="Y25" s="1249"/>
      <c r="Z25" s="1250"/>
      <c r="AA25" s="1176"/>
      <c r="AB25" s="1176"/>
      <c r="AC25" s="1176"/>
      <c r="AD25" s="1251"/>
      <c r="AE25" s="1251"/>
      <c r="AF25" s="1221"/>
      <c r="AG25" s="1221"/>
      <c r="AH25" s="1221"/>
      <c r="AI25" s="1222"/>
      <c r="AJ25" s="1223"/>
      <c r="AK25" s="1224"/>
      <c r="AL25" s="1307"/>
      <c r="AM25" s="1307"/>
      <c r="AN25" s="1307"/>
      <c r="AO25" s="1308"/>
      <c r="AP25" s="1308"/>
      <c r="AQ25" s="1308"/>
      <c r="AR25" s="63"/>
      <c r="AS25" s="63"/>
      <c r="AU25" s="1150"/>
      <c r="AV25" s="1152"/>
      <c r="AW25" s="1148"/>
      <c r="AX25" s="1148"/>
      <c r="AY25" s="1148"/>
      <c r="AZ25" s="1148"/>
      <c r="BA25" s="1146"/>
      <c r="BB25" s="1144"/>
      <c r="BC25" s="1144"/>
      <c r="BD25" s="1144"/>
      <c r="BE25" s="1146"/>
      <c r="BF25" s="1148"/>
    </row>
    <row r="26" spans="1:58" ht="15.95" customHeight="1" thickBot="1" x14ac:dyDescent="0.3">
      <c r="A26" s="63"/>
      <c r="B26" s="63"/>
      <c r="C26" s="568"/>
      <c r="AQ26" s="579"/>
      <c r="AR26" s="63"/>
      <c r="AS26" s="63"/>
    </row>
    <row r="27" spans="1:58" ht="15.95" customHeight="1" thickTop="1" x14ac:dyDescent="0.25">
      <c r="A27" s="63"/>
      <c r="B27" s="63"/>
      <c r="C27" s="568"/>
      <c r="D27" s="580"/>
      <c r="E27" s="581"/>
      <c r="F27" s="581"/>
      <c r="G27" s="581"/>
      <c r="H27" s="581"/>
      <c r="I27" s="581"/>
      <c r="J27" s="581"/>
      <c r="K27" s="582"/>
      <c r="L27" s="582"/>
      <c r="M27" s="583"/>
      <c r="N27" s="583"/>
      <c r="O27" s="584"/>
      <c r="P27" s="584"/>
      <c r="Q27" s="584"/>
      <c r="R27" s="1309" t="s">
        <v>2196</v>
      </c>
      <c r="S27" s="1309"/>
      <c r="T27" s="1309"/>
      <c r="U27" s="1309"/>
      <c r="V27" s="1309"/>
      <c r="W27" s="1309"/>
      <c r="X27" s="1309"/>
      <c r="Y27" s="1309"/>
      <c r="Z27" s="1309"/>
      <c r="AA27" s="1309"/>
      <c r="AB27" s="1309"/>
      <c r="AC27" s="1309"/>
      <c r="AD27" s="585"/>
      <c r="AE27" s="585"/>
      <c r="AF27" s="586"/>
      <c r="AG27" s="586"/>
      <c r="AH27" s="586"/>
      <c r="AI27" s="586"/>
      <c r="AJ27" s="587"/>
      <c r="AK27" s="587"/>
      <c r="AL27" s="588"/>
      <c r="AM27" s="1310" t="s">
        <v>2197</v>
      </c>
      <c r="AN27" s="1310"/>
      <c r="AO27" s="1310"/>
      <c r="AP27" s="1311"/>
      <c r="AQ27" s="579"/>
      <c r="AR27" s="63"/>
      <c r="AS27" s="63"/>
    </row>
    <row r="28" spans="1:58" ht="15.95" customHeight="1" thickBot="1" x14ac:dyDescent="0.3">
      <c r="A28" s="63"/>
      <c r="B28" s="63"/>
      <c r="C28" s="568"/>
      <c r="D28" s="589"/>
      <c r="E28" s="569"/>
      <c r="F28" s="569"/>
      <c r="G28" s="569"/>
      <c r="H28" s="569"/>
      <c r="I28" s="569"/>
      <c r="J28" s="569"/>
      <c r="K28" s="570"/>
      <c r="L28" s="570"/>
      <c r="M28" s="571"/>
      <c r="N28" s="571"/>
      <c r="O28" s="572"/>
      <c r="P28" s="572"/>
      <c r="Q28" s="572"/>
      <c r="R28" s="1220"/>
      <c r="S28" s="1220"/>
      <c r="T28" s="1220"/>
      <c r="U28" s="1220"/>
      <c r="V28" s="1220"/>
      <c r="W28" s="1220"/>
      <c r="X28" s="1220"/>
      <c r="Y28" s="1220"/>
      <c r="Z28" s="1220"/>
      <c r="AA28" s="1220"/>
      <c r="AB28" s="1220"/>
      <c r="AC28" s="1220"/>
      <c r="AD28" s="575"/>
      <c r="AE28" s="575"/>
      <c r="AF28" s="576"/>
      <c r="AG28" s="576"/>
      <c r="AH28" s="576"/>
      <c r="AI28" s="576"/>
      <c r="AJ28" s="577"/>
      <c r="AK28" s="577"/>
      <c r="AL28" s="578"/>
      <c r="AM28" s="1200"/>
      <c r="AN28" s="1200"/>
      <c r="AO28" s="1200"/>
      <c r="AP28" s="1312"/>
      <c r="AQ28" s="579"/>
      <c r="AR28" s="63"/>
      <c r="AS28" s="63"/>
    </row>
    <row r="29" spans="1:58" ht="15.95" customHeight="1" x14ac:dyDescent="0.25">
      <c r="A29" s="63"/>
      <c r="B29" s="63"/>
      <c r="C29" s="568"/>
      <c r="D29" s="1303" t="s">
        <v>2198</v>
      </c>
      <c r="E29" s="1203"/>
      <c r="F29" s="1203"/>
      <c r="G29" s="1203"/>
      <c r="H29" s="1206" t="s">
        <v>2155</v>
      </c>
      <c r="I29" s="1206"/>
      <c r="J29" s="590"/>
      <c r="K29" s="1208" t="s">
        <v>2150</v>
      </c>
      <c r="L29" s="1208"/>
      <c r="M29" s="1208"/>
      <c r="N29" s="1210" t="s">
        <v>2199</v>
      </c>
      <c r="O29" s="1210"/>
      <c r="P29" s="1210"/>
      <c r="Q29" s="1210"/>
      <c r="R29" s="1210" t="s">
        <v>2157</v>
      </c>
      <c r="S29" s="1210"/>
      <c r="T29" s="1210"/>
      <c r="U29" s="1210" t="s">
        <v>2153</v>
      </c>
      <c r="V29" s="1210"/>
      <c r="W29" s="1210" t="s">
        <v>2154</v>
      </c>
      <c r="X29" s="1210"/>
      <c r="Y29" s="1301" t="s">
        <v>2200</v>
      </c>
      <c r="Z29" s="1210"/>
      <c r="AA29" s="1210"/>
      <c r="AB29" s="1210"/>
      <c r="AC29" s="1210" t="s">
        <v>2201</v>
      </c>
      <c r="AD29" s="1210"/>
      <c r="AE29" s="1210" t="s">
        <v>2157</v>
      </c>
      <c r="AF29" s="1210"/>
      <c r="AG29" s="1210"/>
      <c r="AH29" s="1210" t="s">
        <v>2158</v>
      </c>
      <c r="AI29" s="1210"/>
      <c r="AJ29" s="1210" t="s">
        <v>2154</v>
      </c>
      <c r="AK29" s="1210"/>
      <c r="AL29" s="578"/>
      <c r="AM29" s="1212" t="s">
        <v>2194</v>
      </c>
      <c r="AN29" s="1212"/>
      <c r="AO29" s="1212" t="s">
        <v>1321</v>
      </c>
      <c r="AP29" s="1296"/>
      <c r="AQ29" s="579"/>
      <c r="AR29" s="63"/>
      <c r="AS29" s="63"/>
    </row>
    <row r="30" spans="1:58" ht="15.95" customHeight="1" thickBot="1" x14ac:dyDescent="0.3">
      <c r="A30" s="63"/>
      <c r="B30" s="63"/>
      <c r="C30" s="568"/>
      <c r="D30" s="1304"/>
      <c r="E30" s="1205"/>
      <c r="F30" s="1205"/>
      <c r="G30" s="1205"/>
      <c r="H30" s="1207"/>
      <c r="I30" s="1207"/>
      <c r="J30" s="590"/>
      <c r="K30" s="1209"/>
      <c r="L30" s="1209"/>
      <c r="M30" s="1209"/>
      <c r="N30" s="1211"/>
      <c r="O30" s="1211"/>
      <c r="P30" s="1211"/>
      <c r="Q30" s="1211"/>
      <c r="R30" s="1211"/>
      <c r="S30" s="1211"/>
      <c r="T30" s="1211"/>
      <c r="U30" s="1211"/>
      <c r="V30" s="1211"/>
      <c r="W30" s="1211"/>
      <c r="X30" s="1211"/>
      <c r="Y30" s="1302"/>
      <c r="Z30" s="1211"/>
      <c r="AA30" s="1211"/>
      <c r="AB30" s="1211"/>
      <c r="AC30" s="1211"/>
      <c r="AD30" s="1211"/>
      <c r="AE30" s="1211"/>
      <c r="AF30" s="1211"/>
      <c r="AG30" s="1211"/>
      <c r="AH30" s="1211"/>
      <c r="AI30" s="1211"/>
      <c r="AJ30" s="1211"/>
      <c r="AK30" s="1211"/>
      <c r="AL30" s="578"/>
      <c r="AM30" s="1213"/>
      <c r="AN30" s="1213"/>
      <c r="AO30" s="1213"/>
      <c r="AP30" s="1297"/>
      <c r="AQ30" s="579"/>
      <c r="AR30" s="63"/>
      <c r="AS30" s="63"/>
    </row>
    <row r="31" spans="1:58" ht="15.95" customHeight="1" x14ac:dyDescent="0.25">
      <c r="A31" s="63"/>
      <c r="B31" s="63"/>
      <c r="C31" s="568"/>
      <c r="D31" s="1298"/>
      <c r="E31" s="1193"/>
      <c r="F31" s="1193"/>
      <c r="G31" s="1193"/>
      <c r="H31" s="1196"/>
      <c r="I31" s="1196"/>
      <c r="J31" s="590"/>
      <c r="K31" s="1176" t="s">
        <v>638</v>
      </c>
      <c r="L31" s="1176"/>
      <c r="M31" s="1176"/>
      <c r="N31" s="1177"/>
      <c r="O31" s="1177"/>
      <c r="P31" s="1177"/>
      <c r="Q31" s="1177"/>
      <c r="R31" s="1300"/>
      <c r="S31" s="1178"/>
      <c r="T31" s="1178"/>
      <c r="U31" s="1179"/>
      <c r="V31" s="1179"/>
      <c r="W31" s="1180" t="str">
        <f>IF(N31="","",INDEX(CMLIGHTBASE[Base Watt 1],MATCH(N31,CMLIGHTBASE[Base Desc 1],0)))</f>
        <v/>
      </c>
      <c r="X31" s="1181"/>
      <c r="Y31" s="1294"/>
      <c r="Z31" s="1183"/>
      <c r="AA31" s="1183"/>
      <c r="AB31" s="1183"/>
      <c r="AC31" s="1186"/>
      <c r="AD31" s="1186"/>
      <c r="AE31" s="1332"/>
      <c r="AF31" s="1284"/>
      <c r="AG31" s="1285"/>
      <c r="AH31" s="1229"/>
      <c r="AI31" s="1230"/>
      <c r="AJ31" s="1159"/>
      <c r="AK31" s="1160"/>
      <c r="AL31" s="578"/>
      <c r="AM31" s="1188"/>
      <c r="AN31" s="1188"/>
      <c r="AO31" s="1188"/>
      <c r="AP31" s="1305"/>
      <c r="AQ31" s="579"/>
      <c r="AR31" s="63"/>
      <c r="AS31" s="63"/>
    </row>
    <row r="32" spans="1:58" ht="15.95" customHeight="1" x14ac:dyDescent="0.25">
      <c r="A32" s="63"/>
      <c r="B32" s="63"/>
      <c r="C32" s="568"/>
      <c r="D32" s="1299"/>
      <c r="E32" s="1195"/>
      <c r="F32" s="1195"/>
      <c r="G32" s="1195"/>
      <c r="H32" s="1197"/>
      <c r="I32" s="1197"/>
      <c r="J32" s="590"/>
      <c r="K32" s="1176"/>
      <c r="L32" s="1176"/>
      <c r="M32" s="1176"/>
      <c r="N32" s="1177"/>
      <c r="O32" s="1177"/>
      <c r="P32" s="1177"/>
      <c r="Q32" s="1177"/>
      <c r="R32" s="1178"/>
      <c r="S32" s="1178"/>
      <c r="T32" s="1178"/>
      <c r="U32" s="1179"/>
      <c r="V32" s="1179"/>
      <c r="W32" s="1180"/>
      <c r="X32" s="1181"/>
      <c r="Y32" s="1295"/>
      <c r="Z32" s="1185"/>
      <c r="AA32" s="1185"/>
      <c r="AB32" s="1185"/>
      <c r="AC32" s="1187"/>
      <c r="AD32" s="1187"/>
      <c r="AE32" s="1173"/>
      <c r="AF32" s="1174"/>
      <c r="AG32" s="1175"/>
      <c r="AH32" s="1157"/>
      <c r="AI32" s="1158"/>
      <c r="AJ32" s="1161"/>
      <c r="AK32" s="1162"/>
      <c r="AL32" s="578"/>
      <c r="AM32" s="1190"/>
      <c r="AN32" s="1190"/>
      <c r="AO32" s="1190"/>
      <c r="AP32" s="1306"/>
      <c r="AQ32" s="579"/>
      <c r="AR32" s="63"/>
      <c r="AS32" s="63"/>
    </row>
    <row r="33" spans="1:45" ht="15.95" customHeight="1" x14ac:dyDescent="0.25">
      <c r="A33" s="63"/>
      <c r="B33" s="63"/>
      <c r="C33" s="568"/>
      <c r="D33" s="589"/>
      <c r="E33" s="569"/>
      <c r="F33" s="569"/>
      <c r="G33" s="569"/>
      <c r="H33" s="569"/>
      <c r="I33" s="569"/>
      <c r="J33" s="569"/>
      <c r="K33" s="1176" t="s">
        <v>638</v>
      </c>
      <c r="L33" s="1176"/>
      <c r="M33" s="1176"/>
      <c r="N33" s="1177"/>
      <c r="O33" s="1177"/>
      <c r="P33" s="1177"/>
      <c r="Q33" s="1177"/>
      <c r="R33" s="1178"/>
      <c r="S33" s="1178"/>
      <c r="T33" s="1178"/>
      <c r="U33" s="1179"/>
      <c r="V33" s="1179"/>
      <c r="W33" s="1180" t="str">
        <f>IF(N33="","",INDEX(CMLIGHTBASE[Base Watt 1],MATCH(N33,CMLIGHTBASE[Base Desc 1],0)))</f>
        <v/>
      </c>
      <c r="X33" s="1181"/>
      <c r="Y33" s="1294"/>
      <c r="Z33" s="1183"/>
      <c r="AA33" s="1183"/>
      <c r="AB33" s="1183"/>
      <c r="AC33" s="1186"/>
      <c r="AD33" s="1186"/>
      <c r="AE33" s="1331"/>
      <c r="AF33" s="1171"/>
      <c r="AG33" s="1172"/>
      <c r="AH33" s="1155"/>
      <c r="AI33" s="1156"/>
      <c r="AJ33" s="1159"/>
      <c r="AK33" s="1160"/>
      <c r="AL33" s="578"/>
      <c r="AM33" s="578"/>
      <c r="AN33" s="578"/>
      <c r="AO33" s="579"/>
      <c r="AP33" s="591"/>
      <c r="AQ33" s="579"/>
      <c r="AR33" s="63"/>
      <c r="AS33" s="63"/>
    </row>
    <row r="34" spans="1:45" ht="15.95" customHeight="1" x14ac:dyDescent="0.25">
      <c r="A34" s="63"/>
      <c r="B34" s="63"/>
      <c r="C34" s="568"/>
      <c r="D34" s="589"/>
      <c r="J34" s="590"/>
      <c r="K34" s="1176"/>
      <c r="L34" s="1176"/>
      <c r="M34" s="1176"/>
      <c r="N34" s="1177"/>
      <c r="O34" s="1177"/>
      <c r="P34" s="1177"/>
      <c r="Q34" s="1177"/>
      <c r="R34" s="1178"/>
      <c r="S34" s="1178"/>
      <c r="T34" s="1178"/>
      <c r="U34" s="1179"/>
      <c r="V34" s="1179"/>
      <c r="W34" s="1180"/>
      <c r="X34" s="1181"/>
      <c r="Y34" s="1295"/>
      <c r="Z34" s="1185"/>
      <c r="AA34" s="1185"/>
      <c r="AB34" s="1185"/>
      <c r="AC34" s="1187"/>
      <c r="AD34" s="1187"/>
      <c r="AE34" s="1173"/>
      <c r="AF34" s="1174"/>
      <c r="AG34" s="1175"/>
      <c r="AH34" s="1157"/>
      <c r="AI34" s="1158"/>
      <c r="AJ34" s="1161"/>
      <c r="AK34" s="1162"/>
      <c r="AL34" s="578"/>
      <c r="AM34" s="578"/>
      <c r="AN34" s="578"/>
      <c r="AO34" s="579"/>
      <c r="AP34" s="591"/>
      <c r="AQ34" s="579"/>
      <c r="AR34" s="63"/>
      <c r="AS34" s="63"/>
    </row>
    <row r="35" spans="1:45" ht="15.95" customHeight="1" x14ac:dyDescent="0.25">
      <c r="A35" s="63"/>
      <c r="B35" s="63"/>
      <c r="C35" s="568"/>
      <c r="D35" s="589"/>
      <c r="J35" s="590"/>
      <c r="K35" s="1176" t="s">
        <v>638</v>
      </c>
      <c r="L35" s="1176"/>
      <c r="M35" s="1176"/>
      <c r="N35" s="1177"/>
      <c r="O35" s="1177"/>
      <c r="P35" s="1177"/>
      <c r="Q35" s="1177"/>
      <c r="R35" s="1178"/>
      <c r="S35" s="1178"/>
      <c r="T35" s="1178"/>
      <c r="U35" s="1179"/>
      <c r="V35" s="1179"/>
      <c r="W35" s="1180" t="str">
        <f>IF(N35="","",INDEX(CMLIGHTBASE[Base Watt 1],MATCH(N35,CMLIGHTBASE[Base Desc 1],0)))</f>
        <v/>
      </c>
      <c r="X35" s="1181"/>
      <c r="Y35" s="1294"/>
      <c r="Z35" s="1183"/>
      <c r="AA35" s="1183"/>
      <c r="AB35" s="1183"/>
      <c r="AC35" s="1186"/>
      <c r="AD35" s="1186"/>
      <c r="AE35" s="1170"/>
      <c r="AF35" s="1171"/>
      <c r="AG35" s="1172"/>
      <c r="AH35" s="1155"/>
      <c r="AI35" s="1156"/>
      <c r="AJ35" s="1159"/>
      <c r="AK35" s="1160"/>
      <c r="AL35" s="578"/>
      <c r="AM35" s="578"/>
      <c r="AN35" s="578"/>
      <c r="AO35" s="579"/>
      <c r="AP35" s="591"/>
      <c r="AQ35" s="579"/>
      <c r="AR35" s="63"/>
      <c r="AS35" s="63"/>
    </row>
    <row r="36" spans="1:45" ht="15.95" customHeight="1" x14ac:dyDescent="0.25">
      <c r="A36" s="63"/>
      <c r="B36" s="63"/>
      <c r="C36" s="568"/>
      <c r="D36" s="589"/>
      <c r="J36" s="590"/>
      <c r="K36" s="1176"/>
      <c r="L36" s="1176"/>
      <c r="M36" s="1176"/>
      <c r="N36" s="1177"/>
      <c r="O36" s="1177"/>
      <c r="P36" s="1177"/>
      <c r="Q36" s="1177"/>
      <c r="R36" s="1178"/>
      <c r="S36" s="1178"/>
      <c r="T36" s="1178"/>
      <c r="U36" s="1179"/>
      <c r="V36" s="1179"/>
      <c r="W36" s="1180"/>
      <c r="X36" s="1181"/>
      <c r="Y36" s="1295"/>
      <c r="Z36" s="1185"/>
      <c r="AA36" s="1185"/>
      <c r="AB36" s="1185"/>
      <c r="AC36" s="1187"/>
      <c r="AD36" s="1187"/>
      <c r="AE36" s="1173"/>
      <c r="AF36" s="1174"/>
      <c r="AG36" s="1175"/>
      <c r="AH36" s="1157"/>
      <c r="AI36" s="1158"/>
      <c r="AJ36" s="1161"/>
      <c r="AK36" s="1162"/>
      <c r="AL36" s="578"/>
      <c r="AM36" s="578"/>
      <c r="AN36" s="578"/>
      <c r="AO36" s="579"/>
      <c r="AP36" s="591"/>
      <c r="AQ36" s="579"/>
      <c r="AR36" s="63"/>
      <c r="AS36" s="63"/>
    </row>
    <row r="37" spans="1:45" ht="15.95" customHeight="1" x14ac:dyDescent="0.25">
      <c r="A37" s="63"/>
      <c r="B37" s="63"/>
      <c r="C37" s="568"/>
      <c r="D37" s="589"/>
      <c r="J37" s="590"/>
      <c r="K37" s="1176" t="s">
        <v>638</v>
      </c>
      <c r="L37" s="1176"/>
      <c r="M37" s="1176"/>
      <c r="N37" s="1177"/>
      <c r="O37" s="1177"/>
      <c r="P37" s="1177"/>
      <c r="Q37" s="1177"/>
      <c r="R37" s="1178"/>
      <c r="S37" s="1178"/>
      <c r="T37" s="1178"/>
      <c r="U37" s="1179"/>
      <c r="V37" s="1179"/>
      <c r="W37" s="1180" t="str">
        <f>IF(N37="","",INDEX(CMLIGHTBASE[Base Watt 1],MATCH(N37,CMLIGHTBASE[Base Desc 1],0)))</f>
        <v/>
      </c>
      <c r="X37" s="1181"/>
      <c r="Y37" s="1294"/>
      <c r="Z37" s="1183"/>
      <c r="AA37" s="1183"/>
      <c r="AB37" s="1183"/>
      <c r="AC37" s="1186"/>
      <c r="AD37" s="1186"/>
      <c r="AE37" s="1170"/>
      <c r="AF37" s="1171"/>
      <c r="AG37" s="1172"/>
      <c r="AH37" s="1155"/>
      <c r="AI37" s="1156"/>
      <c r="AJ37" s="1159"/>
      <c r="AK37" s="1160"/>
      <c r="AL37" s="578"/>
      <c r="AM37" s="578"/>
      <c r="AN37" s="578"/>
      <c r="AO37" s="579"/>
      <c r="AP37" s="591"/>
      <c r="AQ37" s="579"/>
      <c r="AR37" s="63"/>
      <c r="AS37" s="63"/>
    </row>
    <row r="38" spans="1:45" ht="15.95" customHeight="1" x14ac:dyDescent="0.25">
      <c r="A38" s="63"/>
      <c r="B38" s="63"/>
      <c r="C38" s="568"/>
      <c r="D38" s="589"/>
      <c r="E38" s="569"/>
      <c r="F38" s="569"/>
      <c r="G38" s="569"/>
      <c r="H38" s="569"/>
      <c r="I38" s="569"/>
      <c r="J38" s="590"/>
      <c r="K38" s="1176"/>
      <c r="L38" s="1176"/>
      <c r="M38" s="1176"/>
      <c r="N38" s="1177"/>
      <c r="O38" s="1177"/>
      <c r="P38" s="1177"/>
      <c r="Q38" s="1177"/>
      <c r="R38" s="1178"/>
      <c r="S38" s="1178"/>
      <c r="T38" s="1178"/>
      <c r="U38" s="1179"/>
      <c r="V38" s="1179"/>
      <c r="W38" s="1180"/>
      <c r="X38" s="1181"/>
      <c r="Y38" s="1295"/>
      <c r="Z38" s="1185"/>
      <c r="AA38" s="1185"/>
      <c r="AB38" s="1185"/>
      <c r="AC38" s="1187"/>
      <c r="AD38" s="1187"/>
      <c r="AE38" s="1173"/>
      <c r="AF38" s="1174"/>
      <c r="AG38" s="1175"/>
      <c r="AH38" s="1157"/>
      <c r="AI38" s="1158"/>
      <c r="AJ38" s="1161"/>
      <c r="AK38" s="1162"/>
      <c r="AL38" s="578"/>
      <c r="AM38" s="578"/>
      <c r="AN38" s="578"/>
      <c r="AO38" s="579"/>
      <c r="AP38" s="591"/>
      <c r="AQ38" s="579"/>
      <c r="AR38" s="63"/>
      <c r="AS38" s="63"/>
    </row>
    <row r="39" spans="1:45" ht="15.95" customHeight="1" x14ac:dyDescent="0.25">
      <c r="A39" s="63"/>
      <c r="B39" s="63"/>
      <c r="C39" s="568"/>
      <c r="D39" s="589"/>
      <c r="E39" s="569"/>
      <c r="F39" s="569"/>
      <c r="G39" s="569"/>
      <c r="H39" s="569"/>
      <c r="I39" s="569"/>
      <c r="J39" s="569"/>
      <c r="K39" s="1176" t="s">
        <v>638</v>
      </c>
      <c r="L39" s="1176"/>
      <c r="M39" s="1176"/>
      <c r="N39" s="1177"/>
      <c r="O39" s="1177"/>
      <c r="P39" s="1177"/>
      <c r="Q39" s="1177"/>
      <c r="R39" s="1178"/>
      <c r="S39" s="1178"/>
      <c r="T39" s="1178"/>
      <c r="U39" s="1179"/>
      <c r="V39" s="1179"/>
      <c r="W39" s="1180" t="str">
        <f>IF(N39="","",INDEX(CMLIGHTBASE[Base Watt 1],MATCH(N39,CMLIGHTBASE[Base Desc 1],0)))</f>
        <v/>
      </c>
      <c r="X39" s="1181"/>
      <c r="Y39" s="1294"/>
      <c r="Z39" s="1183"/>
      <c r="AA39" s="1183"/>
      <c r="AB39" s="1183"/>
      <c r="AC39" s="1186"/>
      <c r="AD39" s="1186"/>
      <c r="AE39" s="1170"/>
      <c r="AF39" s="1171"/>
      <c r="AG39" s="1172"/>
      <c r="AH39" s="1155"/>
      <c r="AI39" s="1156"/>
      <c r="AJ39" s="1159"/>
      <c r="AK39" s="1160"/>
      <c r="AL39" s="578"/>
      <c r="AM39" s="578"/>
      <c r="AN39" s="578"/>
      <c r="AO39" s="579"/>
      <c r="AP39" s="591"/>
      <c r="AQ39" s="579"/>
      <c r="AR39" s="63"/>
      <c r="AS39" s="63"/>
    </row>
    <row r="40" spans="1:45" ht="15.95" customHeight="1" x14ac:dyDescent="0.25">
      <c r="A40" s="63"/>
      <c r="B40" s="63"/>
      <c r="C40" s="568"/>
      <c r="D40" s="589"/>
      <c r="E40" s="569"/>
      <c r="F40" s="569"/>
      <c r="G40" s="569"/>
      <c r="H40" s="569"/>
      <c r="I40" s="569"/>
      <c r="J40" s="569"/>
      <c r="K40" s="1176"/>
      <c r="L40" s="1176"/>
      <c r="M40" s="1176"/>
      <c r="N40" s="1177"/>
      <c r="O40" s="1177"/>
      <c r="P40" s="1177"/>
      <c r="Q40" s="1177"/>
      <c r="R40" s="1178"/>
      <c r="S40" s="1178"/>
      <c r="T40" s="1178"/>
      <c r="U40" s="1179"/>
      <c r="V40" s="1179"/>
      <c r="W40" s="1180"/>
      <c r="X40" s="1181"/>
      <c r="Y40" s="1295"/>
      <c r="Z40" s="1185"/>
      <c r="AA40" s="1185"/>
      <c r="AB40" s="1185"/>
      <c r="AC40" s="1187"/>
      <c r="AD40" s="1187"/>
      <c r="AE40" s="1173"/>
      <c r="AF40" s="1174"/>
      <c r="AG40" s="1175"/>
      <c r="AH40" s="1157"/>
      <c r="AI40" s="1158"/>
      <c r="AJ40" s="1161"/>
      <c r="AK40" s="1162"/>
      <c r="AL40" s="578"/>
      <c r="AM40" s="578"/>
      <c r="AN40" s="578"/>
      <c r="AO40" s="579"/>
      <c r="AP40" s="591"/>
      <c r="AQ40" s="579"/>
      <c r="AR40" s="63"/>
      <c r="AS40" s="63"/>
    </row>
    <row r="41" spans="1:45" ht="15.95" customHeight="1" x14ac:dyDescent="0.25">
      <c r="A41" s="63"/>
      <c r="B41" s="63"/>
      <c r="C41" s="568"/>
      <c r="D41" s="589"/>
      <c r="E41" s="569"/>
      <c r="F41" s="569"/>
      <c r="G41" s="569"/>
      <c r="H41" s="569"/>
      <c r="I41" s="569"/>
      <c r="J41" s="569"/>
      <c r="K41" s="1176" t="s">
        <v>638</v>
      </c>
      <c r="L41" s="1176"/>
      <c r="M41" s="1176"/>
      <c r="N41" s="1177"/>
      <c r="O41" s="1177"/>
      <c r="P41" s="1177"/>
      <c r="Q41" s="1177"/>
      <c r="R41" s="1178"/>
      <c r="S41" s="1178"/>
      <c r="T41" s="1178"/>
      <c r="U41" s="1179"/>
      <c r="V41" s="1179"/>
      <c r="W41" s="1180" t="str">
        <f>IF(N41="","",INDEX(CMLIGHTBASE[Base Watt 1],MATCH(N41,CMLIGHTBASE[Base Desc 1],0)))</f>
        <v/>
      </c>
      <c r="X41" s="1181"/>
      <c r="Y41" s="1294"/>
      <c r="Z41" s="1183"/>
      <c r="AA41" s="1183"/>
      <c r="AB41" s="1183"/>
      <c r="AC41" s="1186"/>
      <c r="AD41" s="1186"/>
      <c r="AE41" s="1170"/>
      <c r="AF41" s="1171"/>
      <c r="AG41" s="1172"/>
      <c r="AH41" s="1155"/>
      <c r="AI41" s="1156"/>
      <c r="AJ41" s="1159"/>
      <c r="AK41" s="1160"/>
      <c r="AL41" s="578"/>
      <c r="AM41" s="578"/>
      <c r="AN41" s="578"/>
      <c r="AO41" s="579"/>
      <c r="AP41" s="591"/>
      <c r="AQ41" s="579"/>
      <c r="AR41" s="63"/>
      <c r="AS41" s="63"/>
    </row>
    <row r="42" spans="1:45" ht="15.95" customHeight="1" x14ac:dyDescent="0.25">
      <c r="A42" s="63"/>
      <c r="B42" s="63"/>
      <c r="C42" s="568"/>
      <c r="D42" s="589"/>
      <c r="E42" s="569"/>
      <c r="F42" s="569"/>
      <c r="G42" s="569"/>
      <c r="H42" s="569"/>
      <c r="I42" s="569"/>
      <c r="J42" s="569"/>
      <c r="K42" s="1176"/>
      <c r="L42" s="1176"/>
      <c r="M42" s="1176"/>
      <c r="N42" s="1177"/>
      <c r="O42" s="1177"/>
      <c r="P42" s="1177"/>
      <c r="Q42" s="1177"/>
      <c r="R42" s="1178"/>
      <c r="S42" s="1178"/>
      <c r="T42" s="1178"/>
      <c r="U42" s="1179"/>
      <c r="V42" s="1179"/>
      <c r="W42" s="1180"/>
      <c r="X42" s="1181"/>
      <c r="Y42" s="1295"/>
      <c r="Z42" s="1185"/>
      <c r="AA42" s="1185"/>
      <c r="AB42" s="1185"/>
      <c r="AC42" s="1187"/>
      <c r="AD42" s="1187"/>
      <c r="AE42" s="1173"/>
      <c r="AF42" s="1174"/>
      <c r="AG42" s="1175"/>
      <c r="AH42" s="1157"/>
      <c r="AI42" s="1158"/>
      <c r="AJ42" s="1161"/>
      <c r="AK42" s="1162"/>
      <c r="AL42" s="578"/>
      <c r="AM42" s="578"/>
      <c r="AN42" s="578"/>
      <c r="AO42" s="579"/>
      <c r="AP42" s="591"/>
      <c r="AQ42" s="579"/>
      <c r="AR42" s="63"/>
      <c r="AS42" s="63"/>
    </row>
    <row r="43" spans="1:45" ht="15.95" customHeight="1" x14ac:dyDescent="0.25">
      <c r="A43" s="63"/>
      <c r="B43" s="63"/>
      <c r="C43" s="568"/>
      <c r="D43" s="589"/>
      <c r="E43" s="63"/>
      <c r="F43" s="569"/>
      <c r="G43" s="569"/>
      <c r="H43" s="569"/>
      <c r="I43" s="569"/>
      <c r="J43" s="569"/>
      <c r="K43" s="1176" t="s">
        <v>638</v>
      </c>
      <c r="L43" s="1176"/>
      <c r="M43" s="1176"/>
      <c r="N43" s="1177"/>
      <c r="O43" s="1177"/>
      <c r="P43" s="1177"/>
      <c r="Q43" s="1177"/>
      <c r="R43" s="1178"/>
      <c r="S43" s="1178"/>
      <c r="T43" s="1178"/>
      <c r="U43" s="1179"/>
      <c r="V43" s="1179"/>
      <c r="W43" s="1180" t="str">
        <f>IF(N43="","",INDEX(CMLIGHTBASE[Base Watt 1],MATCH(N43,CMLIGHTBASE[Base Desc 1],0)))</f>
        <v/>
      </c>
      <c r="X43" s="1181"/>
      <c r="Y43" s="1294"/>
      <c r="Z43" s="1183"/>
      <c r="AA43" s="1183"/>
      <c r="AB43" s="1183"/>
      <c r="AC43" s="1186"/>
      <c r="AD43" s="1186"/>
      <c r="AE43" s="1170"/>
      <c r="AF43" s="1171"/>
      <c r="AG43" s="1172"/>
      <c r="AH43" s="1155"/>
      <c r="AI43" s="1156"/>
      <c r="AJ43" s="1159"/>
      <c r="AK43" s="1160"/>
      <c r="AL43" s="578"/>
      <c r="AM43" s="578"/>
      <c r="AN43" s="578"/>
      <c r="AO43" s="579"/>
      <c r="AP43" s="591"/>
      <c r="AQ43" s="579"/>
      <c r="AR43" s="63"/>
      <c r="AS43" s="63"/>
    </row>
    <row r="44" spans="1:45" ht="15.95" customHeight="1" x14ac:dyDescent="0.25">
      <c r="A44" s="63"/>
      <c r="B44" s="63"/>
      <c r="C44" s="568"/>
      <c r="D44" s="589"/>
      <c r="E44" s="63"/>
      <c r="F44" s="569"/>
      <c r="G44" s="569"/>
      <c r="H44" s="569"/>
      <c r="I44" s="569"/>
      <c r="J44" s="569"/>
      <c r="K44" s="1176"/>
      <c r="L44" s="1176"/>
      <c r="M44" s="1176"/>
      <c r="N44" s="1177"/>
      <c r="O44" s="1177"/>
      <c r="P44" s="1177"/>
      <c r="Q44" s="1177"/>
      <c r="R44" s="1178"/>
      <c r="S44" s="1178"/>
      <c r="T44" s="1178"/>
      <c r="U44" s="1179"/>
      <c r="V44" s="1179"/>
      <c r="W44" s="1180"/>
      <c r="X44" s="1181"/>
      <c r="Y44" s="1295"/>
      <c r="Z44" s="1185"/>
      <c r="AA44" s="1185"/>
      <c r="AB44" s="1185"/>
      <c r="AC44" s="1187"/>
      <c r="AD44" s="1187"/>
      <c r="AE44" s="1173"/>
      <c r="AF44" s="1174"/>
      <c r="AG44" s="1175"/>
      <c r="AH44" s="1157"/>
      <c r="AI44" s="1158"/>
      <c r="AJ44" s="1161"/>
      <c r="AK44" s="1162"/>
      <c r="AL44" s="578"/>
      <c r="AM44" s="578"/>
      <c r="AN44" s="578"/>
      <c r="AO44" s="579"/>
      <c r="AP44" s="591"/>
      <c r="AQ44" s="579"/>
      <c r="AR44" s="63"/>
      <c r="AS44" s="63"/>
    </row>
    <row r="45" spans="1:45" ht="15.95" customHeight="1" x14ac:dyDescent="0.25">
      <c r="A45" s="63"/>
      <c r="B45" s="63"/>
      <c r="C45" s="568"/>
      <c r="D45" s="589"/>
      <c r="E45" s="63"/>
      <c r="F45" s="569"/>
      <c r="G45" s="569"/>
      <c r="H45" s="569"/>
      <c r="I45" s="569"/>
      <c r="J45" s="569"/>
      <c r="K45" s="1176" t="s">
        <v>638</v>
      </c>
      <c r="L45" s="1176"/>
      <c r="M45" s="1176"/>
      <c r="N45" s="1177"/>
      <c r="O45" s="1177"/>
      <c r="P45" s="1177"/>
      <c r="Q45" s="1177"/>
      <c r="R45" s="1178"/>
      <c r="S45" s="1178"/>
      <c r="T45" s="1178"/>
      <c r="U45" s="1179"/>
      <c r="V45" s="1179"/>
      <c r="W45" s="1180" t="str">
        <f>IF(N45="","",INDEX(CMLIGHTBASE[Base Watt 1],MATCH(N45,CMLIGHTBASE[Base Desc 1],0)))</f>
        <v/>
      </c>
      <c r="X45" s="1181"/>
      <c r="Y45" s="1294"/>
      <c r="Z45" s="1183"/>
      <c r="AA45" s="1183"/>
      <c r="AB45" s="1183"/>
      <c r="AC45" s="1186"/>
      <c r="AD45" s="1186"/>
      <c r="AE45" s="1170"/>
      <c r="AF45" s="1171"/>
      <c r="AG45" s="1172"/>
      <c r="AH45" s="1155"/>
      <c r="AI45" s="1156"/>
      <c r="AJ45" s="1159"/>
      <c r="AK45" s="1160"/>
      <c r="AL45" s="578"/>
      <c r="AM45" s="578"/>
      <c r="AN45" s="578"/>
      <c r="AO45" s="579"/>
      <c r="AP45" s="591"/>
      <c r="AQ45" s="579"/>
      <c r="AR45" s="63"/>
      <c r="AS45" s="63"/>
    </row>
    <row r="46" spans="1:45" ht="15.95" customHeight="1" x14ac:dyDescent="0.25">
      <c r="A46" s="63"/>
      <c r="B46" s="63"/>
      <c r="C46" s="568"/>
      <c r="D46" s="589"/>
      <c r="E46" s="63"/>
      <c r="F46" s="569"/>
      <c r="G46" s="569"/>
      <c r="H46" s="569"/>
      <c r="I46" s="569"/>
      <c r="J46" s="569"/>
      <c r="K46" s="1176"/>
      <c r="L46" s="1176"/>
      <c r="M46" s="1176"/>
      <c r="N46" s="1177"/>
      <c r="O46" s="1177"/>
      <c r="P46" s="1177"/>
      <c r="Q46" s="1177"/>
      <c r="R46" s="1178"/>
      <c r="S46" s="1178"/>
      <c r="T46" s="1178"/>
      <c r="U46" s="1179"/>
      <c r="V46" s="1179"/>
      <c r="W46" s="1180"/>
      <c r="X46" s="1181"/>
      <c r="Y46" s="1295"/>
      <c r="Z46" s="1185"/>
      <c r="AA46" s="1185"/>
      <c r="AB46" s="1185"/>
      <c r="AC46" s="1187"/>
      <c r="AD46" s="1187"/>
      <c r="AE46" s="1173"/>
      <c r="AF46" s="1174"/>
      <c r="AG46" s="1175"/>
      <c r="AH46" s="1157"/>
      <c r="AI46" s="1158"/>
      <c r="AJ46" s="1161"/>
      <c r="AK46" s="1162"/>
      <c r="AL46" s="578"/>
      <c r="AM46" s="578"/>
      <c r="AN46" s="578"/>
      <c r="AO46" s="579"/>
      <c r="AP46" s="591"/>
      <c r="AQ46" s="579"/>
      <c r="AR46" s="63"/>
      <c r="AS46" s="63"/>
    </row>
    <row r="47" spans="1:45" ht="15.95" customHeight="1" x14ac:dyDescent="0.25">
      <c r="A47" s="63"/>
      <c r="B47" s="63"/>
      <c r="C47" s="568"/>
      <c r="D47" s="589"/>
      <c r="E47" s="569"/>
      <c r="F47" s="569"/>
      <c r="G47" s="569"/>
      <c r="H47" s="569"/>
      <c r="I47" s="569"/>
      <c r="J47" s="569"/>
      <c r="K47" s="1176" t="s">
        <v>638</v>
      </c>
      <c r="L47" s="1176"/>
      <c r="M47" s="1176"/>
      <c r="N47" s="1177"/>
      <c r="O47" s="1177"/>
      <c r="P47" s="1177"/>
      <c r="Q47" s="1177"/>
      <c r="R47" s="1178"/>
      <c r="S47" s="1178"/>
      <c r="T47" s="1178"/>
      <c r="U47" s="1179"/>
      <c r="V47" s="1179"/>
      <c r="W47" s="1180" t="str">
        <f>IF(N47="","",INDEX(CMLIGHTBASE[Base Watt 1],MATCH(N47,CMLIGHTBASE[Base Desc 1],0)))</f>
        <v/>
      </c>
      <c r="X47" s="1181"/>
      <c r="Y47" s="1294"/>
      <c r="Z47" s="1183"/>
      <c r="AA47" s="1183"/>
      <c r="AB47" s="1183"/>
      <c r="AC47" s="1186"/>
      <c r="AD47" s="1186"/>
      <c r="AE47" s="1170"/>
      <c r="AF47" s="1171"/>
      <c r="AG47" s="1172"/>
      <c r="AH47" s="1155"/>
      <c r="AI47" s="1156"/>
      <c r="AJ47" s="1159"/>
      <c r="AK47" s="1160"/>
      <c r="AL47" s="578"/>
      <c r="AM47" s="578"/>
      <c r="AN47" s="578"/>
      <c r="AO47" s="579"/>
      <c r="AP47" s="591"/>
      <c r="AQ47" s="579"/>
      <c r="AR47" s="63"/>
      <c r="AS47" s="63"/>
    </row>
    <row r="48" spans="1:45" ht="15.95" customHeight="1" x14ac:dyDescent="0.25">
      <c r="A48" s="63"/>
      <c r="B48" s="63"/>
      <c r="C48" s="568"/>
      <c r="D48" s="589"/>
      <c r="E48" s="569"/>
      <c r="F48" s="569"/>
      <c r="G48" s="569"/>
      <c r="H48" s="569"/>
      <c r="I48" s="569"/>
      <c r="J48" s="569"/>
      <c r="K48" s="1176"/>
      <c r="L48" s="1176"/>
      <c r="M48" s="1176"/>
      <c r="N48" s="1177"/>
      <c r="O48" s="1177"/>
      <c r="P48" s="1177"/>
      <c r="Q48" s="1177"/>
      <c r="R48" s="1178"/>
      <c r="S48" s="1178"/>
      <c r="T48" s="1178"/>
      <c r="U48" s="1179"/>
      <c r="V48" s="1179"/>
      <c r="W48" s="1180"/>
      <c r="X48" s="1181"/>
      <c r="Y48" s="1295"/>
      <c r="Z48" s="1185"/>
      <c r="AA48" s="1185"/>
      <c r="AB48" s="1185"/>
      <c r="AC48" s="1187"/>
      <c r="AD48" s="1187"/>
      <c r="AE48" s="1173"/>
      <c r="AF48" s="1174"/>
      <c r="AG48" s="1175"/>
      <c r="AH48" s="1157"/>
      <c r="AI48" s="1158"/>
      <c r="AJ48" s="1161"/>
      <c r="AK48" s="1162"/>
      <c r="AL48" s="578"/>
      <c r="AM48" s="578"/>
      <c r="AN48" s="578"/>
      <c r="AO48" s="579"/>
      <c r="AP48" s="591"/>
      <c r="AQ48" s="579"/>
      <c r="AR48" s="63"/>
      <c r="AS48" s="63"/>
    </row>
    <row r="49" spans="1:45" ht="15.95" customHeight="1" x14ac:dyDescent="0.25">
      <c r="A49" s="63"/>
      <c r="B49" s="63"/>
      <c r="C49" s="568"/>
      <c r="D49" s="589"/>
      <c r="E49" s="569"/>
      <c r="F49" s="569"/>
      <c r="G49" s="569"/>
      <c r="H49" s="569"/>
      <c r="I49" s="569"/>
      <c r="J49" s="569"/>
      <c r="K49" s="1176" t="s">
        <v>638</v>
      </c>
      <c r="L49" s="1176"/>
      <c r="M49" s="1176"/>
      <c r="N49" s="1177"/>
      <c r="O49" s="1177"/>
      <c r="P49" s="1177"/>
      <c r="Q49" s="1177"/>
      <c r="R49" s="1178"/>
      <c r="S49" s="1178"/>
      <c r="T49" s="1178"/>
      <c r="U49" s="1179"/>
      <c r="V49" s="1179"/>
      <c r="W49" s="1180" t="str">
        <f>IF(N49="","",INDEX(CMLIGHTBASE[Base Watt 1],MATCH(N49,CMLIGHTBASE[Base Desc 1],0)))</f>
        <v/>
      </c>
      <c r="X49" s="1181"/>
      <c r="Y49" s="1294"/>
      <c r="Z49" s="1183"/>
      <c r="AA49" s="1183"/>
      <c r="AB49" s="1183"/>
      <c r="AC49" s="1186"/>
      <c r="AD49" s="1186"/>
      <c r="AE49" s="1170"/>
      <c r="AF49" s="1171"/>
      <c r="AG49" s="1172"/>
      <c r="AH49" s="1155"/>
      <c r="AI49" s="1156"/>
      <c r="AJ49" s="1159"/>
      <c r="AK49" s="1160"/>
      <c r="AL49" s="578"/>
      <c r="AM49" s="578"/>
      <c r="AN49" s="578"/>
      <c r="AO49" s="579"/>
      <c r="AP49" s="591"/>
      <c r="AQ49" s="579"/>
      <c r="AR49" s="63"/>
      <c r="AS49" s="63"/>
    </row>
    <row r="50" spans="1:45" ht="15.95" customHeight="1" x14ac:dyDescent="0.25">
      <c r="A50" s="63"/>
      <c r="B50" s="63"/>
      <c r="C50" s="568"/>
      <c r="D50" s="589"/>
      <c r="E50" s="569"/>
      <c r="F50" s="569"/>
      <c r="G50" s="569"/>
      <c r="H50" s="569"/>
      <c r="I50" s="569"/>
      <c r="J50" s="569"/>
      <c r="K50" s="1176"/>
      <c r="L50" s="1176"/>
      <c r="M50" s="1176"/>
      <c r="N50" s="1177"/>
      <c r="O50" s="1177"/>
      <c r="P50" s="1177"/>
      <c r="Q50" s="1177"/>
      <c r="R50" s="1178"/>
      <c r="S50" s="1178"/>
      <c r="T50" s="1178"/>
      <c r="U50" s="1179"/>
      <c r="V50" s="1179"/>
      <c r="W50" s="1180"/>
      <c r="X50" s="1181"/>
      <c r="Y50" s="1295"/>
      <c r="Z50" s="1185"/>
      <c r="AA50" s="1185"/>
      <c r="AB50" s="1185"/>
      <c r="AC50" s="1187"/>
      <c r="AD50" s="1187"/>
      <c r="AE50" s="1173"/>
      <c r="AF50" s="1174"/>
      <c r="AG50" s="1175"/>
      <c r="AH50" s="1157"/>
      <c r="AI50" s="1158"/>
      <c r="AJ50" s="1161"/>
      <c r="AK50" s="1162"/>
      <c r="AL50" s="578"/>
      <c r="AM50" s="578"/>
      <c r="AN50" s="578"/>
      <c r="AO50" s="579"/>
      <c r="AP50" s="591"/>
      <c r="AQ50" s="579"/>
      <c r="AR50" s="63"/>
      <c r="AS50" s="63"/>
    </row>
    <row r="51" spans="1:45" ht="15.95" customHeight="1" x14ac:dyDescent="0.25">
      <c r="A51" s="63"/>
      <c r="B51" s="63"/>
      <c r="C51" s="568"/>
      <c r="D51" s="589"/>
      <c r="E51" s="569"/>
      <c r="F51" s="569"/>
      <c r="G51" s="569"/>
      <c r="H51" s="569"/>
      <c r="I51" s="569"/>
      <c r="J51" s="569"/>
      <c r="K51" s="570"/>
      <c r="L51" s="570"/>
      <c r="M51" s="571"/>
      <c r="N51" s="571"/>
      <c r="O51" s="572"/>
      <c r="P51" s="572"/>
      <c r="Q51" s="572"/>
      <c r="R51" s="573"/>
      <c r="S51" s="573"/>
      <c r="T51" s="573"/>
      <c r="U51" s="1163"/>
      <c r="V51" s="1164"/>
      <c r="W51" s="1166">
        <f>SUMPRODUCT(U31:V50,W31:X50)</f>
        <v>0</v>
      </c>
      <c r="X51" s="1167"/>
      <c r="Y51" s="571"/>
      <c r="Z51" s="571"/>
      <c r="AA51" s="574"/>
      <c r="AB51" s="574"/>
      <c r="AC51" s="574"/>
      <c r="AD51" s="575"/>
      <c r="AE51" s="575"/>
      <c r="AF51" s="576"/>
      <c r="AG51" s="576"/>
      <c r="AH51" s="576"/>
      <c r="AI51" s="576"/>
      <c r="AJ51" s="1166">
        <f>SUMPRODUCT(AH31:AI50,AJ31:AK50)</f>
        <v>0</v>
      </c>
      <c r="AK51" s="1167"/>
      <c r="AL51" s="578"/>
      <c r="AM51" s="578"/>
      <c r="AN51" s="578"/>
      <c r="AO51" s="579"/>
      <c r="AP51" s="591"/>
      <c r="AQ51" s="579"/>
      <c r="AR51" s="63"/>
      <c r="AS51" s="63"/>
    </row>
    <row r="52" spans="1:45" ht="15.95" customHeight="1" thickBot="1" x14ac:dyDescent="0.3">
      <c r="A52" s="63"/>
      <c r="B52" s="63"/>
      <c r="C52" s="568"/>
      <c r="D52" s="592"/>
      <c r="E52" s="593"/>
      <c r="F52" s="593"/>
      <c r="G52" s="593"/>
      <c r="H52" s="593"/>
      <c r="I52" s="593"/>
      <c r="J52" s="593"/>
      <c r="K52" s="594"/>
      <c r="L52" s="594"/>
      <c r="M52" s="595"/>
      <c r="N52" s="595"/>
      <c r="O52" s="596"/>
      <c r="P52" s="596"/>
      <c r="Q52" s="596"/>
      <c r="R52" s="597"/>
      <c r="S52" s="597"/>
      <c r="T52" s="597"/>
      <c r="U52" s="1225"/>
      <c r="V52" s="1225"/>
      <c r="W52" s="1226"/>
      <c r="X52" s="1227"/>
      <c r="Y52" s="595"/>
      <c r="Z52" s="595"/>
      <c r="AA52" s="598"/>
      <c r="AB52" s="598"/>
      <c r="AC52" s="598"/>
      <c r="AD52" s="599"/>
      <c r="AE52" s="599"/>
      <c r="AF52" s="600"/>
      <c r="AG52" s="600"/>
      <c r="AH52" s="600"/>
      <c r="AI52" s="600"/>
      <c r="AJ52" s="1226"/>
      <c r="AK52" s="1227"/>
      <c r="AL52" s="601"/>
      <c r="AM52" s="601"/>
      <c r="AN52" s="601"/>
      <c r="AO52" s="602"/>
      <c r="AP52" s="603"/>
      <c r="AQ52" s="579"/>
      <c r="AR52" s="63"/>
      <c r="AS52" s="63"/>
    </row>
    <row r="53" spans="1:45" ht="15.95" customHeight="1" thickTop="1" thickBot="1" x14ac:dyDescent="0.3">
      <c r="A53" s="63"/>
      <c r="B53" s="63"/>
      <c r="C53" s="568"/>
      <c r="D53" s="568"/>
      <c r="E53" s="569"/>
      <c r="F53" s="569"/>
      <c r="G53" s="569"/>
      <c r="H53" s="569"/>
      <c r="I53" s="569"/>
      <c r="J53" s="569"/>
      <c r="K53" s="570"/>
      <c r="L53" s="570"/>
      <c r="M53" s="571"/>
      <c r="N53" s="571"/>
      <c r="O53" s="572"/>
      <c r="P53" s="572"/>
      <c r="Q53" s="572"/>
      <c r="R53" s="573"/>
      <c r="S53" s="573"/>
      <c r="T53" s="573"/>
      <c r="U53" s="574"/>
      <c r="V53" s="574"/>
      <c r="W53" s="574"/>
      <c r="X53" s="574"/>
      <c r="Y53" s="571"/>
      <c r="Z53" s="571"/>
      <c r="AA53" s="574"/>
      <c r="AB53" s="574"/>
      <c r="AC53" s="574"/>
      <c r="AD53" s="575"/>
      <c r="AE53" s="575"/>
      <c r="AF53" s="576"/>
      <c r="AG53" s="576"/>
      <c r="AH53" s="576"/>
      <c r="AI53" s="576"/>
      <c r="AJ53" s="577"/>
      <c r="AK53" s="577"/>
      <c r="AL53" s="578"/>
      <c r="AM53" s="578"/>
      <c r="AN53" s="578"/>
      <c r="AO53" s="579"/>
      <c r="AP53" s="579"/>
      <c r="AQ53" s="579"/>
      <c r="AR53" s="63"/>
      <c r="AS53" s="63"/>
    </row>
    <row r="54" spans="1:45" ht="15.95" customHeight="1" thickTop="1" x14ac:dyDescent="0.25">
      <c r="A54" s="63"/>
      <c r="B54" s="63"/>
      <c r="C54" s="568"/>
      <c r="D54" s="604"/>
      <c r="E54" s="605"/>
      <c r="F54" s="605"/>
      <c r="G54" s="605"/>
      <c r="H54" s="605"/>
      <c r="I54" s="605"/>
      <c r="J54" s="605"/>
      <c r="K54" s="606"/>
      <c r="L54" s="606"/>
      <c r="M54" s="607"/>
      <c r="N54" s="607"/>
      <c r="O54" s="608"/>
      <c r="P54" s="608"/>
      <c r="Q54" s="608"/>
      <c r="R54" s="1228" t="s">
        <v>2202</v>
      </c>
      <c r="S54" s="1228"/>
      <c r="T54" s="1228"/>
      <c r="U54" s="1228"/>
      <c r="V54" s="1228"/>
      <c r="W54" s="1228"/>
      <c r="X54" s="1228"/>
      <c r="Y54" s="1228"/>
      <c r="Z54" s="1228"/>
      <c r="AA54" s="1228"/>
      <c r="AB54" s="1228"/>
      <c r="AC54" s="1228"/>
      <c r="AD54" s="609"/>
      <c r="AE54" s="609"/>
      <c r="AF54" s="610"/>
      <c r="AG54" s="610"/>
      <c r="AH54" s="610"/>
      <c r="AI54" s="610"/>
      <c r="AJ54" s="611"/>
      <c r="AK54" s="611"/>
      <c r="AL54" s="612"/>
      <c r="AM54" s="1291" t="s">
        <v>2197</v>
      </c>
      <c r="AN54" s="1291"/>
      <c r="AO54" s="1291"/>
      <c r="AP54" s="1292"/>
      <c r="AQ54" s="579"/>
      <c r="AR54" s="63"/>
      <c r="AS54" s="63"/>
    </row>
    <row r="55" spans="1:45" ht="15.95" customHeight="1" thickBot="1" x14ac:dyDescent="0.3">
      <c r="A55" s="63"/>
      <c r="B55" s="63"/>
      <c r="C55" s="568"/>
      <c r="D55" s="613"/>
      <c r="E55" s="569"/>
      <c r="F55" s="569"/>
      <c r="G55" s="569"/>
      <c r="H55" s="569"/>
      <c r="I55" s="569"/>
      <c r="J55" s="569"/>
      <c r="K55" s="570"/>
      <c r="L55" s="570"/>
      <c r="M55" s="571"/>
      <c r="N55" s="571"/>
      <c r="O55" s="572"/>
      <c r="P55" s="572"/>
      <c r="Q55" s="572"/>
      <c r="R55" s="1220"/>
      <c r="S55" s="1220"/>
      <c r="T55" s="1220"/>
      <c r="U55" s="1220"/>
      <c r="V55" s="1220"/>
      <c r="W55" s="1220"/>
      <c r="X55" s="1220"/>
      <c r="Y55" s="1220"/>
      <c r="Z55" s="1220"/>
      <c r="AA55" s="1220"/>
      <c r="AB55" s="1220"/>
      <c r="AC55" s="1220"/>
      <c r="AD55" s="575"/>
      <c r="AE55" s="575"/>
      <c r="AF55" s="576"/>
      <c r="AG55" s="576"/>
      <c r="AH55" s="576"/>
      <c r="AI55" s="576"/>
      <c r="AJ55" s="577"/>
      <c r="AK55" s="577"/>
      <c r="AL55" s="578"/>
      <c r="AM55" s="1200"/>
      <c r="AN55" s="1200"/>
      <c r="AO55" s="1200"/>
      <c r="AP55" s="1293"/>
      <c r="AQ55" s="579"/>
      <c r="AR55" s="63"/>
      <c r="AS55" s="63"/>
    </row>
    <row r="56" spans="1:45" ht="15.95" customHeight="1" x14ac:dyDescent="0.25">
      <c r="A56" s="63"/>
      <c r="B56" s="63"/>
      <c r="C56" s="568"/>
      <c r="D56" s="1287" t="s">
        <v>2198</v>
      </c>
      <c r="E56" s="1203"/>
      <c r="F56" s="1203"/>
      <c r="G56" s="1203"/>
      <c r="H56" s="1206" t="s">
        <v>2155</v>
      </c>
      <c r="I56" s="1206"/>
      <c r="J56" s="590"/>
      <c r="K56" s="1208" t="s">
        <v>2150</v>
      </c>
      <c r="L56" s="1208"/>
      <c r="M56" s="1208"/>
      <c r="N56" s="1210" t="s">
        <v>2199</v>
      </c>
      <c r="O56" s="1210"/>
      <c r="P56" s="1210"/>
      <c r="Q56" s="1210"/>
      <c r="R56" s="1210" t="s">
        <v>2157</v>
      </c>
      <c r="S56" s="1210"/>
      <c r="T56" s="1210"/>
      <c r="U56" s="1210" t="s">
        <v>2153</v>
      </c>
      <c r="V56" s="1210"/>
      <c r="W56" s="1210" t="s">
        <v>2154</v>
      </c>
      <c r="X56" s="1210"/>
      <c r="Y56" s="1210" t="s">
        <v>2200</v>
      </c>
      <c r="Z56" s="1210"/>
      <c r="AA56" s="1210"/>
      <c r="AB56" s="1210"/>
      <c r="AC56" s="1210" t="s">
        <v>2201</v>
      </c>
      <c r="AD56" s="1210"/>
      <c r="AE56" s="1210" t="s">
        <v>2157</v>
      </c>
      <c r="AF56" s="1210"/>
      <c r="AG56" s="1210"/>
      <c r="AH56" s="1210" t="s">
        <v>2158</v>
      </c>
      <c r="AI56" s="1210"/>
      <c r="AJ56" s="1210" t="s">
        <v>2154</v>
      </c>
      <c r="AK56" s="1210"/>
      <c r="AL56" s="578"/>
      <c r="AM56" s="1212" t="s">
        <v>2194</v>
      </c>
      <c r="AN56" s="1212"/>
      <c r="AO56" s="1212" t="s">
        <v>1321</v>
      </c>
      <c r="AP56" s="1254"/>
      <c r="AQ56" s="579"/>
      <c r="AR56" s="63"/>
      <c r="AS56" s="63"/>
    </row>
    <row r="57" spans="1:45" ht="15.95" customHeight="1" thickBot="1" x14ac:dyDescent="0.3">
      <c r="A57" s="63"/>
      <c r="B57" s="63"/>
      <c r="C57" s="568"/>
      <c r="D57" s="1288"/>
      <c r="E57" s="1205"/>
      <c r="F57" s="1205"/>
      <c r="G57" s="1205"/>
      <c r="H57" s="1207"/>
      <c r="I57" s="1207"/>
      <c r="J57" s="590"/>
      <c r="K57" s="1209"/>
      <c r="L57" s="1209"/>
      <c r="M57" s="1209"/>
      <c r="N57" s="1211"/>
      <c r="O57" s="1211"/>
      <c r="P57" s="1211"/>
      <c r="Q57" s="1211"/>
      <c r="R57" s="1211"/>
      <c r="S57" s="1211"/>
      <c r="T57" s="1211"/>
      <c r="U57" s="1211"/>
      <c r="V57" s="1211"/>
      <c r="W57" s="1211"/>
      <c r="X57" s="1211"/>
      <c r="Y57" s="1211"/>
      <c r="Z57" s="1211"/>
      <c r="AA57" s="1211"/>
      <c r="AB57" s="1211"/>
      <c r="AC57" s="1211"/>
      <c r="AD57" s="1211"/>
      <c r="AE57" s="1211"/>
      <c r="AF57" s="1211"/>
      <c r="AG57" s="1211"/>
      <c r="AH57" s="1211"/>
      <c r="AI57" s="1211"/>
      <c r="AJ57" s="1211"/>
      <c r="AK57" s="1211"/>
      <c r="AL57" s="578"/>
      <c r="AM57" s="1213"/>
      <c r="AN57" s="1213"/>
      <c r="AO57" s="1213"/>
      <c r="AP57" s="1255"/>
      <c r="AQ57" s="579"/>
      <c r="AR57" s="63"/>
      <c r="AS57" s="63"/>
    </row>
    <row r="58" spans="1:45" ht="15.95" customHeight="1" x14ac:dyDescent="0.25">
      <c r="A58" s="63"/>
      <c r="B58" s="63"/>
      <c r="C58" s="568"/>
      <c r="D58" s="1289"/>
      <c r="E58" s="1193"/>
      <c r="F58" s="1193"/>
      <c r="G58" s="1193"/>
      <c r="H58" s="1196"/>
      <c r="I58" s="1196"/>
      <c r="J58" s="590"/>
      <c r="K58" s="1176" t="s">
        <v>638</v>
      </c>
      <c r="L58" s="1176"/>
      <c r="M58" s="1176"/>
      <c r="N58" s="1177"/>
      <c r="O58" s="1177"/>
      <c r="P58" s="1177"/>
      <c r="Q58" s="1177"/>
      <c r="R58" s="1178"/>
      <c r="S58" s="1178"/>
      <c r="T58" s="1178"/>
      <c r="U58" s="1179"/>
      <c r="V58" s="1179"/>
      <c r="W58" s="1180" t="str">
        <f>IF(N58="","",INDEX(CMLIGHTBASE[Base Watt 1],MATCH(N58,CMLIGHTBASE[Base Desc 1],0)))</f>
        <v/>
      </c>
      <c r="X58" s="1181"/>
      <c r="Y58" s="1281"/>
      <c r="Z58" s="1282"/>
      <c r="AA58" s="1282"/>
      <c r="AB58" s="1282"/>
      <c r="AC58" s="1186"/>
      <c r="AD58" s="1186"/>
      <c r="AE58" s="1286"/>
      <c r="AF58" s="1284"/>
      <c r="AG58" s="1285"/>
      <c r="AH58" s="1229"/>
      <c r="AI58" s="1230"/>
      <c r="AJ58" s="1159"/>
      <c r="AK58" s="1160"/>
      <c r="AL58" s="578"/>
      <c r="AM58" s="1188"/>
      <c r="AN58" s="1188"/>
      <c r="AO58" s="1188"/>
      <c r="AP58" s="1252"/>
      <c r="AQ58" s="579"/>
      <c r="AR58" s="63"/>
      <c r="AS58" s="63"/>
    </row>
    <row r="59" spans="1:45" ht="15.95" customHeight="1" x14ac:dyDescent="0.25">
      <c r="A59" s="63"/>
      <c r="B59" s="63"/>
      <c r="C59" s="568"/>
      <c r="D59" s="1290"/>
      <c r="E59" s="1195"/>
      <c r="F59" s="1195"/>
      <c r="G59" s="1195"/>
      <c r="H59" s="1197"/>
      <c r="I59" s="1197"/>
      <c r="J59" s="590"/>
      <c r="K59" s="1176"/>
      <c r="L59" s="1176"/>
      <c r="M59" s="1176"/>
      <c r="N59" s="1177"/>
      <c r="O59" s="1177"/>
      <c r="P59" s="1177"/>
      <c r="Q59" s="1177"/>
      <c r="R59" s="1178"/>
      <c r="S59" s="1178"/>
      <c r="T59" s="1178"/>
      <c r="U59" s="1179"/>
      <c r="V59" s="1179"/>
      <c r="W59" s="1180"/>
      <c r="X59" s="1181"/>
      <c r="Y59" s="1184"/>
      <c r="Z59" s="1185"/>
      <c r="AA59" s="1185"/>
      <c r="AB59" s="1185"/>
      <c r="AC59" s="1187"/>
      <c r="AD59" s="1187"/>
      <c r="AE59" s="1173"/>
      <c r="AF59" s="1174"/>
      <c r="AG59" s="1175"/>
      <c r="AH59" s="1157"/>
      <c r="AI59" s="1158"/>
      <c r="AJ59" s="1161"/>
      <c r="AK59" s="1162"/>
      <c r="AL59" s="578"/>
      <c r="AM59" s="1190"/>
      <c r="AN59" s="1190"/>
      <c r="AO59" s="1190"/>
      <c r="AP59" s="1253"/>
      <c r="AQ59" s="579"/>
      <c r="AR59" s="63"/>
      <c r="AS59" s="63"/>
    </row>
    <row r="60" spans="1:45" ht="15.95" customHeight="1" x14ac:dyDescent="0.25">
      <c r="A60" s="63"/>
      <c r="B60" s="63"/>
      <c r="C60" s="568"/>
      <c r="D60" s="613"/>
      <c r="E60" s="569"/>
      <c r="F60" s="569"/>
      <c r="G60" s="569"/>
      <c r="H60" s="569"/>
      <c r="I60" s="569"/>
      <c r="J60" s="569"/>
      <c r="K60" s="1176" t="s">
        <v>638</v>
      </c>
      <c r="L60" s="1176"/>
      <c r="M60" s="1176"/>
      <c r="N60" s="1177"/>
      <c r="O60" s="1177"/>
      <c r="P60" s="1177"/>
      <c r="Q60" s="1177"/>
      <c r="R60" s="1178"/>
      <c r="S60" s="1178"/>
      <c r="T60" s="1178"/>
      <c r="U60" s="1179"/>
      <c r="V60" s="1179"/>
      <c r="W60" s="1180" t="str">
        <f>IF(N60="","",INDEX(CMLIGHTBASE[Base Watt 1],MATCH(N60,CMLIGHTBASE[Base Desc 1],0)))</f>
        <v/>
      </c>
      <c r="X60" s="1181"/>
      <c r="Y60" s="1182"/>
      <c r="Z60" s="1183"/>
      <c r="AA60" s="1183"/>
      <c r="AB60" s="1183"/>
      <c r="AC60" s="1186"/>
      <c r="AD60" s="1186"/>
      <c r="AE60" s="1170"/>
      <c r="AF60" s="1171"/>
      <c r="AG60" s="1172"/>
      <c r="AH60" s="1155"/>
      <c r="AI60" s="1156"/>
      <c r="AJ60" s="1159"/>
      <c r="AK60" s="1160"/>
      <c r="AL60" s="578"/>
      <c r="AM60" s="578"/>
      <c r="AN60" s="578"/>
      <c r="AO60" s="579"/>
      <c r="AP60" s="614"/>
      <c r="AQ60" s="579"/>
      <c r="AR60" s="63"/>
      <c r="AS60" s="63"/>
    </row>
    <row r="61" spans="1:45" ht="15.95" customHeight="1" x14ac:dyDescent="0.25">
      <c r="A61" s="63"/>
      <c r="B61" s="63"/>
      <c r="C61" s="568"/>
      <c r="D61" s="613"/>
      <c r="J61" s="590"/>
      <c r="K61" s="1176"/>
      <c r="L61" s="1176"/>
      <c r="M61" s="1176"/>
      <c r="N61" s="1177"/>
      <c r="O61" s="1177"/>
      <c r="P61" s="1177"/>
      <c r="Q61" s="1177"/>
      <c r="R61" s="1178"/>
      <c r="S61" s="1178"/>
      <c r="T61" s="1178"/>
      <c r="U61" s="1179"/>
      <c r="V61" s="1179"/>
      <c r="W61" s="1180"/>
      <c r="X61" s="1181"/>
      <c r="Y61" s="1184"/>
      <c r="Z61" s="1185"/>
      <c r="AA61" s="1185"/>
      <c r="AB61" s="1185"/>
      <c r="AC61" s="1187"/>
      <c r="AD61" s="1187"/>
      <c r="AE61" s="1173"/>
      <c r="AF61" s="1174"/>
      <c r="AG61" s="1175"/>
      <c r="AH61" s="1157"/>
      <c r="AI61" s="1158"/>
      <c r="AJ61" s="1161"/>
      <c r="AK61" s="1162"/>
      <c r="AL61" s="578"/>
      <c r="AM61" s="578"/>
      <c r="AN61" s="578"/>
      <c r="AO61" s="579"/>
      <c r="AP61" s="614"/>
      <c r="AQ61" s="579"/>
      <c r="AR61" s="63"/>
      <c r="AS61" s="63"/>
    </row>
    <row r="62" spans="1:45" ht="15.95" customHeight="1" x14ac:dyDescent="0.25">
      <c r="A62" s="63"/>
      <c r="B62" s="63"/>
      <c r="C62" s="568"/>
      <c r="D62" s="613"/>
      <c r="J62" s="590"/>
      <c r="K62" s="1176" t="s">
        <v>638</v>
      </c>
      <c r="L62" s="1176"/>
      <c r="M62" s="1176"/>
      <c r="N62" s="1177"/>
      <c r="O62" s="1177"/>
      <c r="P62" s="1177"/>
      <c r="Q62" s="1177"/>
      <c r="R62" s="1178"/>
      <c r="S62" s="1178"/>
      <c r="T62" s="1178"/>
      <c r="U62" s="1179"/>
      <c r="V62" s="1179"/>
      <c r="W62" s="1180" t="str">
        <f>IF(N62="","",INDEX(CMLIGHTBASE[Base Watt 1],MATCH(N62,CMLIGHTBASE[Base Desc 1],0)))</f>
        <v/>
      </c>
      <c r="X62" s="1181"/>
      <c r="Y62" s="1182"/>
      <c r="Z62" s="1183"/>
      <c r="AA62" s="1183"/>
      <c r="AB62" s="1183"/>
      <c r="AC62" s="1186"/>
      <c r="AD62" s="1186"/>
      <c r="AE62" s="1170"/>
      <c r="AF62" s="1171"/>
      <c r="AG62" s="1172"/>
      <c r="AH62" s="1155"/>
      <c r="AI62" s="1156"/>
      <c r="AJ62" s="1159"/>
      <c r="AK62" s="1160"/>
      <c r="AL62" s="578"/>
      <c r="AM62" s="578"/>
      <c r="AN62" s="578"/>
      <c r="AO62" s="579"/>
      <c r="AP62" s="614"/>
      <c r="AQ62" s="579"/>
      <c r="AR62" s="63"/>
      <c r="AS62" s="63"/>
    </row>
    <row r="63" spans="1:45" ht="15.95" customHeight="1" x14ac:dyDescent="0.25">
      <c r="A63" s="63"/>
      <c r="B63" s="63"/>
      <c r="C63" s="568"/>
      <c r="D63" s="613"/>
      <c r="J63" s="590"/>
      <c r="K63" s="1176"/>
      <c r="L63" s="1176"/>
      <c r="M63" s="1176"/>
      <c r="N63" s="1177"/>
      <c r="O63" s="1177"/>
      <c r="P63" s="1177"/>
      <c r="Q63" s="1177"/>
      <c r="R63" s="1178"/>
      <c r="S63" s="1178"/>
      <c r="T63" s="1178"/>
      <c r="U63" s="1179"/>
      <c r="V63" s="1179"/>
      <c r="W63" s="1180"/>
      <c r="X63" s="1181"/>
      <c r="Y63" s="1184"/>
      <c r="Z63" s="1185"/>
      <c r="AA63" s="1185"/>
      <c r="AB63" s="1185"/>
      <c r="AC63" s="1187"/>
      <c r="AD63" s="1187"/>
      <c r="AE63" s="1173"/>
      <c r="AF63" s="1174"/>
      <c r="AG63" s="1175"/>
      <c r="AH63" s="1157"/>
      <c r="AI63" s="1158"/>
      <c r="AJ63" s="1161"/>
      <c r="AK63" s="1162"/>
      <c r="AL63" s="578"/>
      <c r="AM63" s="578"/>
      <c r="AN63" s="578"/>
      <c r="AO63" s="579"/>
      <c r="AP63" s="614"/>
      <c r="AQ63" s="579"/>
      <c r="AR63" s="63"/>
      <c r="AS63" s="63"/>
    </row>
    <row r="64" spans="1:45" ht="15.95" customHeight="1" x14ac:dyDescent="0.25">
      <c r="A64" s="63"/>
      <c r="B64" s="63"/>
      <c r="C64" s="568"/>
      <c r="D64" s="613"/>
      <c r="J64" s="590"/>
      <c r="K64" s="1176" t="s">
        <v>638</v>
      </c>
      <c r="L64" s="1176"/>
      <c r="M64" s="1176"/>
      <c r="N64" s="1177"/>
      <c r="O64" s="1177"/>
      <c r="P64" s="1177"/>
      <c r="Q64" s="1177"/>
      <c r="R64" s="1178"/>
      <c r="S64" s="1178"/>
      <c r="T64" s="1178"/>
      <c r="U64" s="1179"/>
      <c r="V64" s="1179"/>
      <c r="W64" s="1180" t="str">
        <f>IF(N64="","",INDEX(CMLIGHTBASE[Base Watt 1],MATCH(N64,CMLIGHTBASE[Base Desc 1],0)))</f>
        <v/>
      </c>
      <c r="X64" s="1181"/>
      <c r="Y64" s="1182"/>
      <c r="Z64" s="1183"/>
      <c r="AA64" s="1183"/>
      <c r="AB64" s="1183"/>
      <c r="AC64" s="1186"/>
      <c r="AD64" s="1186"/>
      <c r="AE64" s="1170"/>
      <c r="AF64" s="1171"/>
      <c r="AG64" s="1172"/>
      <c r="AH64" s="1155"/>
      <c r="AI64" s="1156"/>
      <c r="AJ64" s="1159"/>
      <c r="AK64" s="1160"/>
      <c r="AL64" s="578"/>
      <c r="AM64" s="578"/>
      <c r="AN64" s="578"/>
      <c r="AO64" s="579"/>
      <c r="AP64" s="614"/>
      <c r="AQ64" s="579"/>
      <c r="AR64" s="63"/>
      <c r="AS64" s="63"/>
    </row>
    <row r="65" spans="1:45" ht="15.95" customHeight="1" x14ac:dyDescent="0.25">
      <c r="A65" s="63"/>
      <c r="B65" s="63"/>
      <c r="C65" s="568"/>
      <c r="D65" s="613"/>
      <c r="E65" s="569"/>
      <c r="F65" s="569"/>
      <c r="G65" s="569"/>
      <c r="H65" s="569"/>
      <c r="I65" s="569"/>
      <c r="J65" s="590"/>
      <c r="K65" s="1176"/>
      <c r="L65" s="1176"/>
      <c r="M65" s="1176"/>
      <c r="N65" s="1177"/>
      <c r="O65" s="1177"/>
      <c r="P65" s="1177"/>
      <c r="Q65" s="1177"/>
      <c r="R65" s="1178"/>
      <c r="S65" s="1178"/>
      <c r="T65" s="1178"/>
      <c r="U65" s="1179"/>
      <c r="V65" s="1179"/>
      <c r="W65" s="1180"/>
      <c r="X65" s="1181"/>
      <c r="Y65" s="1184"/>
      <c r="Z65" s="1185"/>
      <c r="AA65" s="1185"/>
      <c r="AB65" s="1185"/>
      <c r="AC65" s="1187"/>
      <c r="AD65" s="1187"/>
      <c r="AE65" s="1173"/>
      <c r="AF65" s="1174"/>
      <c r="AG65" s="1175"/>
      <c r="AH65" s="1157"/>
      <c r="AI65" s="1158"/>
      <c r="AJ65" s="1161"/>
      <c r="AK65" s="1162"/>
      <c r="AL65" s="578"/>
      <c r="AM65" s="578"/>
      <c r="AN65" s="578"/>
      <c r="AO65" s="579"/>
      <c r="AP65" s="614"/>
      <c r="AQ65" s="579"/>
      <c r="AR65" s="63"/>
      <c r="AS65" s="63"/>
    </row>
    <row r="66" spans="1:45" ht="15.95" customHeight="1" x14ac:dyDescent="0.25">
      <c r="A66" s="63"/>
      <c r="B66" s="63"/>
      <c r="C66" s="568"/>
      <c r="D66" s="613"/>
      <c r="E66" s="569"/>
      <c r="F66" s="569"/>
      <c r="G66" s="569"/>
      <c r="H66" s="569"/>
      <c r="I66" s="569"/>
      <c r="J66" s="569"/>
      <c r="K66" s="1176" t="s">
        <v>638</v>
      </c>
      <c r="L66" s="1176"/>
      <c r="M66" s="1176"/>
      <c r="N66" s="1177"/>
      <c r="O66" s="1177"/>
      <c r="P66" s="1177"/>
      <c r="Q66" s="1177"/>
      <c r="R66" s="1178"/>
      <c r="S66" s="1178"/>
      <c r="T66" s="1178"/>
      <c r="U66" s="1179"/>
      <c r="V66" s="1179"/>
      <c r="W66" s="1180" t="str">
        <f>IF(N66="","",INDEX(CMLIGHTBASE[Base Watt 1],MATCH(N66,CMLIGHTBASE[Base Desc 1],0)))</f>
        <v/>
      </c>
      <c r="X66" s="1181"/>
      <c r="Y66" s="1182"/>
      <c r="Z66" s="1183"/>
      <c r="AA66" s="1183"/>
      <c r="AB66" s="1183"/>
      <c r="AC66" s="1186"/>
      <c r="AD66" s="1186"/>
      <c r="AE66" s="1170"/>
      <c r="AF66" s="1171"/>
      <c r="AG66" s="1172"/>
      <c r="AH66" s="1155"/>
      <c r="AI66" s="1156"/>
      <c r="AJ66" s="1159"/>
      <c r="AK66" s="1160"/>
      <c r="AL66" s="578"/>
      <c r="AM66" s="578"/>
      <c r="AN66" s="578"/>
      <c r="AO66" s="579"/>
      <c r="AP66" s="614"/>
      <c r="AQ66" s="579"/>
      <c r="AR66" s="63"/>
      <c r="AS66" s="63"/>
    </row>
    <row r="67" spans="1:45" ht="15.95" customHeight="1" x14ac:dyDescent="0.25">
      <c r="A67" s="63"/>
      <c r="B67" s="63"/>
      <c r="C67" s="568"/>
      <c r="D67" s="613"/>
      <c r="E67" s="569"/>
      <c r="F67" s="569"/>
      <c r="G67" s="569"/>
      <c r="H67" s="569"/>
      <c r="I67" s="569"/>
      <c r="J67" s="569"/>
      <c r="K67" s="1176"/>
      <c r="L67" s="1176"/>
      <c r="M67" s="1176"/>
      <c r="N67" s="1177"/>
      <c r="O67" s="1177"/>
      <c r="P67" s="1177"/>
      <c r="Q67" s="1177"/>
      <c r="R67" s="1178"/>
      <c r="S67" s="1178"/>
      <c r="T67" s="1178"/>
      <c r="U67" s="1179"/>
      <c r="V67" s="1179"/>
      <c r="W67" s="1180"/>
      <c r="X67" s="1181"/>
      <c r="Y67" s="1184"/>
      <c r="Z67" s="1185"/>
      <c r="AA67" s="1185"/>
      <c r="AB67" s="1185"/>
      <c r="AC67" s="1187"/>
      <c r="AD67" s="1187"/>
      <c r="AE67" s="1173"/>
      <c r="AF67" s="1174"/>
      <c r="AG67" s="1175"/>
      <c r="AH67" s="1157"/>
      <c r="AI67" s="1158"/>
      <c r="AJ67" s="1161"/>
      <c r="AK67" s="1162"/>
      <c r="AL67" s="578"/>
      <c r="AM67" s="578"/>
      <c r="AN67" s="578"/>
      <c r="AO67" s="579"/>
      <c r="AP67" s="614"/>
      <c r="AQ67" s="579"/>
      <c r="AR67" s="63"/>
      <c r="AS67" s="63"/>
    </row>
    <row r="68" spans="1:45" ht="15.95" customHeight="1" x14ac:dyDescent="0.25">
      <c r="A68" s="63"/>
      <c r="B68" s="63"/>
      <c r="C68" s="568"/>
      <c r="D68" s="613"/>
      <c r="E68" s="569"/>
      <c r="F68" s="569"/>
      <c r="G68" s="569"/>
      <c r="H68" s="569"/>
      <c r="I68" s="569"/>
      <c r="J68" s="569"/>
      <c r="K68" s="1176" t="s">
        <v>638</v>
      </c>
      <c r="L68" s="1176"/>
      <c r="M68" s="1176"/>
      <c r="N68" s="1177"/>
      <c r="O68" s="1177"/>
      <c r="P68" s="1177"/>
      <c r="Q68" s="1177"/>
      <c r="R68" s="1178"/>
      <c r="S68" s="1178"/>
      <c r="T68" s="1178"/>
      <c r="U68" s="1179"/>
      <c r="V68" s="1179"/>
      <c r="W68" s="1180" t="str">
        <f>IF(N68="","",INDEX(CMLIGHTBASE[Base Watt 1],MATCH(N68,CMLIGHTBASE[Base Desc 1],0)))</f>
        <v/>
      </c>
      <c r="X68" s="1181"/>
      <c r="Y68" s="1182"/>
      <c r="Z68" s="1183"/>
      <c r="AA68" s="1183"/>
      <c r="AB68" s="1183"/>
      <c r="AC68" s="1186"/>
      <c r="AD68" s="1186"/>
      <c r="AE68" s="1170"/>
      <c r="AF68" s="1171"/>
      <c r="AG68" s="1172"/>
      <c r="AH68" s="1155"/>
      <c r="AI68" s="1156"/>
      <c r="AJ68" s="1159"/>
      <c r="AK68" s="1160"/>
      <c r="AL68" s="578"/>
      <c r="AM68" s="578"/>
      <c r="AN68" s="578"/>
      <c r="AO68" s="579"/>
      <c r="AP68" s="614"/>
      <c r="AQ68" s="579"/>
      <c r="AR68" s="63"/>
      <c r="AS68" s="63"/>
    </row>
    <row r="69" spans="1:45" ht="15.95" customHeight="1" x14ac:dyDescent="0.25">
      <c r="A69" s="63"/>
      <c r="B69" s="63"/>
      <c r="C69" s="568"/>
      <c r="D69" s="613"/>
      <c r="E69" s="569"/>
      <c r="F69" s="569"/>
      <c r="G69" s="569"/>
      <c r="H69" s="569"/>
      <c r="I69" s="569"/>
      <c r="J69" s="569"/>
      <c r="K69" s="1176"/>
      <c r="L69" s="1176"/>
      <c r="M69" s="1176"/>
      <c r="N69" s="1177"/>
      <c r="O69" s="1177"/>
      <c r="P69" s="1177"/>
      <c r="Q69" s="1177"/>
      <c r="R69" s="1178"/>
      <c r="S69" s="1178"/>
      <c r="T69" s="1178"/>
      <c r="U69" s="1179"/>
      <c r="V69" s="1179"/>
      <c r="W69" s="1180"/>
      <c r="X69" s="1181"/>
      <c r="Y69" s="1184"/>
      <c r="Z69" s="1185"/>
      <c r="AA69" s="1185"/>
      <c r="AB69" s="1185"/>
      <c r="AC69" s="1187"/>
      <c r="AD69" s="1187"/>
      <c r="AE69" s="1173"/>
      <c r="AF69" s="1174"/>
      <c r="AG69" s="1175"/>
      <c r="AH69" s="1157"/>
      <c r="AI69" s="1158"/>
      <c r="AJ69" s="1161"/>
      <c r="AK69" s="1162"/>
      <c r="AL69" s="578"/>
      <c r="AM69" s="578"/>
      <c r="AN69" s="578"/>
      <c r="AO69" s="579"/>
      <c r="AP69" s="614"/>
      <c r="AQ69" s="579"/>
      <c r="AR69" s="63"/>
      <c r="AS69" s="63"/>
    </row>
    <row r="70" spans="1:45" ht="15.95" customHeight="1" x14ac:dyDescent="0.25">
      <c r="A70" s="63"/>
      <c r="B70" s="63"/>
      <c r="C70" s="568"/>
      <c r="D70" s="613"/>
      <c r="E70" s="569"/>
      <c r="F70" s="569"/>
      <c r="G70" s="569"/>
      <c r="H70" s="569"/>
      <c r="I70" s="569"/>
      <c r="J70" s="569"/>
      <c r="K70" s="1176" t="s">
        <v>638</v>
      </c>
      <c r="L70" s="1176"/>
      <c r="M70" s="1176"/>
      <c r="N70" s="1177"/>
      <c r="O70" s="1177"/>
      <c r="P70" s="1177"/>
      <c r="Q70" s="1177"/>
      <c r="R70" s="1178"/>
      <c r="S70" s="1178"/>
      <c r="T70" s="1178"/>
      <c r="U70" s="1179"/>
      <c r="V70" s="1179"/>
      <c r="W70" s="1180" t="str">
        <f>IF(N70="","",INDEX(CMLIGHTBASE[Base Watt 1],MATCH(N70,CMLIGHTBASE[Base Desc 1],0)))</f>
        <v/>
      </c>
      <c r="X70" s="1181"/>
      <c r="Y70" s="1182"/>
      <c r="Z70" s="1183"/>
      <c r="AA70" s="1183"/>
      <c r="AB70" s="1183"/>
      <c r="AC70" s="1186"/>
      <c r="AD70" s="1186"/>
      <c r="AE70" s="1170"/>
      <c r="AF70" s="1171"/>
      <c r="AG70" s="1172"/>
      <c r="AH70" s="1155"/>
      <c r="AI70" s="1156"/>
      <c r="AJ70" s="1159"/>
      <c r="AK70" s="1160"/>
      <c r="AL70" s="578"/>
      <c r="AM70" s="578"/>
      <c r="AN70" s="578"/>
      <c r="AO70" s="579"/>
      <c r="AP70" s="614"/>
      <c r="AQ70" s="579"/>
      <c r="AR70" s="63"/>
      <c r="AS70" s="63"/>
    </row>
    <row r="71" spans="1:45" ht="15.95" customHeight="1" x14ac:dyDescent="0.25">
      <c r="A71" s="63"/>
      <c r="B71" s="63"/>
      <c r="C71" s="568"/>
      <c r="D71" s="613"/>
      <c r="E71" s="569"/>
      <c r="F71" s="569"/>
      <c r="G71" s="569"/>
      <c r="H71" s="569"/>
      <c r="I71" s="569"/>
      <c r="J71" s="569"/>
      <c r="K71" s="1176"/>
      <c r="L71" s="1176"/>
      <c r="M71" s="1176"/>
      <c r="N71" s="1177"/>
      <c r="O71" s="1177"/>
      <c r="P71" s="1177"/>
      <c r="Q71" s="1177"/>
      <c r="R71" s="1178"/>
      <c r="S71" s="1178"/>
      <c r="T71" s="1178"/>
      <c r="U71" s="1179"/>
      <c r="V71" s="1179"/>
      <c r="W71" s="1180"/>
      <c r="X71" s="1181"/>
      <c r="Y71" s="1184"/>
      <c r="Z71" s="1185"/>
      <c r="AA71" s="1185"/>
      <c r="AB71" s="1185"/>
      <c r="AC71" s="1187"/>
      <c r="AD71" s="1187"/>
      <c r="AE71" s="1173"/>
      <c r="AF71" s="1174"/>
      <c r="AG71" s="1175"/>
      <c r="AH71" s="1157"/>
      <c r="AI71" s="1158"/>
      <c r="AJ71" s="1161"/>
      <c r="AK71" s="1162"/>
      <c r="AL71" s="578"/>
      <c r="AM71" s="578"/>
      <c r="AN71" s="578"/>
      <c r="AO71" s="579"/>
      <c r="AP71" s="614"/>
      <c r="AQ71" s="579"/>
      <c r="AR71" s="63"/>
      <c r="AS71" s="63"/>
    </row>
    <row r="72" spans="1:45" ht="15.95" customHeight="1" x14ac:dyDescent="0.25">
      <c r="A72" s="63"/>
      <c r="B72" s="63"/>
      <c r="C72" s="568"/>
      <c r="D72" s="613"/>
      <c r="E72" s="569"/>
      <c r="F72" s="569"/>
      <c r="G72" s="569"/>
      <c r="H72" s="569"/>
      <c r="I72" s="569"/>
      <c r="J72" s="569"/>
      <c r="K72" s="1176" t="s">
        <v>638</v>
      </c>
      <c r="L72" s="1176"/>
      <c r="M72" s="1176"/>
      <c r="N72" s="1177"/>
      <c r="O72" s="1177"/>
      <c r="P72" s="1177"/>
      <c r="Q72" s="1177"/>
      <c r="R72" s="1178"/>
      <c r="S72" s="1178"/>
      <c r="T72" s="1178"/>
      <c r="U72" s="1179"/>
      <c r="V72" s="1179"/>
      <c r="W72" s="1180" t="str">
        <f>IF(N72="","",INDEX(CMLIGHTBASE[Base Watt 1],MATCH(N72,CMLIGHTBASE[Base Desc 1],0)))</f>
        <v/>
      </c>
      <c r="X72" s="1181"/>
      <c r="Y72" s="1182"/>
      <c r="Z72" s="1183"/>
      <c r="AA72" s="1183"/>
      <c r="AB72" s="1183"/>
      <c r="AC72" s="1186"/>
      <c r="AD72" s="1186"/>
      <c r="AE72" s="1170"/>
      <c r="AF72" s="1171"/>
      <c r="AG72" s="1172"/>
      <c r="AH72" s="1155"/>
      <c r="AI72" s="1156"/>
      <c r="AJ72" s="1159"/>
      <c r="AK72" s="1160"/>
      <c r="AL72" s="578"/>
      <c r="AM72" s="578"/>
      <c r="AN72" s="578"/>
      <c r="AO72" s="579"/>
      <c r="AP72" s="614"/>
      <c r="AQ72" s="579"/>
      <c r="AR72" s="63"/>
      <c r="AS72" s="63"/>
    </row>
    <row r="73" spans="1:45" ht="15.95" customHeight="1" x14ac:dyDescent="0.25">
      <c r="A73" s="63"/>
      <c r="B73" s="63"/>
      <c r="C73" s="568"/>
      <c r="D73" s="613"/>
      <c r="E73" s="569"/>
      <c r="F73" s="569"/>
      <c r="G73" s="569"/>
      <c r="H73" s="569"/>
      <c r="I73" s="569"/>
      <c r="J73" s="569"/>
      <c r="K73" s="1176"/>
      <c r="L73" s="1176"/>
      <c r="M73" s="1176"/>
      <c r="N73" s="1177"/>
      <c r="O73" s="1177"/>
      <c r="P73" s="1177"/>
      <c r="Q73" s="1177"/>
      <c r="R73" s="1178"/>
      <c r="S73" s="1178"/>
      <c r="T73" s="1178"/>
      <c r="U73" s="1179"/>
      <c r="V73" s="1179"/>
      <c r="W73" s="1180"/>
      <c r="X73" s="1181"/>
      <c r="Y73" s="1184"/>
      <c r="Z73" s="1185"/>
      <c r="AA73" s="1185"/>
      <c r="AB73" s="1185"/>
      <c r="AC73" s="1187"/>
      <c r="AD73" s="1187"/>
      <c r="AE73" s="1173"/>
      <c r="AF73" s="1174"/>
      <c r="AG73" s="1175"/>
      <c r="AH73" s="1157"/>
      <c r="AI73" s="1158"/>
      <c r="AJ73" s="1161"/>
      <c r="AK73" s="1162"/>
      <c r="AL73" s="578"/>
      <c r="AM73" s="578"/>
      <c r="AN73" s="578"/>
      <c r="AO73" s="579"/>
      <c r="AP73" s="614"/>
      <c r="AQ73" s="579"/>
      <c r="AR73" s="63"/>
      <c r="AS73" s="63"/>
    </row>
    <row r="74" spans="1:45" ht="15.95" customHeight="1" x14ac:dyDescent="0.25">
      <c r="A74" s="63"/>
      <c r="B74" s="63"/>
      <c r="C74" s="615"/>
      <c r="D74" s="613"/>
      <c r="E74" s="569"/>
      <c r="F74" s="569"/>
      <c r="G74" s="569"/>
      <c r="H74" s="569"/>
      <c r="I74" s="569"/>
      <c r="J74" s="569"/>
      <c r="K74" s="1176" t="s">
        <v>638</v>
      </c>
      <c r="L74" s="1176"/>
      <c r="M74" s="1176"/>
      <c r="N74" s="1177"/>
      <c r="O74" s="1177"/>
      <c r="P74" s="1177"/>
      <c r="Q74" s="1177"/>
      <c r="R74" s="1178"/>
      <c r="S74" s="1178"/>
      <c r="T74" s="1178"/>
      <c r="U74" s="1179"/>
      <c r="V74" s="1179"/>
      <c r="W74" s="1180" t="str">
        <f>IF(N74="","",INDEX(CMLIGHTBASE[Base Watt 1],MATCH(N74,CMLIGHTBASE[Base Desc 1],0)))</f>
        <v/>
      </c>
      <c r="X74" s="1181"/>
      <c r="Y74" s="1182"/>
      <c r="Z74" s="1183"/>
      <c r="AA74" s="1183"/>
      <c r="AB74" s="1183"/>
      <c r="AC74" s="1186"/>
      <c r="AD74" s="1186"/>
      <c r="AE74" s="1170"/>
      <c r="AF74" s="1171"/>
      <c r="AG74" s="1172"/>
      <c r="AH74" s="1155"/>
      <c r="AI74" s="1156"/>
      <c r="AJ74" s="1159"/>
      <c r="AK74" s="1160"/>
      <c r="AL74" s="578"/>
      <c r="AM74" s="578"/>
      <c r="AN74" s="578"/>
      <c r="AO74" s="579"/>
      <c r="AP74" s="614"/>
      <c r="AQ74" s="615"/>
      <c r="AR74" s="63"/>
      <c r="AS74" s="63"/>
    </row>
    <row r="75" spans="1:45" ht="15.95" customHeight="1" x14ac:dyDescent="0.25">
      <c r="A75" s="63"/>
      <c r="B75" s="63"/>
      <c r="C75" s="615"/>
      <c r="D75" s="613"/>
      <c r="E75" s="569"/>
      <c r="F75" s="569"/>
      <c r="G75" s="569"/>
      <c r="H75" s="569"/>
      <c r="I75" s="569"/>
      <c r="J75" s="569"/>
      <c r="K75" s="1176"/>
      <c r="L75" s="1176"/>
      <c r="M75" s="1176"/>
      <c r="N75" s="1177"/>
      <c r="O75" s="1177"/>
      <c r="P75" s="1177"/>
      <c r="Q75" s="1177"/>
      <c r="R75" s="1178"/>
      <c r="S75" s="1178"/>
      <c r="T75" s="1178"/>
      <c r="U75" s="1179"/>
      <c r="V75" s="1179"/>
      <c r="W75" s="1180"/>
      <c r="X75" s="1181"/>
      <c r="Y75" s="1184"/>
      <c r="Z75" s="1185"/>
      <c r="AA75" s="1185"/>
      <c r="AB75" s="1185"/>
      <c r="AC75" s="1187"/>
      <c r="AD75" s="1187"/>
      <c r="AE75" s="1173"/>
      <c r="AF75" s="1174"/>
      <c r="AG75" s="1175"/>
      <c r="AH75" s="1157"/>
      <c r="AI75" s="1158"/>
      <c r="AJ75" s="1161"/>
      <c r="AK75" s="1162"/>
      <c r="AL75" s="578"/>
      <c r="AM75" s="578"/>
      <c r="AN75" s="578"/>
      <c r="AO75" s="579"/>
      <c r="AP75" s="614"/>
      <c r="AQ75" s="615"/>
      <c r="AR75" s="63"/>
      <c r="AS75" s="63"/>
    </row>
    <row r="76" spans="1:45" ht="15.95" customHeight="1" x14ac:dyDescent="0.25">
      <c r="A76" s="63"/>
      <c r="B76" s="63"/>
      <c r="D76" s="613"/>
      <c r="E76" s="569"/>
      <c r="F76" s="569"/>
      <c r="G76" s="569"/>
      <c r="H76" s="569"/>
      <c r="I76" s="569"/>
      <c r="J76" s="569"/>
      <c r="K76" s="1176" t="s">
        <v>638</v>
      </c>
      <c r="L76" s="1176"/>
      <c r="M76" s="1176"/>
      <c r="N76" s="1177"/>
      <c r="O76" s="1177"/>
      <c r="P76" s="1177"/>
      <c r="Q76" s="1177"/>
      <c r="R76" s="1178"/>
      <c r="S76" s="1178"/>
      <c r="T76" s="1178"/>
      <c r="U76" s="1179"/>
      <c r="V76" s="1179"/>
      <c r="W76" s="1180" t="str">
        <f>IF(N76="","",INDEX(CMLIGHTBASE[Base Watt 1],MATCH(N76,CMLIGHTBASE[Base Desc 1],0)))</f>
        <v/>
      </c>
      <c r="X76" s="1181"/>
      <c r="Y76" s="1182"/>
      <c r="Z76" s="1183"/>
      <c r="AA76" s="1183"/>
      <c r="AB76" s="1183"/>
      <c r="AC76" s="1186"/>
      <c r="AD76" s="1186"/>
      <c r="AE76" s="1170"/>
      <c r="AF76" s="1171"/>
      <c r="AG76" s="1172"/>
      <c r="AH76" s="1155"/>
      <c r="AI76" s="1156"/>
      <c r="AJ76" s="1159"/>
      <c r="AK76" s="1160"/>
      <c r="AL76" s="578"/>
      <c r="AM76" s="578"/>
      <c r="AN76" s="578"/>
      <c r="AO76" s="579"/>
      <c r="AP76" s="614"/>
      <c r="AR76" s="63"/>
      <c r="AS76" s="63"/>
    </row>
    <row r="77" spans="1:45" ht="15.95" customHeight="1" x14ac:dyDescent="0.25">
      <c r="A77" s="63"/>
      <c r="B77" s="63"/>
      <c r="D77" s="613"/>
      <c r="E77" s="569"/>
      <c r="F77" s="569"/>
      <c r="G77" s="569"/>
      <c r="H77" s="569"/>
      <c r="I77" s="569"/>
      <c r="J77" s="569"/>
      <c r="K77" s="1176"/>
      <c r="L77" s="1176"/>
      <c r="M77" s="1176"/>
      <c r="N77" s="1177"/>
      <c r="O77" s="1177"/>
      <c r="P77" s="1177"/>
      <c r="Q77" s="1177"/>
      <c r="R77" s="1178"/>
      <c r="S77" s="1178"/>
      <c r="T77" s="1178"/>
      <c r="U77" s="1179"/>
      <c r="V77" s="1179"/>
      <c r="W77" s="1180"/>
      <c r="X77" s="1181"/>
      <c r="Y77" s="1184"/>
      <c r="Z77" s="1185"/>
      <c r="AA77" s="1185"/>
      <c r="AB77" s="1185"/>
      <c r="AC77" s="1187"/>
      <c r="AD77" s="1187"/>
      <c r="AE77" s="1173"/>
      <c r="AF77" s="1174"/>
      <c r="AG77" s="1175"/>
      <c r="AH77" s="1157"/>
      <c r="AI77" s="1158"/>
      <c r="AJ77" s="1161"/>
      <c r="AK77" s="1162"/>
      <c r="AL77" s="578"/>
      <c r="AM77" s="578"/>
      <c r="AN77" s="578"/>
      <c r="AO77" s="579"/>
      <c r="AP77" s="614"/>
      <c r="AR77" s="63"/>
      <c r="AS77" s="63"/>
    </row>
    <row r="78" spans="1:45" ht="15.95" customHeight="1" x14ac:dyDescent="0.25">
      <c r="A78" s="63"/>
      <c r="B78" s="63"/>
      <c r="D78" s="613"/>
      <c r="E78" s="569"/>
      <c r="F78" s="569"/>
      <c r="G78" s="569"/>
      <c r="H78" s="569"/>
      <c r="I78" s="569"/>
      <c r="J78" s="569"/>
      <c r="K78" s="570"/>
      <c r="L78" s="570"/>
      <c r="M78" s="571"/>
      <c r="N78" s="571"/>
      <c r="O78" s="572"/>
      <c r="P78" s="572"/>
      <c r="Q78" s="572"/>
      <c r="R78" s="573"/>
      <c r="S78" s="573"/>
      <c r="T78" s="573"/>
      <c r="U78" s="1163"/>
      <c r="V78" s="1164"/>
      <c r="W78" s="1166">
        <f>SUMPRODUCT(U58:V77,W58:X77)</f>
        <v>0</v>
      </c>
      <c r="X78" s="1167"/>
      <c r="Y78" s="571"/>
      <c r="Z78" s="571"/>
      <c r="AA78" s="574"/>
      <c r="AB78" s="574"/>
      <c r="AC78" s="574"/>
      <c r="AD78" s="575"/>
      <c r="AE78" s="575"/>
      <c r="AF78" s="576"/>
      <c r="AG78" s="576"/>
      <c r="AH78" s="576"/>
      <c r="AI78" s="576"/>
      <c r="AJ78" s="1166">
        <f>SUMPRODUCT(AH58:AI77,AJ58:AK77)</f>
        <v>0</v>
      </c>
      <c r="AK78" s="1167"/>
      <c r="AL78" s="578"/>
      <c r="AM78" s="578"/>
      <c r="AN78" s="578"/>
      <c r="AO78" s="579"/>
      <c r="AP78" s="614"/>
      <c r="AR78" s="63"/>
      <c r="AS78" s="63"/>
    </row>
    <row r="79" spans="1:45" ht="15.95" customHeight="1" thickBot="1" x14ac:dyDescent="0.3">
      <c r="A79" s="63"/>
      <c r="B79" s="63"/>
      <c r="D79" s="616"/>
      <c r="E79" s="617"/>
      <c r="F79" s="617"/>
      <c r="G79" s="617"/>
      <c r="H79" s="617"/>
      <c r="I79" s="617"/>
      <c r="J79" s="617"/>
      <c r="K79" s="618"/>
      <c r="L79" s="618"/>
      <c r="M79" s="619"/>
      <c r="N79" s="619"/>
      <c r="O79" s="620"/>
      <c r="P79" s="620"/>
      <c r="Q79" s="620"/>
      <c r="R79" s="621"/>
      <c r="S79" s="621"/>
      <c r="T79" s="621"/>
      <c r="U79" s="1334"/>
      <c r="V79" s="1334"/>
      <c r="W79" s="1335"/>
      <c r="X79" s="1336"/>
      <c r="Y79" s="619"/>
      <c r="Z79" s="619"/>
      <c r="AA79" s="622"/>
      <c r="AB79" s="622"/>
      <c r="AC79" s="622"/>
      <c r="AD79" s="623"/>
      <c r="AE79" s="623"/>
      <c r="AF79" s="624"/>
      <c r="AG79" s="624"/>
      <c r="AH79" s="624"/>
      <c r="AI79" s="624"/>
      <c r="AJ79" s="1335"/>
      <c r="AK79" s="1336"/>
      <c r="AL79" s="625"/>
      <c r="AM79" s="625"/>
      <c r="AN79" s="625"/>
      <c r="AO79" s="626"/>
      <c r="AP79" s="627"/>
      <c r="AR79" s="63"/>
      <c r="AS79" s="63"/>
    </row>
    <row r="80" spans="1:45" ht="15.95" customHeight="1" thickTop="1" thickBot="1" x14ac:dyDescent="0.3">
      <c r="A80" s="63"/>
      <c r="B80" s="63"/>
      <c r="AR80" s="63"/>
      <c r="AS80" s="63"/>
    </row>
    <row r="81" spans="1:45" ht="15.95" customHeight="1" thickTop="1" x14ac:dyDescent="0.25">
      <c r="A81" s="63"/>
      <c r="B81" s="63"/>
      <c r="D81" s="628"/>
      <c r="E81" s="629"/>
      <c r="F81" s="629"/>
      <c r="G81" s="629"/>
      <c r="H81" s="629"/>
      <c r="I81" s="629"/>
      <c r="J81" s="629"/>
      <c r="K81" s="630"/>
      <c r="L81" s="630"/>
      <c r="M81" s="631"/>
      <c r="N81" s="631"/>
      <c r="O81" s="632"/>
      <c r="P81" s="632"/>
      <c r="Q81" s="632"/>
      <c r="R81" s="1231" t="s">
        <v>2203</v>
      </c>
      <c r="S81" s="1231"/>
      <c r="T81" s="1231"/>
      <c r="U81" s="1231"/>
      <c r="V81" s="1231"/>
      <c r="W81" s="1231"/>
      <c r="X81" s="1231"/>
      <c r="Y81" s="1231"/>
      <c r="Z81" s="1231"/>
      <c r="AA81" s="1231"/>
      <c r="AB81" s="1231"/>
      <c r="AC81" s="1231"/>
      <c r="AD81" s="633"/>
      <c r="AE81" s="633"/>
      <c r="AF81" s="634"/>
      <c r="AG81" s="634"/>
      <c r="AH81" s="634"/>
      <c r="AI81" s="634"/>
      <c r="AJ81" s="635"/>
      <c r="AK81" s="635"/>
      <c r="AL81" s="636"/>
      <c r="AM81" s="1232" t="s">
        <v>2197</v>
      </c>
      <c r="AN81" s="1232"/>
      <c r="AO81" s="1232"/>
      <c r="AP81" s="1233"/>
      <c r="AR81" s="63"/>
      <c r="AS81" s="63"/>
    </row>
    <row r="82" spans="1:45" ht="15.95" customHeight="1" thickBot="1" x14ac:dyDescent="0.3">
      <c r="A82" s="63"/>
      <c r="B82" s="63"/>
      <c r="D82" s="637"/>
      <c r="E82" s="569"/>
      <c r="F82" s="569"/>
      <c r="G82" s="569"/>
      <c r="H82" s="569"/>
      <c r="I82" s="569"/>
      <c r="J82" s="569"/>
      <c r="K82" s="570"/>
      <c r="L82" s="570"/>
      <c r="M82" s="571"/>
      <c r="N82" s="571"/>
      <c r="O82" s="572"/>
      <c r="P82" s="572"/>
      <c r="Q82" s="572"/>
      <c r="R82" s="1220"/>
      <c r="S82" s="1220"/>
      <c r="T82" s="1220"/>
      <c r="U82" s="1220"/>
      <c r="V82" s="1220"/>
      <c r="W82" s="1220"/>
      <c r="X82" s="1220"/>
      <c r="Y82" s="1220"/>
      <c r="Z82" s="1220"/>
      <c r="AA82" s="1220"/>
      <c r="AB82" s="1220"/>
      <c r="AC82" s="1220"/>
      <c r="AD82" s="575"/>
      <c r="AE82" s="575"/>
      <c r="AF82" s="576"/>
      <c r="AG82" s="576"/>
      <c r="AH82" s="576"/>
      <c r="AI82" s="576"/>
      <c r="AJ82" s="577"/>
      <c r="AK82" s="577"/>
      <c r="AL82" s="578"/>
      <c r="AM82" s="1200"/>
      <c r="AN82" s="1200"/>
      <c r="AO82" s="1200"/>
      <c r="AP82" s="1234"/>
      <c r="AR82" s="63"/>
      <c r="AS82" s="63"/>
    </row>
    <row r="83" spans="1:45" ht="15.95" customHeight="1" x14ac:dyDescent="0.25">
      <c r="A83" s="63"/>
      <c r="B83" s="63"/>
      <c r="D83" s="1329" t="s">
        <v>2198</v>
      </c>
      <c r="E83" s="1203"/>
      <c r="F83" s="1203"/>
      <c r="G83" s="1203"/>
      <c r="H83" s="1206" t="s">
        <v>2155</v>
      </c>
      <c r="I83" s="1206"/>
      <c r="J83" s="590"/>
      <c r="K83" s="1208" t="s">
        <v>2150</v>
      </c>
      <c r="L83" s="1208"/>
      <c r="M83" s="1208"/>
      <c r="N83" s="1210" t="s">
        <v>2199</v>
      </c>
      <c r="O83" s="1210"/>
      <c r="P83" s="1210"/>
      <c r="Q83" s="1210"/>
      <c r="R83" s="1210" t="s">
        <v>2157</v>
      </c>
      <c r="S83" s="1210"/>
      <c r="T83" s="1210"/>
      <c r="U83" s="1210" t="s">
        <v>2153</v>
      </c>
      <c r="V83" s="1210"/>
      <c r="W83" s="1210" t="s">
        <v>2154</v>
      </c>
      <c r="X83" s="1210"/>
      <c r="Y83" s="1210" t="s">
        <v>2200</v>
      </c>
      <c r="Z83" s="1210"/>
      <c r="AA83" s="1210"/>
      <c r="AB83" s="1210"/>
      <c r="AC83" s="1210" t="s">
        <v>2201</v>
      </c>
      <c r="AD83" s="1210"/>
      <c r="AE83" s="1210" t="s">
        <v>2157</v>
      </c>
      <c r="AF83" s="1210"/>
      <c r="AG83" s="1210"/>
      <c r="AH83" s="1210" t="s">
        <v>2158</v>
      </c>
      <c r="AI83" s="1210"/>
      <c r="AJ83" s="1210" t="s">
        <v>2154</v>
      </c>
      <c r="AK83" s="1210"/>
      <c r="AL83" s="578"/>
      <c r="AM83" s="1212" t="s">
        <v>2194</v>
      </c>
      <c r="AN83" s="1212"/>
      <c r="AO83" s="1212" t="s">
        <v>1321</v>
      </c>
      <c r="AP83" s="1323"/>
      <c r="AR83" s="63"/>
      <c r="AS83" s="63"/>
    </row>
    <row r="84" spans="1:45" ht="15.95" customHeight="1" thickBot="1" x14ac:dyDescent="0.3">
      <c r="A84" s="63"/>
      <c r="B84" s="63"/>
      <c r="D84" s="1330"/>
      <c r="E84" s="1205"/>
      <c r="F84" s="1205"/>
      <c r="G84" s="1205"/>
      <c r="H84" s="1207"/>
      <c r="I84" s="1207"/>
      <c r="J84" s="590"/>
      <c r="K84" s="1209"/>
      <c r="L84" s="1209"/>
      <c r="M84" s="1209"/>
      <c r="N84" s="1211"/>
      <c r="O84" s="1211"/>
      <c r="P84" s="1211"/>
      <c r="Q84" s="1211"/>
      <c r="R84" s="1211"/>
      <c r="S84" s="1211"/>
      <c r="T84" s="1211"/>
      <c r="U84" s="1211"/>
      <c r="V84" s="1211"/>
      <c r="W84" s="1211"/>
      <c r="X84" s="1211"/>
      <c r="Y84" s="1211"/>
      <c r="Z84" s="1211"/>
      <c r="AA84" s="1211"/>
      <c r="AB84" s="1211"/>
      <c r="AC84" s="1211"/>
      <c r="AD84" s="1211"/>
      <c r="AE84" s="1211"/>
      <c r="AF84" s="1211"/>
      <c r="AG84" s="1211"/>
      <c r="AH84" s="1211"/>
      <c r="AI84" s="1211"/>
      <c r="AJ84" s="1211"/>
      <c r="AK84" s="1211"/>
      <c r="AL84" s="578"/>
      <c r="AM84" s="1213"/>
      <c r="AN84" s="1213"/>
      <c r="AO84" s="1213"/>
      <c r="AP84" s="1324"/>
      <c r="AR84" s="63"/>
      <c r="AS84" s="63"/>
    </row>
    <row r="85" spans="1:45" ht="15.95" customHeight="1" x14ac:dyDescent="0.25">
      <c r="A85" s="63"/>
      <c r="B85" s="63"/>
      <c r="D85" s="1327"/>
      <c r="E85" s="1193"/>
      <c r="F85" s="1193"/>
      <c r="G85" s="1193"/>
      <c r="H85" s="1196"/>
      <c r="I85" s="1196"/>
      <c r="J85" s="590"/>
      <c r="K85" s="1176" t="s">
        <v>638</v>
      </c>
      <c r="L85" s="1176"/>
      <c r="M85" s="1176"/>
      <c r="N85" s="1177"/>
      <c r="O85" s="1177"/>
      <c r="P85" s="1177"/>
      <c r="Q85" s="1177"/>
      <c r="R85" s="1280"/>
      <c r="S85" s="1178"/>
      <c r="T85" s="1178"/>
      <c r="U85" s="1179"/>
      <c r="V85" s="1179"/>
      <c r="W85" s="1180" t="str">
        <f>IF(N85="","",INDEX(CMLIGHTBASE[Base Watt 1],MATCH(N85,CMLIGHTBASE[Base Desc 1],0)))</f>
        <v/>
      </c>
      <c r="X85" s="1181"/>
      <c r="Y85" s="1281"/>
      <c r="Z85" s="1282"/>
      <c r="AA85" s="1282"/>
      <c r="AB85" s="1282"/>
      <c r="AC85" s="1186"/>
      <c r="AD85" s="1186"/>
      <c r="AE85" s="1283"/>
      <c r="AF85" s="1284"/>
      <c r="AG85" s="1285"/>
      <c r="AH85" s="1229"/>
      <c r="AI85" s="1230"/>
      <c r="AJ85" s="1159"/>
      <c r="AK85" s="1160"/>
      <c r="AL85" s="578"/>
      <c r="AM85" s="1188"/>
      <c r="AN85" s="1188"/>
      <c r="AO85" s="1188"/>
      <c r="AP85" s="1325"/>
      <c r="AR85" s="63"/>
      <c r="AS85" s="63"/>
    </row>
    <row r="86" spans="1:45" ht="15.95" customHeight="1" x14ac:dyDescent="0.25">
      <c r="A86" s="63"/>
      <c r="B86" s="63"/>
      <c r="D86" s="1328"/>
      <c r="E86" s="1195"/>
      <c r="F86" s="1195"/>
      <c r="G86" s="1195"/>
      <c r="H86" s="1197"/>
      <c r="I86" s="1197"/>
      <c r="J86" s="590"/>
      <c r="K86" s="1176"/>
      <c r="L86" s="1176"/>
      <c r="M86" s="1176"/>
      <c r="N86" s="1177"/>
      <c r="O86" s="1177"/>
      <c r="P86" s="1177"/>
      <c r="Q86" s="1177"/>
      <c r="R86" s="1178"/>
      <c r="S86" s="1178"/>
      <c r="T86" s="1178"/>
      <c r="U86" s="1179"/>
      <c r="V86" s="1179"/>
      <c r="W86" s="1180"/>
      <c r="X86" s="1181"/>
      <c r="Y86" s="1184"/>
      <c r="Z86" s="1185"/>
      <c r="AA86" s="1185"/>
      <c r="AB86" s="1185"/>
      <c r="AC86" s="1187"/>
      <c r="AD86" s="1187"/>
      <c r="AE86" s="1173"/>
      <c r="AF86" s="1174"/>
      <c r="AG86" s="1175"/>
      <c r="AH86" s="1157"/>
      <c r="AI86" s="1158"/>
      <c r="AJ86" s="1161"/>
      <c r="AK86" s="1162"/>
      <c r="AL86" s="578"/>
      <c r="AM86" s="1190"/>
      <c r="AN86" s="1190"/>
      <c r="AO86" s="1190"/>
      <c r="AP86" s="1326"/>
      <c r="AR86" s="63"/>
      <c r="AS86" s="63"/>
    </row>
    <row r="87" spans="1:45" ht="15.95" customHeight="1" x14ac:dyDescent="0.25">
      <c r="A87" s="63"/>
      <c r="B87" s="63"/>
      <c r="D87" s="637"/>
      <c r="E87" s="569"/>
      <c r="F87" s="569"/>
      <c r="G87" s="569"/>
      <c r="H87" s="569"/>
      <c r="I87" s="569"/>
      <c r="J87" s="569"/>
      <c r="K87" s="1176" t="s">
        <v>638</v>
      </c>
      <c r="L87" s="1176"/>
      <c r="M87" s="1176"/>
      <c r="N87" s="1177"/>
      <c r="O87" s="1177"/>
      <c r="P87" s="1177"/>
      <c r="Q87" s="1177"/>
      <c r="R87" s="1178"/>
      <c r="S87" s="1178"/>
      <c r="T87" s="1178"/>
      <c r="U87" s="1179"/>
      <c r="V87" s="1179"/>
      <c r="W87" s="1180" t="str">
        <f>IF(N87="","",INDEX(CMLIGHTBASE[Base Watt 1],MATCH(N87,CMLIGHTBASE[Base Desc 1],0)))</f>
        <v/>
      </c>
      <c r="X87" s="1181"/>
      <c r="Y87" s="1182"/>
      <c r="Z87" s="1183"/>
      <c r="AA87" s="1183"/>
      <c r="AB87" s="1183"/>
      <c r="AC87" s="1186"/>
      <c r="AD87" s="1186"/>
      <c r="AE87" s="1170"/>
      <c r="AF87" s="1171"/>
      <c r="AG87" s="1172"/>
      <c r="AH87" s="1155"/>
      <c r="AI87" s="1156"/>
      <c r="AJ87" s="1159"/>
      <c r="AK87" s="1160"/>
      <c r="AL87" s="578"/>
      <c r="AM87" s="578"/>
      <c r="AN87" s="578"/>
      <c r="AO87" s="579"/>
      <c r="AP87" s="638"/>
      <c r="AR87" s="63"/>
      <c r="AS87" s="63"/>
    </row>
    <row r="88" spans="1:45" ht="15.95" customHeight="1" x14ac:dyDescent="0.25">
      <c r="A88" s="63"/>
      <c r="B88" s="63"/>
      <c r="D88" s="637"/>
      <c r="J88" s="590"/>
      <c r="K88" s="1176"/>
      <c r="L88" s="1176"/>
      <c r="M88" s="1176"/>
      <c r="N88" s="1177"/>
      <c r="O88" s="1177"/>
      <c r="P88" s="1177"/>
      <c r="Q88" s="1177"/>
      <c r="R88" s="1178"/>
      <c r="S88" s="1178"/>
      <c r="T88" s="1178"/>
      <c r="U88" s="1179"/>
      <c r="V88" s="1179"/>
      <c r="W88" s="1180"/>
      <c r="X88" s="1181"/>
      <c r="Y88" s="1184"/>
      <c r="Z88" s="1185"/>
      <c r="AA88" s="1185"/>
      <c r="AB88" s="1185"/>
      <c r="AC88" s="1187"/>
      <c r="AD88" s="1187"/>
      <c r="AE88" s="1173"/>
      <c r="AF88" s="1174"/>
      <c r="AG88" s="1175"/>
      <c r="AH88" s="1157"/>
      <c r="AI88" s="1158"/>
      <c r="AJ88" s="1161"/>
      <c r="AK88" s="1162"/>
      <c r="AL88" s="578"/>
      <c r="AM88" s="578"/>
      <c r="AN88" s="578"/>
      <c r="AO88" s="579"/>
      <c r="AP88" s="638"/>
      <c r="AR88" s="63"/>
      <c r="AS88" s="63"/>
    </row>
    <row r="89" spans="1:45" ht="15.95" customHeight="1" x14ac:dyDescent="0.25">
      <c r="A89" s="63"/>
      <c r="B89" s="63"/>
      <c r="D89" s="637"/>
      <c r="J89" s="590"/>
      <c r="K89" s="1176" t="s">
        <v>638</v>
      </c>
      <c r="L89" s="1176"/>
      <c r="M89" s="1176"/>
      <c r="N89" s="1177"/>
      <c r="O89" s="1177"/>
      <c r="P89" s="1177"/>
      <c r="Q89" s="1177"/>
      <c r="R89" s="1178"/>
      <c r="S89" s="1178"/>
      <c r="T89" s="1178"/>
      <c r="U89" s="1179"/>
      <c r="V89" s="1179"/>
      <c r="W89" s="1180" t="str">
        <f>IF(N89="","",INDEX(CMLIGHTBASE[Base Watt 1],MATCH(N89,CMLIGHTBASE[Base Desc 1],0)))</f>
        <v/>
      </c>
      <c r="X89" s="1181"/>
      <c r="Y89" s="1182"/>
      <c r="Z89" s="1183"/>
      <c r="AA89" s="1183"/>
      <c r="AB89" s="1183"/>
      <c r="AC89" s="1186"/>
      <c r="AD89" s="1186"/>
      <c r="AE89" s="1279"/>
      <c r="AF89" s="1171"/>
      <c r="AG89" s="1172"/>
      <c r="AH89" s="1155"/>
      <c r="AI89" s="1156"/>
      <c r="AJ89" s="1159"/>
      <c r="AK89" s="1160"/>
      <c r="AL89" s="578"/>
      <c r="AM89" s="578"/>
      <c r="AN89" s="578"/>
      <c r="AO89" s="579"/>
      <c r="AP89" s="638"/>
      <c r="AR89" s="63"/>
      <c r="AS89" s="63"/>
    </row>
    <row r="90" spans="1:45" ht="15.95" customHeight="1" x14ac:dyDescent="0.25">
      <c r="A90" s="63"/>
      <c r="B90" s="63"/>
      <c r="D90" s="637"/>
      <c r="J90" s="590"/>
      <c r="K90" s="1176"/>
      <c r="L90" s="1176"/>
      <c r="M90" s="1176"/>
      <c r="N90" s="1177"/>
      <c r="O90" s="1177"/>
      <c r="P90" s="1177"/>
      <c r="Q90" s="1177"/>
      <c r="R90" s="1178"/>
      <c r="S90" s="1178"/>
      <c r="T90" s="1178"/>
      <c r="U90" s="1179"/>
      <c r="V90" s="1179"/>
      <c r="W90" s="1180"/>
      <c r="X90" s="1181"/>
      <c r="Y90" s="1184"/>
      <c r="Z90" s="1185"/>
      <c r="AA90" s="1185"/>
      <c r="AB90" s="1185"/>
      <c r="AC90" s="1187"/>
      <c r="AD90" s="1187"/>
      <c r="AE90" s="1173"/>
      <c r="AF90" s="1174"/>
      <c r="AG90" s="1175"/>
      <c r="AH90" s="1157"/>
      <c r="AI90" s="1158"/>
      <c r="AJ90" s="1161"/>
      <c r="AK90" s="1162"/>
      <c r="AL90" s="578"/>
      <c r="AM90" s="578"/>
      <c r="AN90" s="578"/>
      <c r="AO90" s="579"/>
      <c r="AP90" s="638"/>
      <c r="AR90" s="63"/>
      <c r="AS90" s="63"/>
    </row>
    <row r="91" spans="1:45" ht="15.95" customHeight="1" x14ac:dyDescent="0.25">
      <c r="A91" s="63"/>
      <c r="B91" s="63"/>
      <c r="D91" s="637"/>
      <c r="J91" s="590"/>
      <c r="K91" s="1176" t="s">
        <v>638</v>
      </c>
      <c r="L91" s="1176"/>
      <c r="M91" s="1176"/>
      <c r="N91" s="1177"/>
      <c r="O91" s="1177"/>
      <c r="P91" s="1177"/>
      <c r="Q91" s="1177"/>
      <c r="R91" s="1178"/>
      <c r="S91" s="1178"/>
      <c r="T91" s="1178"/>
      <c r="U91" s="1179"/>
      <c r="V91" s="1179"/>
      <c r="W91" s="1180" t="str">
        <f>IF(N91="","",INDEX(CMLIGHTBASE[Base Watt 1],MATCH(N91,CMLIGHTBASE[Base Desc 1],0)))</f>
        <v/>
      </c>
      <c r="X91" s="1181"/>
      <c r="Y91" s="1182"/>
      <c r="Z91" s="1183"/>
      <c r="AA91" s="1183"/>
      <c r="AB91" s="1183"/>
      <c r="AC91" s="1186"/>
      <c r="AD91" s="1186"/>
      <c r="AE91" s="1170"/>
      <c r="AF91" s="1171"/>
      <c r="AG91" s="1172"/>
      <c r="AH91" s="1155"/>
      <c r="AI91" s="1156"/>
      <c r="AJ91" s="1159"/>
      <c r="AK91" s="1160"/>
      <c r="AL91" s="578"/>
      <c r="AM91" s="578"/>
      <c r="AN91" s="578"/>
      <c r="AO91" s="579"/>
      <c r="AP91" s="638"/>
      <c r="AR91" s="63"/>
      <c r="AS91" s="63"/>
    </row>
    <row r="92" spans="1:45" ht="15.95" customHeight="1" x14ac:dyDescent="0.25">
      <c r="A92" s="63"/>
      <c r="B92" s="63"/>
      <c r="D92" s="637"/>
      <c r="E92" s="569"/>
      <c r="F92" s="569"/>
      <c r="G92" s="569"/>
      <c r="H92" s="569"/>
      <c r="I92" s="569"/>
      <c r="J92" s="590"/>
      <c r="K92" s="1176"/>
      <c r="L92" s="1176"/>
      <c r="M92" s="1176"/>
      <c r="N92" s="1177"/>
      <c r="O92" s="1177"/>
      <c r="P92" s="1177"/>
      <c r="Q92" s="1177"/>
      <c r="R92" s="1178"/>
      <c r="S92" s="1178"/>
      <c r="T92" s="1178"/>
      <c r="U92" s="1179"/>
      <c r="V92" s="1179"/>
      <c r="W92" s="1180"/>
      <c r="X92" s="1181"/>
      <c r="Y92" s="1184"/>
      <c r="Z92" s="1185"/>
      <c r="AA92" s="1185"/>
      <c r="AB92" s="1185"/>
      <c r="AC92" s="1187"/>
      <c r="AD92" s="1187"/>
      <c r="AE92" s="1173"/>
      <c r="AF92" s="1174"/>
      <c r="AG92" s="1175"/>
      <c r="AH92" s="1157"/>
      <c r="AI92" s="1158"/>
      <c r="AJ92" s="1161"/>
      <c r="AK92" s="1162"/>
      <c r="AL92" s="578"/>
      <c r="AM92" s="578"/>
      <c r="AN92" s="578"/>
      <c r="AO92" s="579"/>
      <c r="AP92" s="638"/>
      <c r="AR92" s="63"/>
      <c r="AS92" s="63"/>
    </row>
    <row r="93" spans="1:45" ht="15.95" customHeight="1" x14ac:dyDescent="0.25">
      <c r="A93" s="63"/>
      <c r="B93" s="63"/>
      <c r="D93" s="637"/>
      <c r="E93" s="569"/>
      <c r="F93" s="569"/>
      <c r="G93" s="569"/>
      <c r="H93" s="569"/>
      <c r="I93" s="569"/>
      <c r="J93" s="569"/>
      <c r="K93" s="1176" t="s">
        <v>638</v>
      </c>
      <c r="L93" s="1176"/>
      <c r="M93" s="1176"/>
      <c r="N93" s="1177"/>
      <c r="O93" s="1177"/>
      <c r="P93" s="1177"/>
      <c r="Q93" s="1177"/>
      <c r="R93" s="1178"/>
      <c r="S93" s="1178"/>
      <c r="T93" s="1178"/>
      <c r="U93" s="1179"/>
      <c r="V93" s="1179"/>
      <c r="W93" s="1180" t="str">
        <f>IF(N93="","",INDEX(CMLIGHTBASE[Base Watt 1],MATCH(N93,CMLIGHTBASE[Base Desc 1],0)))</f>
        <v/>
      </c>
      <c r="X93" s="1181"/>
      <c r="Y93" s="1182"/>
      <c r="Z93" s="1183"/>
      <c r="AA93" s="1183"/>
      <c r="AB93" s="1183"/>
      <c r="AC93" s="1186"/>
      <c r="AD93" s="1186"/>
      <c r="AE93" s="1170"/>
      <c r="AF93" s="1171"/>
      <c r="AG93" s="1172"/>
      <c r="AH93" s="1155"/>
      <c r="AI93" s="1156"/>
      <c r="AJ93" s="1159"/>
      <c r="AK93" s="1160"/>
      <c r="AL93" s="578"/>
      <c r="AM93" s="578"/>
      <c r="AN93" s="578"/>
      <c r="AO93" s="579"/>
      <c r="AP93" s="638"/>
      <c r="AR93" s="63"/>
      <c r="AS93" s="63"/>
    </row>
    <row r="94" spans="1:45" ht="15.95" customHeight="1" x14ac:dyDescent="0.25">
      <c r="A94" s="63"/>
      <c r="B94" s="63"/>
      <c r="D94" s="637"/>
      <c r="E94" s="569"/>
      <c r="F94" s="569"/>
      <c r="G94" s="569"/>
      <c r="H94" s="569"/>
      <c r="I94" s="569"/>
      <c r="J94" s="569"/>
      <c r="K94" s="1176"/>
      <c r="L94" s="1176"/>
      <c r="M94" s="1176"/>
      <c r="N94" s="1177"/>
      <c r="O94" s="1177"/>
      <c r="P94" s="1177"/>
      <c r="Q94" s="1177"/>
      <c r="R94" s="1178"/>
      <c r="S94" s="1178"/>
      <c r="T94" s="1178"/>
      <c r="U94" s="1179"/>
      <c r="V94" s="1179"/>
      <c r="W94" s="1180"/>
      <c r="X94" s="1181"/>
      <c r="Y94" s="1184"/>
      <c r="Z94" s="1185"/>
      <c r="AA94" s="1185"/>
      <c r="AB94" s="1185"/>
      <c r="AC94" s="1187"/>
      <c r="AD94" s="1187"/>
      <c r="AE94" s="1173"/>
      <c r="AF94" s="1174"/>
      <c r="AG94" s="1175"/>
      <c r="AH94" s="1157"/>
      <c r="AI94" s="1158"/>
      <c r="AJ94" s="1161"/>
      <c r="AK94" s="1162"/>
      <c r="AL94" s="578"/>
      <c r="AM94" s="578"/>
      <c r="AN94" s="578"/>
      <c r="AO94" s="579"/>
      <c r="AP94" s="638"/>
      <c r="AR94" s="63"/>
      <c r="AS94" s="63"/>
    </row>
    <row r="95" spans="1:45" ht="15.95" customHeight="1" x14ac:dyDescent="0.25">
      <c r="A95" s="63"/>
      <c r="B95" s="63"/>
      <c r="D95" s="637"/>
      <c r="E95" s="569"/>
      <c r="F95" s="569"/>
      <c r="G95" s="569"/>
      <c r="H95" s="569"/>
      <c r="I95" s="569"/>
      <c r="J95" s="569"/>
      <c r="K95" s="1176" t="s">
        <v>638</v>
      </c>
      <c r="L95" s="1176"/>
      <c r="M95" s="1176"/>
      <c r="N95" s="1177"/>
      <c r="O95" s="1177"/>
      <c r="P95" s="1177"/>
      <c r="Q95" s="1177"/>
      <c r="R95" s="1178"/>
      <c r="S95" s="1178"/>
      <c r="T95" s="1178"/>
      <c r="U95" s="1179"/>
      <c r="V95" s="1179"/>
      <c r="W95" s="1180" t="str">
        <f>IF(N95="","",INDEX(CMLIGHTBASE[Base Watt 1],MATCH(N95,CMLIGHTBASE[Base Desc 1],0)))</f>
        <v/>
      </c>
      <c r="X95" s="1181"/>
      <c r="Y95" s="1182"/>
      <c r="Z95" s="1183"/>
      <c r="AA95" s="1183"/>
      <c r="AB95" s="1183"/>
      <c r="AC95" s="1186"/>
      <c r="AD95" s="1186"/>
      <c r="AE95" s="1170"/>
      <c r="AF95" s="1171"/>
      <c r="AG95" s="1172"/>
      <c r="AH95" s="1155"/>
      <c r="AI95" s="1156"/>
      <c r="AJ95" s="1159"/>
      <c r="AK95" s="1160"/>
      <c r="AL95" s="578"/>
      <c r="AM95" s="578"/>
      <c r="AN95" s="578"/>
      <c r="AO95" s="579"/>
      <c r="AP95" s="638"/>
      <c r="AR95" s="63"/>
      <c r="AS95" s="63"/>
    </row>
    <row r="96" spans="1:45" ht="15.95" customHeight="1" x14ac:dyDescent="0.25">
      <c r="A96" s="63"/>
      <c r="B96" s="63"/>
      <c r="D96" s="637"/>
      <c r="E96" s="569"/>
      <c r="F96" s="569"/>
      <c r="G96" s="569"/>
      <c r="H96" s="569"/>
      <c r="I96" s="569"/>
      <c r="J96" s="569"/>
      <c r="K96" s="1176"/>
      <c r="L96" s="1176"/>
      <c r="M96" s="1176"/>
      <c r="N96" s="1177"/>
      <c r="O96" s="1177"/>
      <c r="P96" s="1177"/>
      <c r="Q96" s="1177"/>
      <c r="R96" s="1178"/>
      <c r="S96" s="1178"/>
      <c r="T96" s="1178"/>
      <c r="U96" s="1179"/>
      <c r="V96" s="1179"/>
      <c r="W96" s="1180"/>
      <c r="X96" s="1181"/>
      <c r="Y96" s="1184"/>
      <c r="Z96" s="1185"/>
      <c r="AA96" s="1185"/>
      <c r="AB96" s="1185"/>
      <c r="AC96" s="1187"/>
      <c r="AD96" s="1187"/>
      <c r="AE96" s="1173"/>
      <c r="AF96" s="1174"/>
      <c r="AG96" s="1175"/>
      <c r="AH96" s="1157"/>
      <c r="AI96" s="1158"/>
      <c r="AJ96" s="1161"/>
      <c r="AK96" s="1162"/>
      <c r="AL96" s="578"/>
      <c r="AM96" s="578"/>
      <c r="AN96" s="578"/>
      <c r="AO96" s="579"/>
      <c r="AP96" s="638"/>
      <c r="AR96" s="63"/>
      <c r="AS96" s="63"/>
    </row>
    <row r="97" spans="1:45" ht="15.95" customHeight="1" x14ac:dyDescent="0.25">
      <c r="A97" s="63"/>
      <c r="B97" s="63"/>
      <c r="D97" s="637"/>
      <c r="E97" s="569"/>
      <c r="F97" s="569"/>
      <c r="G97" s="569"/>
      <c r="H97" s="569"/>
      <c r="I97" s="569"/>
      <c r="J97" s="569"/>
      <c r="K97" s="1176" t="s">
        <v>638</v>
      </c>
      <c r="L97" s="1176"/>
      <c r="M97" s="1176"/>
      <c r="N97" s="1177"/>
      <c r="O97" s="1177"/>
      <c r="P97" s="1177"/>
      <c r="Q97" s="1177"/>
      <c r="R97" s="1178"/>
      <c r="S97" s="1178"/>
      <c r="T97" s="1178"/>
      <c r="U97" s="1179"/>
      <c r="V97" s="1179"/>
      <c r="W97" s="1180" t="str">
        <f>IF(N97="","",INDEX(CMLIGHTBASE[Base Watt 1],MATCH(N97,CMLIGHTBASE[Base Desc 1],0)))</f>
        <v/>
      </c>
      <c r="X97" s="1181"/>
      <c r="Y97" s="1182"/>
      <c r="Z97" s="1183"/>
      <c r="AA97" s="1183"/>
      <c r="AB97" s="1183"/>
      <c r="AC97" s="1186"/>
      <c r="AD97" s="1186"/>
      <c r="AE97" s="1170"/>
      <c r="AF97" s="1171"/>
      <c r="AG97" s="1172"/>
      <c r="AH97" s="1155"/>
      <c r="AI97" s="1156"/>
      <c r="AJ97" s="1159"/>
      <c r="AK97" s="1160"/>
      <c r="AL97" s="578"/>
      <c r="AM97" s="578"/>
      <c r="AN97" s="578"/>
      <c r="AO97" s="579"/>
      <c r="AP97" s="638"/>
      <c r="AR97" s="63"/>
      <c r="AS97" s="63"/>
    </row>
    <row r="98" spans="1:45" ht="15.95" customHeight="1" x14ac:dyDescent="0.25">
      <c r="A98" s="63"/>
      <c r="B98" s="63"/>
      <c r="D98" s="637"/>
      <c r="E98" s="569"/>
      <c r="F98" s="569"/>
      <c r="G98" s="569"/>
      <c r="H98" s="569"/>
      <c r="I98" s="569"/>
      <c r="J98" s="569"/>
      <c r="K98" s="1176"/>
      <c r="L98" s="1176"/>
      <c r="M98" s="1176"/>
      <c r="N98" s="1177"/>
      <c r="O98" s="1177"/>
      <c r="P98" s="1177"/>
      <c r="Q98" s="1177"/>
      <c r="R98" s="1178"/>
      <c r="S98" s="1178"/>
      <c r="T98" s="1178"/>
      <c r="U98" s="1179"/>
      <c r="V98" s="1179"/>
      <c r="W98" s="1180"/>
      <c r="X98" s="1181"/>
      <c r="Y98" s="1184"/>
      <c r="Z98" s="1185"/>
      <c r="AA98" s="1185"/>
      <c r="AB98" s="1185"/>
      <c r="AC98" s="1187"/>
      <c r="AD98" s="1187"/>
      <c r="AE98" s="1173"/>
      <c r="AF98" s="1174"/>
      <c r="AG98" s="1175"/>
      <c r="AH98" s="1157"/>
      <c r="AI98" s="1158"/>
      <c r="AJ98" s="1161"/>
      <c r="AK98" s="1162"/>
      <c r="AL98" s="578"/>
      <c r="AM98" s="578"/>
      <c r="AN98" s="578"/>
      <c r="AO98" s="579"/>
      <c r="AP98" s="638"/>
      <c r="AR98" s="63"/>
      <c r="AS98" s="63"/>
    </row>
    <row r="99" spans="1:45" ht="15.95" customHeight="1" x14ac:dyDescent="0.25">
      <c r="A99" s="63"/>
      <c r="B99" s="63"/>
      <c r="D99" s="637"/>
      <c r="E99" s="569"/>
      <c r="F99" s="569"/>
      <c r="G99" s="569"/>
      <c r="H99" s="569"/>
      <c r="I99" s="569"/>
      <c r="J99" s="569"/>
      <c r="K99" s="1176" t="s">
        <v>638</v>
      </c>
      <c r="L99" s="1176"/>
      <c r="M99" s="1176"/>
      <c r="N99" s="1177"/>
      <c r="O99" s="1177"/>
      <c r="P99" s="1177"/>
      <c r="Q99" s="1177"/>
      <c r="R99" s="1178"/>
      <c r="S99" s="1178"/>
      <c r="T99" s="1178"/>
      <c r="U99" s="1179"/>
      <c r="V99" s="1179"/>
      <c r="W99" s="1180" t="str">
        <f>IF(N99="","",INDEX(CMLIGHTBASE[Base Watt 1],MATCH(N99,CMLIGHTBASE[Base Desc 1],0)))</f>
        <v/>
      </c>
      <c r="X99" s="1181"/>
      <c r="Y99" s="1182"/>
      <c r="Z99" s="1183"/>
      <c r="AA99" s="1183"/>
      <c r="AB99" s="1183"/>
      <c r="AC99" s="1186"/>
      <c r="AD99" s="1186"/>
      <c r="AE99" s="1170"/>
      <c r="AF99" s="1171"/>
      <c r="AG99" s="1172"/>
      <c r="AH99" s="1155"/>
      <c r="AI99" s="1156"/>
      <c r="AJ99" s="1159"/>
      <c r="AK99" s="1160"/>
      <c r="AL99" s="578"/>
      <c r="AM99" s="578"/>
      <c r="AN99" s="578"/>
      <c r="AO99" s="579"/>
      <c r="AP99" s="638"/>
      <c r="AR99" s="63"/>
      <c r="AS99" s="63"/>
    </row>
    <row r="100" spans="1:45" ht="15.95" customHeight="1" x14ac:dyDescent="0.25">
      <c r="A100" s="63"/>
      <c r="B100" s="63"/>
      <c r="D100" s="637"/>
      <c r="E100" s="569"/>
      <c r="F100" s="569"/>
      <c r="G100" s="569"/>
      <c r="H100" s="569"/>
      <c r="I100" s="569"/>
      <c r="J100" s="569"/>
      <c r="K100" s="1176"/>
      <c r="L100" s="1176"/>
      <c r="M100" s="1176"/>
      <c r="N100" s="1177"/>
      <c r="O100" s="1177"/>
      <c r="P100" s="1177"/>
      <c r="Q100" s="1177"/>
      <c r="R100" s="1178"/>
      <c r="S100" s="1178"/>
      <c r="T100" s="1178"/>
      <c r="U100" s="1179"/>
      <c r="V100" s="1179"/>
      <c r="W100" s="1180"/>
      <c r="X100" s="1181"/>
      <c r="Y100" s="1184"/>
      <c r="Z100" s="1185"/>
      <c r="AA100" s="1185"/>
      <c r="AB100" s="1185"/>
      <c r="AC100" s="1187"/>
      <c r="AD100" s="1187"/>
      <c r="AE100" s="1173"/>
      <c r="AF100" s="1174"/>
      <c r="AG100" s="1175"/>
      <c r="AH100" s="1157"/>
      <c r="AI100" s="1158"/>
      <c r="AJ100" s="1161"/>
      <c r="AK100" s="1162"/>
      <c r="AL100" s="578"/>
      <c r="AM100" s="578"/>
      <c r="AN100" s="578"/>
      <c r="AO100" s="579"/>
      <c r="AP100" s="638"/>
      <c r="AR100" s="63"/>
      <c r="AS100" s="63"/>
    </row>
    <row r="101" spans="1:45" ht="15.95" customHeight="1" x14ac:dyDescent="0.25">
      <c r="A101" s="63"/>
      <c r="B101" s="63"/>
      <c r="D101" s="637"/>
      <c r="E101" s="569"/>
      <c r="F101" s="569"/>
      <c r="G101" s="569"/>
      <c r="H101" s="569"/>
      <c r="I101" s="569"/>
      <c r="J101" s="569"/>
      <c r="K101" s="1176" t="s">
        <v>638</v>
      </c>
      <c r="L101" s="1176"/>
      <c r="M101" s="1176"/>
      <c r="N101" s="1177"/>
      <c r="O101" s="1177"/>
      <c r="P101" s="1177"/>
      <c r="Q101" s="1177"/>
      <c r="R101" s="1178"/>
      <c r="S101" s="1178"/>
      <c r="T101" s="1178"/>
      <c r="U101" s="1179"/>
      <c r="V101" s="1179"/>
      <c r="W101" s="1180" t="str">
        <f>IF(N101="","",INDEX(CMLIGHTBASE[Base Watt 1],MATCH(N101,CMLIGHTBASE[Base Desc 1],0)))</f>
        <v/>
      </c>
      <c r="X101" s="1181"/>
      <c r="Y101" s="1182"/>
      <c r="Z101" s="1183"/>
      <c r="AA101" s="1183"/>
      <c r="AB101" s="1183"/>
      <c r="AC101" s="1186"/>
      <c r="AD101" s="1186"/>
      <c r="AE101" s="1170"/>
      <c r="AF101" s="1171"/>
      <c r="AG101" s="1172"/>
      <c r="AH101" s="1155"/>
      <c r="AI101" s="1156"/>
      <c r="AJ101" s="1159"/>
      <c r="AK101" s="1160"/>
      <c r="AL101" s="578"/>
      <c r="AM101" s="578"/>
      <c r="AN101" s="578"/>
      <c r="AO101" s="579"/>
      <c r="AP101" s="638"/>
      <c r="AR101" s="63"/>
      <c r="AS101" s="63"/>
    </row>
    <row r="102" spans="1:45" ht="15.95" customHeight="1" x14ac:dyDescent="0.25">
      <c r="A102" s="63"/>
      <c r="B102" s="63"/>
      <c r="D102" s="637"/>
      <c r="E102" s="569"/>
      <c r="F102" s="569"/>
      <c r="G102" s="569"/>
      <c r="H102" s="569"/>
      <c r="I102" s="569"/>
      <c r="J102" s="569"/>
      <c r="K102" s="1176"/>
      <c r="L102" s="1176"/>
      <c r="M102" s="1176"/>
      <c r="N102" s="1177"/>
      <c r="O102" s="1177"/>
      <c r="P102" s="1177"/>
      <c r="Q102" s="1177"/>
      <c r="R102" s="1178"/>
      <c r="S102" s="1178"/>
      <c r="T102" s="1178"/>
      <c r="U102" s="1179"/>
      <c r="V102" s="1179"/>
      <c r="W102" s="1180"/>
      <c r="X102" s="1181"/>
      <c r="Y102" s="1184"/>
      <c r="Z102" s="1185"/>
      <c r="AA102" s="1185"/>
      <c r="AB102" s="1185"/>
      <c r="AC102" s="1187"/>
      <c r="AD102" s="1187"/>
      <c r="AE102" s="1173"/>
      <c r="AF102" s="1174"/>
      <c r="AG102" s="1175"/>
      <c r="AH102" s="1157"/>
      <c r="AI102" s="1158"/>
      <c r="AJ102" s="1161"/>
      <c r="AK102" s="1162"/>
      <c r="AL102" s="578"/>
      <c r="AM102" s="578"/>
      <c r="AN102" s="578"/>
      <c r="AO102" s="579"/>
      <c r="AP102" s="638"/>
      <c r="AR102" s="63"/>
      <c r="AS102" s="63"/>
    </row>
    <row r="103" spans="1:45" ht="15.95" customHeight="1" x14ac:dyDescent="0.25">
      <c r="A103" s="63"/>
      <c r="B103" s="63"/>
      <c r="D103" s="637"/>
      <c r="E103" s="569"/>
      <c r="F103" s="569"/>
      <c r="G103" s="569"/>
      <c r="H103" s="569"/>
      <c r="I103" s="569"/>
      <c r="J103" s="569"/>
      <c r="K103" s="1176" t="s">
        <v>638</v>
      </c>
      <c r="L103" s="1176"/>
      <c r="M103" s="1176"/>
      <c r="N103" s="1177"/>
      <c r="O103" s="1177"/>
      <c r="P103" s="1177"/>
      <c r="Q103" s="1177"/>
      <c r="R103" s="1178"/>
      <c r="S103" s="1178"/>
      <c r="T103" s="1178"/>
      <c r="U103" s="1179"/>
      <c r="V103" s="1179"/>
      <c r="W103" s="1180" t="str">
        <f>IF(N103="","",INDEX(CMLIGHTBASE[Base Watt 1],MATCH(N103,CMLIGHTBASE[Base Desc 1],0)))</f>
        <v/>
      </c>
      <c r="X103" s="1181"/>
      <c r="Y103" s="1182"/>
      <c r="Z103" s="1183"/>
      <c r="AA103" s="1183"/>
      <c r="AB103" s="1183"/>
      <c r="AC103" s="1186"/>
      <c r="AD103" s="1186"/>
      <c r="AE103" s="1170"/>
      <c r="AF103" s="1171"/>
      <c r="AG103" s="1172"/>
      <c r="AH103" s="1155"/>
      <c r="AI103" s="1156"/>
      <c r="AJ103" s="1159"/>
      <c r="AK103" s="1160"/>
      <c r="AL103" s="578"/>
      <c r="AM103" s="578"/>
      <c r="AN103" s="578"/>
      <c r="AO103" s="579"/>
      <c r="AP103" s="638"/>
      <c r="AR103" s="63"/>
      <c r="AS103" s="63"/>
    </row>
    <row r="104" spans="1:45" ht="15.95" customHeight="1" x14ac:dyDescent="0.25">
      <c r="A104" s="63"/>
      <c r="B104" s="63"/>
      <c r="D104" s="637"/>
      <c r="E104" s="569"/>
      <c r="F104" s="569"/>
      <c r="G104" s="569"/>
      <c r="H104" s="569"/>
      <c r="I104" s="569"/>
      <c r="J104" s="569"/>
      <c r="K104" s="1176"/>
      <c r="L104" s="1176"/>
      <c r="M104" s="1176"/>
      <c r="N104" s="1177"/>
      <c r="O104" s="1177"/>
      <c r="P104" s="1177"/>
      <c r="Q104" s="1177"/>
      <c r="R104" s="1178"/>
      <c r="S104" s="1178"/>
      <c r="T104" s="1178"/>
      <c r="U104" s="1179"/>
      <c r="V104" s="1179"/>
      <c r="W104" s="1180"/>
      <c r="X104" s="1181"/>
      <c r="Y104" s="1184"/>
      <c r="Z104" s="1185"/>
      <c r="AA104" s="1185"/>
      <c r="AB104" s="1185"/>
      <c r="AC104" s="1187"/>
      <c r="AD104" s="1187"/>
      <c r="AE104" s="1173"/>
      <c r="AF104" s="1174"/>
      <c r="AG104" s="1175"/>
      <c r="AH104" s="1157"/>
      <c r="AI104" s="1158"/>
      <c r="AJ104" s="1161"/>
      <c r="AK104" s="1162"/>
      <c r="AL104" s="578"/>
      <c r="AM104" s="578"/>
      <c r="AN104" s="578"/>
      <c r="AO104" s="579"/>
      <c r="AP104" s="638"/>
      <c r="AR104" s="63"/>
      <c r="AS104" s="63"/>
    </row>
    <row r="105" spans="1:45" ht="15.95" customHeight="1" x14ac:dyDescent="0.25">
      <c r="A105" s="63"/>
      <c r="B105" s="63"/>
      <c r="D105" s="637"/>
      <c r="E105" s="569"/>
      <c r="F105" s="569"/>
      <c r="G105" s="569"/>
      <c r="H105" s="569"/>
      <c r="I105" s="569"/>
      <c r="J105" s="569"/>
      <c r="K105" s="570"/>
      <c r="L105" s="570"/>
      <c r="M105" s="571"/>
      <c r="N105" s="571"/>
      <c r="O105" s="572"/>
      <c r="P105" s="572"/>
      <c r="Q105" s="572"/>
      <c r="R105" s="573"/>
      <c r="S105" s="573"/>
      <c r="T105" s="573"/>
      <c r="U105" s="1163"/>
      <c r="V105" s="1164"/>
      <c r="W105" s="1166">
        <f>SUMPRODUCT(U85:V104,W85:X104)</f>
        <v>0</v>
      </c>
      <c r="X105" s="1167"/>
      <c r="Y105" s="571"/>
      <c r="Z105" s="571"/>
      <c r="AA105" s="574"/>
      <c r="AB105" s="574"/>
      <c r="AC105" s="574"/>
      <c r="AD105" s="575"/>
      <c r="AE105" s="575"/>
      <c r="AF105" s="576"/>
      <c r="AG105" s="576"/>
      <c r="AH105" s="576"/>
      <c r="AI105" s="576"/>
      <c r="AJ105" s="1166">
        <f>SUMPRODUCT(AH85:AI104,AJ85:AK104)</f>
        <v>0</v>
      </c>
      <c r="AK105" s="1167"/>
      <c r="AL105" s="578"/>
      <c r="AM105" s="578"/>
      <c r="AN105" s="578"/>
      <c r="AO105" s="579"/>
      <c r="AP105" s="638"/>
      <c r="AR105" s="63"/>
      <c r="AS105" s="63"/>
    </row>
    <row r="106" spans="1:45" ht="15.95" customHeight="1" thickBot="1" x14ac:dyDescent="0.3">
      <c r="A106" s="63"/>
      <c r="B106" s="63"/>
      <c r="D106" s="639"/>
      <c r="E106" s="640"/>
      <c r="F106" s="640"/>
      <c r="G106" s="640"/>
      <c r="H106" s="640"/>
      <c r="I106" s="640"/>
      <c r="J106" s="640"/>
      <c r="K106" s="641"/>
      <c r="L106" s="641"/>
      <c r="M106" s="642"/>
      <c r="N106" s="642"/>
      <c r="O106" s="643"/>
      <c r="P106" s="643"/>
      <c r="Q106" s="643"/>
      <c r="R106" s="644"/>
      <c r="S106" s="644"/>
      <c r="T106" s="644"/>
      <c r="U106" s="1216"/>
      <c r="V106" s="1216"/>
      <c r="W106" s="1217"/>
      <c r="X106" s="1218"/>
      <c r="Y106" s="642"/>
      <c r="Z106" s="642"/>
      <c r="AA106" s="645"/>
      <c r="AB106" s="645"/>
      <c r="AC106" s="645"/>
      <c r="AD106" s="646"/>
      <c r="AE106" s="646"/>
      <c r="AF106" s="647"/>
      <c r="AG106" s="647"/>
      <c r="AH106" s="647"/>
      <c r="AI106" s="647"/>
      <c r="AJ106" s="1217"/>
      <c r="AK106" s="1218"/>
      <c r="AL106" s="648"/>
      <c r="AM106" s="648"/>
      <c r="AN106" s="648"/>
      <c r="AO106" s="649"/>
      <c r="AP106" s="650"/>
      <c r="AR106" s="63"/>
      <c r="AS106" s="63"/>
    </row>
    <row r="107" spans="1:45" ht="15.95" customHeight="1" thickTop="1" thickBot="1" x14ac:dyDescent="0.3">
      <c r="A107" s="63"/>
      <c r="B107" s="63"/>
      <c r="AR107" s="63"/>
      <c r="AS107" s="63"/>
    </row>
    <row r="108" spans="1:45" ht="15.95" customHeight="1" thickTop="1" x14ac:dyDescent="0.25">
      <c r="A108" s="63"/>
      <c r="B108" s="63"/>
      <c r="D108" s="651"/>
      <c r="E108" s="652"/>
      <c r="F108" s="652"/>
      <c r="G108" s="652"/>
      <c r="H108" s="652"/>
      <c r="I108" s="652"/>
      <c r="J108" s="652"/>
      <c r="K108" s="653"/>
      <c r="L108" s="653"/>
      <c r="M108" s="654"/>
      <c r="N108" s="654"/>
      <c r="O108" s="655"/>
      <c r="P108" s="655"/>
      <c r="Q108" s="655"/>
      <c r="R108" s="1219" t="s">
        <v>2204</v>
      </c>
      <c r="S108" s="1219"/>
      <c r="T108" s="1219"/>
      <c r="U108" s="1219"/>
      <c r="V108" s="1219"/>
      <c r="W108" s="1219"/>
      <c r="X108" s="1219"/>
      <c r="Y108" s="1219"/>
      <c r="Z108" s="1219"/>
      <c r="AA108" s="1219"/>
      <c r="AB108" s="1219"/>
      <c r="AC108" s="1219"/>
      <c r="AD108" s="656"/>
      <c r="AE108" s="656"/>
      <c r="AF108" s="657"/>
      <c r="AG108" s="657"/>
      <c r="AH108" s="657"/>
      <c r="AI108" s="657"/>
      <c r="AJ108" s="658"/>
      <c r="AK108" s="658"/>
      <c r="AL108" s="659"/>
      <c r="AM108" s="1198" t="s">
        <v>2197</v>
      </c>
      <c r="AN108" s="1198"/>
      <c r="AO108" s="1198"/>
      <c r="AP108" s="1199"/>
      <c r="AR108" s="63"/>
      <c r="AS108" s="63"/>
    </row>
    <row r="109" spans="1:45" ht="15.95" customHeight="1" thickBot="1" x14ac:dyDescent="0.3">
      <c r="A109" s="63"/>
      <c r="B109" s="63"/>
      <c r="D109" s="660"/>
      <c r="E109" s="569"/>
      <c r="F109" s="569"/>
      <c r="G109" s="569"/>
      <c r="H109" s="569"/>
      <c r="I109" s="569"/>
      <c r="J109" s="569"/>
      <c r="K109" s="570"/>
      <c r="L109" s="570"/>
      <c r="M109" s="571"/>
      <c r="N109" s="571"/>
      <c r="O109" s="572"/>
      <c r="P109" s="572"/>
      <c r="Q109" s="572"/>
      <c r="R109" s="1220"/>
      <c r="S109" s="1220"/>
      <c r="T109" s="1220"/>
      <c r="U109" s="1220"/>
      <c r="V109" s="1220"/>
      <c r="W109" s="1220"/>
      <c r="X109" s="1220"/>
      <c r="Y109" s="1220"/>
      <c r="Z109" s="1220"/>
      <c r="AA109" s="1220"/>
      <c r="AB109" s="1220"/>
      <c r="AC109" s="1220"/>
      <c r="AD109" s="575"/>
      <c r="AE109" s="575"/>
      <c r="AF109" s="576"/>
      <c r="AG109" s="576"/>
      <c r="AH109" s="576"/>
      <c r="AI109" s="576"/>
      <c r="AJ109" s="577"/>
      <c r="AK109" s="577"/>
      <c r="AL109" s="578"/>
      <c r="AM109" s="1200"/>
      <c r="AN109" s="1200"/>
      <c r="AO109" s="1200"/>
      <c r="AP109" s="1201"/>
      <c r="AR109" s="63"/>
      <c r="AS109" s="63"/>
    </row>
    <row r="110" spans="1:45" ht="15.95" customHeight="1" x14ac:dyDescent="0.25">
      <c r="A110" s="63"/>
      <c r="B110" s="63"/>
      <c r="D110" s="1202" t="s">
        <v>2198</v>
      </c>
      <c r="E110" s="1203"/>
      <c r="F110" s="1203"/>
      <c r="G110" s="1203"/>
      <c r="H110" s="1206" t="s">
        <v>2155</v>
      </c>
      <c r="I110" s="1206"/>
      <c r="J110" s="590"/>
      <c r="K110" s="1208" t="s">
        <v>2150</v>
      </c>
      <c r="L110" s="1208"/>
      <c r="M110" s="1208"/>
      <c r="N110" s="1210" t="s">
        <v>2199</v>
      </c>
      <c r="O110" s="1210"/>
      <c r="P110" s="1210"/>
      <c r="Q110" s="1210"/>
      <c r="R110" s="1210" t="s">
        <v>2157</v>
      </c>
      <c r="S110" s="1210"/>
      <c r="T110" s="1210"/>
      <c r="U110" s="1210" t="s">
        <v>2153</v>
      </c>
      <c r="V110" s="1210"/>
      <c r="W110" s="1210" t="s">
        <v>2154</v>
      </c>
      <c r="X110" s="1210"/>
      <c r="Y110" s="1210" t="s">
        <v>2200</v>
      </c>
      <c r="Z110" s="1210"/>
      <c r="AA110" s="1210"/>
      <c r="AB110" s="1210"/>
      <c r="AC110" s="1210" t="s">
        <v>2201</v>
      </c>
      <c r="AD110" s="1210"/>
      <c r="AE110" s="1210" t="s">
        <v>2157</v>
      </c>
      <c r="AF110" s="1210"/>
      <c r="AG110" s="1210"/>
      <c r="AH110" s="1210" t="s">
        <v>2158</v>
      </c>
      <c r="AI110" s="1210"/>
      <c r="AJ110" s="1210" t="s">
        <v>2154</v>
      </c>
      <c r="AK110" s="1210"/>
      <c r="AL110" s="578"/>
      <c r="AM110" s="1212" t="s">
        <v>2194</v>
      </c>
      <c r="AN110" s="1212"/>
      <c r="AO110" s="1212" t="s">
        <v>1321</v>
      </c>
      <c r="AP110" s="1214"/>
      <c r="AR110" s="63"/>
      <c r="AS110" s="63"/>
    </row>
    <row r="111" spans="1:45" ht="15.95" customHeight="1" thickBot="1" x14ac:dyDescent="0.3">
      <c r="A111" s="63"/>
      <c r="B111" s="63"/>
      <c r="D111" s="1204"/>
      <c r="E111" s="1205"/>
      <c r="F111" s="1205"/>
      <c r="G111" s="1205"/>
      <c r="H111" s="1207"/>
      <c r="I111" s="1207"/>
      <c r="J111" s="590"/>
      <c r="K111" s="1209"/>
      <c r="L111" s="1209"/>
      <c r="M111" s="1209"/>
      <c r="N111" s="1211"/>
      <c r="O111" s="1211"/>
      <c r="P111" s="1211"/>
      <c r="Q111" s="1211"/>
      <c r="R111" s="1211"/>
      <c r="S111" s="1211"/>
      <c r="T111" s="1211"/>
      <c r="U111" s="1211"/>
      <c r="V111" s="1211"/>
      <c r="W111" s="1211"/>
      <c r="X111" s="1211"/>
      <c r="Y111" s="1211"/>
      <c r="Z111" s="1211"/>
      <c r="AA111" s="1211"/>
      <c r="AB111" s="1211"/>
      <c r="AC111" s="1211"/>
      <c r="AD111" s="1211"/>
      <c r="AE111" s="1211"/>
      <c r="AF111" s="1211"/>
      <c r="AG111" s="1211"/>
      <c r="AH111" s="1211"/>
      <c r="AI111" s="1211"/>
      <c r="AJ111" s="1211"/>
      <c r="AK111" s="1211"/>
      <c r="AL111" s="578"/>
      <c r="AM111" s="1213"/>
      <c r="AN111" s="1213"/>
      <c r="AO111" s="1213"/>
      <c r="AP111" s="1215"/>
      <c r="AR111" s="63"/>
      <c r="AS111" s="63"/>
    </row>
    <row r="112" spans="1:45" ht="15.95" customHeight="1" x14ac:dyDescent="0.25">
      <c r="A112" s="63"/>
      <c r="B112" s="63"/>
      <c r="D112" s="1192"/>
      <c r="E112" s="1193"/>
      <c r="F112" s="1193"/>
      <c r="G112" s="1193"/>
      <c r="H112" s="1196"/>
      <c r="I112" s="1196"/>
      <c r="J112" s="590"/>
      <c r="K112" s="1176" t="s">
        <v>638</v>
      </c>
      <c r="L112" s="1176"/>
      <c r="M112" s="1176"/>
      <c r="N112" s="1177"/>
      <c r="O112" s="1177"/>
      <c r="P112" s="1177"/>
      <c r="Q112" s="1177"/>
      <c r="R112" s="1178"/>
      <c r="S112" s="1178"/>
      <c r="T112" s="1178"/>
      <c r="U112" s="1179"/>
      <c r="V112" s="1179"/>
      <c r="W112" s="1180" t="str">
        <f>IF(N112="","",INDEX(CMLIGHTBASE[Base Watt 1],MATCH(N112,CMLIGHTBASE[Base Desc 1],0)))</f>
        <v/>
      </c>
      <c r="X112" s="1181"/>
      <c r="Y112" s="1281"/>
      <c r="Z112" s="1282"/>
      <c r="AA112" s="1282"/>
      <c r="AB112" s="1282"/>
      <c r="AC112" s="1186"/>
      <c r="AD112" s="1186"/>
      <c r="AE112" s="1286"/>
      <c r="AF112" s="1284"/>
      <c r="AG112" s="1285"/>
      <c r="AH112" s="1229"/>
      <c r="AI112" s="1230"/>
      <c r="AJ112" s="1159"/>
      <c r="AK112" s="1160"/>
      <c r="AL112" s="578"/>
      <c r="AM112" s="1188"/>
      <c r="AN112" s="1188"/>
      <c r="AO112" s="1188"/>
      <c r="AP112" s="1189"/>
      <c r="AR112" s="63"/>
      <c r="AS112" s="63"/>
    </row>
    <row r="113" spans="1:45" ht="15.95" customHeight="1" x14ac:dyDescent="0.25">
      <c r="A113" s="63"/>
      <c r="B113" s="63"/>
      <c r="D113" s="1194"/>
      <c r="E113" s="1195"/>
      <c r="F113" s="1195"/>
      <c r="G113" s="1195"/>
      <c r="H113" s="1197"/>
      <c r="I113" s="1197"/>
      <c r="J113" s="590"/>
      <c r="K113" s="1176"/>
      <c r="L113" s="1176"/>
      <c r="M113" s="1176"/>
      <c r="N113" s="1177"/>
      <c r="O113" s="1177"/>
      <c r="P113" s="1177"/>
      <c r="Q113" s="1177"/>
      <c r="R113" s="1178"/>
      <c r="S113" s="1178"/>
      <c r="T113" s="1178"/>
      <c r="U113" s="1179"/>
      <c r="V113" s="1179"/>
      <c r="W113" s="1180"/>
      <c r="X113" s="1181"/>
      <c r="Y113" s="1184"/>
      <c r="Z113" s="1185"/>
      <c r="AA113" s="1185"/>
      <c r="AB113" s="1185"/>
      <c r="AC113" s="1187"/>
      <c r="AD113" s="1187"/>
      <c r="AE113" s="1173"/>
      <c r="AF113" s="1174"/>
      <c r="AG113" s="1175"/>
      <c r="AH113" s="1157"/>
      <c r="AI113" s="1158"/>
      <c r="AJ113" s="1161"/>
      <c r="AK113" s="1162"/>
      <c r="AL113" s="578"/>
      <c r="AM113" s="1190"/>
      <c r="AN113" s="1190"/>
      <c r="AO113" s="1190"/>
      <c r="AP113" s="1191"/>
      <c r="AR113" s="63"/>
      <c r="AS113" s="63"/>
    </row>
    <row r="114" spans="1:45" ht="15.95" customHeight="1" x14ac:dyDescent="0.25">
      <c r="A114" s="63"/>
      <c r="B114" s="63"/>
      <c r="D114" s="660"/>
      <c r="E114" s="569"/>
      <c r="F114" s="569"/>
      <c r="G114" s="569"/>
      <c r="H114" s="569"/>
      <c r="I114" s="569"/>
      <c r="J114" s="569"/>
      <c r="K114" s="1176" t="s">
        <v>638</v>
      </c>
      <c r="L114" s="1176"/>
      <c r="M114" s="1176"/>
      <c r="N114" s="1177"/>
      <c r="O114" s="1177"/>
      <c r="P114" s="1177"/>
      <c r="Q114" s="1177"/>
      <c r="R114" s="1178"/>
      <c r="S114" s="1178"/>
      <c r="T114" s="1178"/>
      <c r="U114" s="1179"/>
      <c r="V114" s="1179"/>
      <c r="W114" s="1180" t="str">
        <f>IF(N114="","",INDEX(CMLIGHTBASE[Base Watt 1],MATCH(N114,CMLIGHTBASE[Base Desc 1],0)))</f>
        <v/>
      </c>
      <c r="X114" s="1181"/>
      <c r="Y114" s="1182"/>
      <c r="Z114" s="1183"/>
      <c r="AA114" s="1183"/>
      <c r="AB114" s="1183"/>
      <c r="AC114" s="1186"/>
      <c r="AD114" s="1186"/>
      <c r="AE114" s="1170"/>
      <c r="AF114" s="1171"/>
      <c r="AG114" s="1172"/>
      <c r="AH114" s="1155"/>
      <c r="AI114" s="1156"/>
      <c r="AJ114" s="1159"/>
      <c r="AK114" s="1160"/>
      <c r="AL114" s="578"/>
      <c r="AM114" s="578"/>
      <c r="AN114" s="578"/>
      <c r="AO114" s="579"/>
      <c r="AP114" s="661"/>
      <c r="AR114" s="63"/>
      <c r="AS114" s="63"/>
    </row>
    <row r="115" spans="1:45" ht="15.95" customHeight="1" x14ac:dyDescent="0.25">
      <c r="A115" s="63"/>
      <c r="B115" s="63"/>
      <c r="D115" s="660"/>
      <c r="J115" s="590"/>
      <c r="K115" s="1176"/>
      <c r="L115" s="1176"/>
      <c r="M115" s="1176"/>
      <c r="N115" s="1177"/>
      <c r="O115" s="1177"/>
      <c r="P115" s="1177"/>
      <c r="Q115" s="1177"/>
      <c r="R115" s="1178"/>
      <c r="S115" s="1178"/>
      <c r="T115" s="1178"/>
      <c r="U115" s="1179"/>
      <c r="V115" s="1179"/>
      <c r="W115" s="1180"/>
      <c r="X115" s="1181"/>
      <c r="Y115" s="1184"/>
      <c r="Z115" s="1185"/>
      <c r="AA115" s="1185"/>
      <c r="AB115" s="1185"/>
      <c r="AC115" s="1187"/>
      <c r="AD115" s="1187"/>
      <c r="AE115" s="1173"/>
      <c r="AF115" s="1174"/>
      <c r="AG115" s="1175"/>
      <c r="AH115" s="1157"/>
      <c r="AI115" s="1158"/>
      <c r="AJ115" s="1161"/>
      <c r="AK115" s="1162"/>
      <c r="AL115" s="578"/>
      <c r="AM115" s="578"/>
      <c r="AN115" s="578"/>
      <c r="AO115" s="579"/>
      <c r="AP115" s="661"/>
      <c r="AR115" s="63"/>
      <c r="AS115" s="63"/>
    </row>
    <row r="116" spans="1:45" ht="15.95" customHeight="1" x14ac:dyDescent="0.25">
      <c r="A116" s="63"/>
      <c r="B116" s="63"/>
      <c r="D116" s="660"/>
      <c r="J116" s="590"/>
      <c r="K116" s="1176" t="s">
        <v>638</v>
      </c>
      <c r="L116" s="1176"/>
      <c r="M116" s="1176"/>
      <c r="N116" s="1177"/>
      <c r="O116" s="1177"/>
      <c r="P116" s="1177"/>
      <c r="Q116" s="1177"/>
      <c r="R116" s="1178"/>
      <c r="S116" s="1178"/>
      <c r="T116" s="1178"/>
      <c r="U116" s="1179"/>
      <c r="V116" s="1179"/>
      <c r="W116" s="1180" t="str">
        <f>IF(N116="","",INDEX(CMLIGHTBASE[Base Watt 1],MATCH(N116,CMLIGHTBASE[Base Desc 1],0)))</f>
        <v/>
      </c>
      <c r="X116" s="1181"/>
      <c r="Y116" s="1182"/>
      <c r="Z116" s="1183"/>
      <c r="AA116" s="1183"/>
      <c r="AB116" s="1183"/>
      <c r="AC116" s="1186"/>
      <c r="AD116" s="1186"/>
      <c r="AE116" s="1170"/>
      <c r="AF116" s="1171"/>
      <c r="AG116" s="1172"/>
      <c r="AH116" s="1155"/>
      <c r="AI116" s="1156"/>
      <c r="AJ116" s="1159"/>
      <c r="AK116" s="1160"/>
      <c r="AL116" s="578"/>
      <c r="AM116" s="578"/>
      <c r="AN116" s="578"/>
      <c r="AO116" s="579"/>
      <c r="AP116" s="661"/>
      <c r="AR116" s="63"/>
      <c r="AS116" s="63"/>
    </row>
    <row r="117" spans="1:45" ht="15.95" customHeight="1" x14ac:dyDescent="0.25">
      <c r="A117" s="63"/>
      <c r="B117" s="63"/>
      <c r="D117" s="660"/>
      <c r="J117" s="590"/>
      <c r="K117" s="1176"/>
      <c r="L117" s="1176"/>
      <c r="M117" s="1176"/>
      <c r="N117" s="1177"/>
      <c r="O117" s="1177"/>
      <c r="P117" s="1177"/>
      <c r="Q117" s="1177"/>
      <c r="R117" s="1178"/>
      <c r="S117" s="1178"/>
      <c r="T117" s="1178"/>
      <c r="U117" s="1179"/>
      <c r="V117" s="1179"/>
      <c r="W117" s="1180"/>
      <c r="X117" s="1181"/>
      <c r="Y117" s="1184"/>
      <c r="Z117" s="1185"/>
      <c r="AA117" s="1185"/>
      <c r="AB117" s="1185"/>
      <c r="AC117" s="1187"/>
      <c r="AD117" s="1187"/>
      <c r="AE117" s="1173"/>
      <c r="AF117" s="1174"/>
      <c r="AG117" s="1175"/>
      <c r="AH117" s="1157"/>
      <c r="AI117" s="1158"/>
      <c r="AJ117" s="1161"/>
      <c r="AK117" s="1162"/>
      <c r="AL117" s="578"/>
      <c r="AM117" s="578"/>
      <c r="AN117" s="578"/>
      <c r="AO117" s="579"/>
      <c r="AP117" s="661"/>
      <c r="AR117" s="63"/>
      <c r="AS117" s="63"/>
    </row>
    <row r="118" spans="1:45" ht="15.95" customHeight="1" x14ac:dyDescent="0.25">
      <c r="A118" s="63"/>
      <c r="B118" s="63"/>
      <c r="D118" s="660"/>
      <c r="J118" s="590"/>
      <c r="K118" s="1176" t="s">
        <v>638</v>
      </c>
      <c r="L118" s="1176"/>
      <c r="M118" s="1176"/>
      <c r="N118" s="1177"/>
      <c r="O118" s="1177"/>
      <c r="P118" s="1177"/>
      <c r="Q118" s="1177"/>
      <c r="R118" s="1178"/>
      <c r="S118" s="1178"/>
      <c r="T118" s="1178"/>
      <c r="U118" s="1179"/>
      <c r="V118" s="1179"/>
      <c r="W118" s="1180" t="str">
        <f>IF(N118="","",INDEX(CMLIGHTBASE[Base Watt 1],MATCH(N118,CMLIGHTBASE[Base Desc 1],0)))</f>
        <v/>
      </c>
      <c r="X118" s="1181"/>
      <c r="Y118" s="1182"/>
      <c r="Z118" s="1183"/>
      <c r="AA118" s="1183"/>
      <c r="AB118" s="1183"/>
      <c r="AC118" s="1186"/>
      <c r="AD118" s="1186"/>
      <c r="AE118" s="1170"/>
      <c r="AF118" s="1171"/>
      <c r="AG118" s="1172"/>
      <c r="AH118" s="1155"/>
      <c r="AI118" s="1156"/>
      <c r="AJ118" s="1159"/>
      <c r="AK118" s="1160"/>
      <c r="AL118" s="578"/>
      <c r="AM118" s="578"/>
      <c r="AN118" s="578"/>
      <c r="AO118" s="579"/>
      <c r="AP118" s="661"/>
      <c r="AR118" s="63"/>
      <c r="AS118" s="63"/>
    </row>
    <row r="119" spans="1:45" ht="15.95" customHeight="1" x14ac:dyDescent="0.25">
      <c r="A119" s="63"/>
      <c r="B119" s="63"/>
      <c r="D119" s="660"/>
      <c r="E119" s="569"/>
      <c r="F119" s="569"/>
      <c r="G119" s="569"/>
      <c r="H119" s="569"/>
      <c r="I119" s="569"/>
      <c r="J119" s="590"/>
      <c r="K119" s="1176"/>
      <c r="L119" s="1176"/>
      <c r="M119" s="1176"/>
      <c r="N119" s="1177"/>
      <c r="O119" s="1177"/>
      <c r="P119" s="1177"/>
      <c r="Q119" s="1177"/>
      <c r="R119" s="1178"/>
      <c r="S119" s="1178"/>
      <c r="T119" s="1178"/>
      <c r="U119" s="1179"/>
      <c r="V119" s="1179"/>
      <c r="W119" s="1180"/>
      <c r="X119" s="1181"/>
      <c r="Y119" s="1184"/>
      <c r="Z119" s="1185"/>
      <c r="AA119" s="1185"/>
      <c r="AB119" s="1185"/>
      <c r="AC119" s="1187"/>
      <c r="AD119" s="1187"/>
      <c r="AE119" s="1173"/>
      <c r="AF119" s="1174"/>
      <c r="AG119" s="1175"/>
      <c r="AH119" s="1157"/>
      <c r="AI119" s="1158"/>
      <c r="AJ119" s="1161"/>
      <c r="AK119" s="1162"/>
      <c r="AL119" s="578"/>
      <c r="AM119" s="578"/>
      <c r="AN119" s="578"/>
      <c r="AO119" s="579"/>
      <c r="AP119" s="661"/>
      <c r="AR119" s="63"/>
      <c r="AS119" s="63"/>
    </row>
    <row r="120" spans="1:45" ht="15.95" customHeight="1" x14ac:dyDescent="0.25">
      <c r="A120" s="63"/>
      <c r="B120" s="63"/>
      <c r="C120" s="135"/>
      <c r="D120" s="660"/>
      <c r="E120" s="569"/>
      <c r="F120" s="569"/>
      <c r="G120" s="569"/>
      <c r="H120" s="569"/>
      <c r="I120" s="569"/>
      <c r="J120" s="569"/>
      <c r="K120" s="1176" t="s">
        <v>638</v>
      </c>
      <c r="L120" s="1176"/>
      <c r="M120" s="1176"/>
      <c r="N120" s="1177"/>
      <c r="O120" s="1177"/>
      <c r="P120" s="1177"/>
      <c r="Q120" s="1177"/>
      <c r="R120" s="1178"/>
      <c r="S120" s="1178"/>
      <c r="T120" s="1178"/>
      <c r="U120" s="1179"/>
      <c r="V120" s="1179"/>
      <c r="W120" s="1180" t="str">
        <f>IF(N120="","",INDEX(CMLIGHTBASE[Base Watt 1],MATCH(N120,CMLIGHTBASE[Base Desc 1],0)))</f>
        <v/>
      </c>
      <c r="X120" s="1181"/>
      <c r="Y120" s="1182"/>
      <c r="Z120" s="1183"/>
      <c r="AA120" s="1183"/>
      <c r="AB120" s="1183"/>
      <c r="AC120" s="1186"/>
      <c r="AD120" s="1186"/>
      <c r="AE120" s="1170"/>
      <c r="AF120" s="1171"/>
      <c r="AG120" s="1172"/>
      <c r="AH120" s="1155"/>
      <c r="AI120" s="1156"/>
      <c r="AJ120" s="1159"/>
      <c r="AK120" s="1160"/>
      <c r="AL120" s="578"/>
      <c r="AM120" s="578"/>
      <c r="AN120" s="578"/>
      <c r="AO120" s="579"/>
      <c r="AP120" s="661"/>
      <c r="AQ120" s="135"/>
      <c r="AR120" s="63"/>
      <c r="AS120" s="63"/>
    </row>
    <row r="121" spans="1:45" ht="15.95" customHeight="1" x14ac:dyDescent="0.25">
      <c r="A121" s="63"/>
      <c r="B121" s="63"/>
      <c r="C121" s="63"/>
      <c r="D121" s="660"/>
      <c r="E121" s="569"/>
      <c r="F121" s="569"/>
      <c r="G121" s="569"/>
      <c r="H121" s="569"/>
      <c r="I121" s="569"/>
      <c r="J121" s="569"/>
      <c r="K121" s="1176"/>
      <c r="L121" s="1176"/>
      <c r="M121" s="1176"/>
      <c r="N121" s="1177"/>
      <c r="O121" s="1177"/>
      <c r="P121" s="1177"/>
      <c r="Q121" s="1177"/>
      <c r="R121" s="1178"/>
      <c r="S121" s="1178"/>
      <c r="T121" s="1178"/>
      <c r="U121" s="1179"/>
      <c r="V121" s="1179"/>
      <c r="W121" s="1180"/>
      <c r="X121" s="1181"/>
      <c r="Y121" s="1184"/>
      <c r="Z121" s="1185"/>
      <c r="AA121" s="1185"/>
      <c r="AB121" s="1185"/>
      <c r="AC121" s="1187"/>
      <c r="AD121" s="1187"/>
      <c r="AE121" s="1173"/>
      <c r="AF121" s="1174"/>
      <c r="AG121" s="1175"/>
      <c r="AH121" s="1157"/>
      <c r="AI121" s="1158"/>
      <c r="AJ121" s="1161"/>
      <c r="AK121" s="1162"/>
      <c r="AL121" s="578"/>
      <c r="AM121" s="578"/>
      <c r="AN121" s="578"/>
      <c r="AO121" s="579"/>
      <c r="AP121" s="661"/>
      <c r="AQ121" s="63"/>
      <c r="AR121" s="63"/>
      <c r="AS121" s="63"/>
    </row>
    <row r="122" spans="1:45" ht="15.95" customHeight="1" x14ac:dyDescent="0.25">
      <c r="A122" s="63"/>
      <c r="B122" s="63"/>
      <c r="C122" s="63"/>
      <c r="D122" s="660"/>
      <c r="E122" s="569"/>
      <c r="F122" s="569"/>
      <c r="G122" s="569"/>
      <c r="H122" s="569"/>
      <c r="I122" s="569"/>
      <c r="J122" s="569"/>
      <c r="K122" s="1176" t="s">
        <v>638</v>
      </c>
      <c r="L122" s="1176"/>
      <c r="M122" s="1176"/>
      <c r="N122" s="1177"/>
      <c r="O122" s="1177"/>
      <c r="P122" s="1177"/>
      <c r="Q122" s="1177"/>
      <c r="R122" s="1178"/>
      <c r="S122" s="1178"/>
      <c r="T122" s="1178"/>
      <c r="U122" s="1179"/>
      <c r="V122" s="1179"/>
      <c r="W122" s="1180" t="str">
        <f>IF(N122="","",INDEX(CMLIGHTBASE[Base Watt 1],MATCH(N122,CMLIGHTBASE[Base Desc 1],0)))</f>
        <v/>
      </c>
      <c r="X122" s="1181"/>
      <c r="Y122" s="1182"/>
      <c r="Z122" s="1183"/>
      <c r="AA122" s="1183"/>
      <c r="AB122" s="1183"/>
      <c r="AC122" s="1186"/>
      <c r="AD122" s="1186"/>
      <c r="AE122" s="1170"/>
      <c r="AF122" s="1171"/>
      <c r="AG122" s="1172"/>
      <c r="AH122" s="1155"/>
      <c r="AI122" s="1156"/>
      <c r="AJ122" s="1159"/>
      <c r="AK122" s="1160"/>
      <c r="AL122" s="578"/>
      <c r="AM122" s="578"/>
      <c r="AN122" s="578"/>
      <c r="AO122" s="579"/>
      <c r="AP122" s="661"/>
      <c r="AQ122" s="63"/>
      <c r="AR122" s="63"/>
      <c r="AS122" s="63"/>
    </row>
    <row r="123" spans="1:45" ht="15.95" customHeight="1" x14ac:dyDescent="0.25">
      <c r="A123" s="63"/>
      <c r="B123" s="63"/>
      <c r="C123" s="63"/>
      <c r="D123" s="660"/>
      <c r="E123" s="569"/>
      <c r="F123" s="569"/>
      <c r="G123" s="569"/>
      <c r="H123" s="569"/>
      <c r="I123" s="569"/>
      <c r="J123" s="569"/>
      <c r="K123" s="1176"/>
      <c r="L123" s="1176"/>
      <c r="M123" s="1176"/>
      <c r="N123" s="1177"/>
      <c r="O123" s="1177"/>
      <c r="P123" s="1177"/>
      <c r="Q123" s="1177"/>
      <c r="R123" s="1178"/>
      <c r="S123" s="1178"/>
      <c r="T123" s="1178"/>
      <c r="U123" s="1179"/>
      <c r="V123" s="1179"/>
      <c r="W123" s="1180"/>
      <c r="X123" s="1181"/>
      <c r="Y123" s="1184"/>
      <c r="Z123" s="1185"/>
      <c r="AA123" s="1185"/>
      <c r="AB123" s="1185"/>
      <c r="AC123" s="1187"/>
      <c r="AD123" s="1187"/>
      <c r="AE123" s="1173"/>
      <c r="AF123" s="1174"/>
      <c r="AG123" s="1175"/>
      <c r="AH123" s="1157"/>
      <c r="AI123" s="1158"/>
      <c r="AJ123" s="1161"/>
      <c r="AK123" s="1162"/>
      <c r="AL123" s="578"/>
      <c r="AM123" s="578"/>
      <c r="AN123" s="578"/>
      <c r="AO123" s="579"/>
      <c r="AP123" s="661"/>
      <c r="AQ123" s="63"/>
      <c r="AR123" s="63"/>
      <c r="AS123" s="63"/>
    </row>
    <row r="124" spans="1:45" ht="15.95" customHeight="1" x14ac:dyDescent="0.25">
      <c r="A124" s="63"/>
      <c r="B124" s="63"/>
      <c r="C124" s="63"/>
      <c r="D124" s="660"/>
      <c r="E124" s="569"/>
      <c r="F124" s="569"/>
      <c r="G124" s="569"/>
      <c r="H124" s="569"/>
      <c r="I124" s="569"/>
      <c r="J124" s="569"/>
      <c r="K124" s="1176" t="s">
        <v>638</v>
      </c>
      <c r="L124" s="1176"/>
      <c r="M124" s="1176"/>
      <c r="N124" s="1177"/>
      <c r="O124" s="1177"/>
      <c r="P124" s="1177"/>
      <c r="Q124" s="1177"/>
      <c r="R124" s="1178"/>
      <c r="S124" s="1178"/>
      <c r="T124" s="1178"/>
      <c r="U124" s="1179"/>
      <c r="V124" s="1179"/>
      <c r="W124" s="1180" t="str">
        <f>IF(N124="","",INDEX(CMLIGHTBASE[Base Watt 1],MATCH(N124,CMLIGHTBASE[Base Desc 1],0)))</f>
        <v/>
      </c>
      <c r="X124" s="1181"/>
      <c r="Y124" s="1182"/>
      <c r="Z124" s="1183"/>
      <c r="AA124" s="1183"/>
      <c r="AB124" s="1183"/>
      <c r="AC124" s="1186"/>
      <c r="AD124" s="1186"/>
      <c r="AE124" s="1170"/>
      <c r="AF124" s="1171"/>
      <c r="AG124" s="1172"/>
      <c r="AH124" s="1155"/>
      <c r="AI124" s="1156"/>
      <c r="AJ124" s="1159"/>
      <c r="AK124" s="1160"/>
      <c r="AL124" s="578"/>
      <c r="AM124" s="578"/>
      <c r="AN124" s="578"/>
      <c r="AO124" s="579"/>
      <c r="AP124" s="661"/>
      <c r="AQ124" s="63"/>
      <c r="AR124" s="63"/>
      <c r="AS124" s="63"/>
    </row>
    <row r="125" spans="1:45" ht="15.95" customHeight="1" x14ac:dyDescent="0.25">
      <c r="A125" s="63"/>
      <c r="B125" s="63"/>
      <c r="C125" s="63"/>
      <c r="D125" s="660"/>
      <c r="E125" s="569"/>
      <c r="F125" s="569"/>
      <c r="G125" s="569"/>
      <c r="H125" s="569"/>
      <c r="I125" s="569"/>
      <c r="J125" s="569"/>
      <c r="K125" s="1176"/>
      <c r="L125" s="1176"/>
      <c r="M125" s="1176"/>
      <c r="N125" s="1177"/>
      <c r="O125" s="1177"/>
      <c r="P125" s="1177"/>
      <c r="Q125" s="1177"/>
      <c r="R125" s="1178"/>
      <c r="S125" s="1178"/>
      <c r="T125" s="1178"/>
      <c r="U125" s="1179"/>
      <c r="V125" s="1179"/>
      <c r="W125" s="1180"/>
      <c r="X125" s="1181"/>
      <c r="Y125" s="1184"/>
      <c r="Z125" s="1185"/>
      <c r="AA125" s="1185"/>
      <c r="AB125" s="1185"/>
      <c r="AC125" s="1187"/>
      <c r="AD125" s="1187"/>
      <c r="AE125" s="1173"/>
      <c r="AF125" s="1174"/>
      <c r="AG125" s="1175"/>
      <c r="AH125" s="1157"/>
      <c r="AI125" s="1158"/>
      <c r="AJ125" s="1161"/>
      <c r="AK125" s="1162"/>
      <c r="AL125" s="578"/>
      <c r="AM125" s="578"/>
      <c r="AN125" s="578"/>
      <c r="AO125" s="579"/>
      <c r="AP125" s="661"/>
      <c r="AQ125" s="63"/>
      <c r="AR125" s="63"/>
      <c r="AS125" s="63"/>
    </row>
    <row r="126" spans="1:45" ht="15.95" customHeight="1" x14ac:dyDescent="0.25">
      <c r="A126" s="63"/>
      <c r="B126" s="63"/>
      <c r="C126" s="63"/>
      <c r="D126" s="660"/>
      <c r="E126" s="569"/>
      <c r="F126" s="569"/>
      <c r="G126" s="569"/>
      <c r="H126" s="569"/>
      <c r="I126" s="569"/>
      <c r="J126" s="569"/>
      <c r="K126" s="1176" t="s">
        <v>638</v>
      </c>
      <c r="L126" s="1176"/>
      <c r="M126" s="1176"/>
      <c r="N126" s="1177"/>
      <c r="O126" s="1177"/>
      <c r="P126" s="1177"/>
      <c r="Q126" s="1177"/>
      <c r="R126" s="1178"/>
      <c r="S126" s="1178"/>
      <c r="T126" s="1178"/>
      <c r="U126" s="1179"/>
      <c r="V126" s="1179"/>
      <c r="W126" s="1180" t="str">
        <f>IF(N126="","",INDEX(CMLIGHTBASE[Base Watt 1],MATCH(N126,CMLIGHTBASE[Base Desc 1],0)))</f>
        <v/>
      </c>
      <c r="X126" s="1181"/>
      <c r="Y126" s="1182"/>
      <c r="Z126" s="1183"/>
      <c r="AA126" s="1183"/>
      <c r="AB126" s="1183"/>
      <c r="AC126" s="1186"/>
      <c r="AD126" s="1186"/>
      <c r="AE126" s="1170"/>
      <c r="AF126" s="1171"/>
      <c r="AG126" s="1172"/>
      <c r="AH126" s="1155"/>
      <c r="AI126" s="1156"/>
      <c r="AJ126" s="1159"/>
      <c r="AK126" s="1160"/>
      <c r="AL126" s="578"/>
      <c r="AM126" s="578"/>
      <c r="AN126" s="578"/>
      <c r="AO126" s="579"/>
      <c r="AP126" s="661"/>
      <c r="AQ126" s="63"/>
      <c r="AR126" s="63"/>
      <c r="AS126" s="63"/>
    </row>
    <row r="127" spans="1:45" ht="15.95" customHeight="1" x14ac:dyDescent="0.25">
      <c r="A127" s="63"/>
      <c r="B127" s="63"/>
      <c r="C127" s="63"/>
      <c r="D127" s="660"/>
      <c r="E127" s="569"/>
      <c r="F127" s="569"/>
      <c r="G127" s="569"/>
      <c r="H127" s="569"/>
      <c r="I127" s="569"/>
      <c r="J127" s="569"/>
      <c r="K127" s="1176"/>
      <c r="L127" s="1176"/>
      <c r="M127" s="1176"/>
      <c r="N127" s="1177"/>
      <c r="O127" s="1177"/>
      <c r="P127" s="1177"/>
      <c r="Q127" s="1177"/>
      <c r="R127" s="1178"/>
      <c r="S127" s="1178"/>
      <c r="T127" s="1178"/>
      <c r="U127" s="1179"/>
      <c r="V127" s="1179"/>
      <c r="W127" s="1180"/>
      <c r="X127" s="1181"/>
      <c r="Y127" s="1184"/>
      <c r="Z127" s="1185"/>
      <c r="AA127" s="1185"/>
      <c r="AB127" s="1185"/>
      <c r="AC127" s="1187"/>
      <c r="AD127" s="1187"/>
      <c r="AE127" s="1173"/>
      <c r="AF127" s="1174"/>
      <c r="AG127" s="1175"/>
      <c r="AH127" s="1157"/>
      <c r="AI127" s="1158"/>
      <c r="AJ127" s="1161"/>
      <c r="AK127" s="1162"/>
      <c r="AL127" s="578"/>
      <c r="AM127" s="578"/>
      <c r="AN127" s="578"/>
      <c r="AO127" s="579"/>
      <c r="AP127" s="661"/>
      <c r="AQ127" s="63"/>
      <c r="AR127" s="63"/>
      <c r="AS127" s="63"/>
    </row>
    <row r="128" spans="1:45" ht="15.95" customHeight="1" x14ac:dyDescent="0.25">
      <c r="A128" s="63"/>
      <c r="B128" s="63"/>
      <c r="C128" s="63"/>
      <c r="D128" s="660"/>
      <c r="E128" s="569"/>
      <c r="F128" s="569"/>
      <c r="G128" s="569"/>
      <c r="H128" s="569"/>
      <c r="I128" s="569"/>
      <c r="J128" s="569"/>
      <c r="K128" s="1176" t="s">
        <v>638</v>
      </c>
      <c r="L128" s="1176"/>
      <c r="M128" s="1176"/>
      <c r="N128" s="1177"/>
      <c r="O128" s="1177"/>
      <c r="P128" s="1177"/>
      <c r="Q128" s="1177"/>
      <c r="R128" s="1178"/>
      <c r="S128" s="1178"/>
      <c r="T128" s="1178"/>
      <c r="U128" s="1179"/>
      <c r="V128" s="1179"/>
      <c r="W128" s="1180" t="str">
        <f>IF(N128="","",INDEX(CMLIGHTBASE[Base Watt 1],MATCH(N128,CMLIGHTBASE[Base Desc 1],0)))</f>
        <v/>
      </c>
      <c r="X128" s="1181"/>
      <c r="Y128" s="1182"/>
      <c r="Z128" s="1183"/>
      <c r="AA128" s="1183"/>
      <c r="AB128" s="1183"/>
      <c r="AC128" s="1186"/>
      <c r="AD128" s="1186"/>
      <c r="AE128" s="1170"/>
      <c r="AF128" s="1171"/>
      <c r="AG128" s="1172"/>
      <c r="AH128" s="1155"/>
      <c r="AI128" s="1156"/>
      <c r="AJ128" s="1159"/>
      <c r="AK128" s="1160"/>
      <c r="AL128" s="578"/>
      <c r="AM128" s="578"/>
      <c r="AN128" s="578"/>
      <c r="AO128" s="579"/>
      <c r="AP128" s="661"/>
      <c r="AQ128" s="63"/>
      <c r="AR128" s="63"/>
      <c r="AS128" s="63"/>
    </row>
    <row r="129" spans="1:45" ht="15.95" customHeight="1" x14ac:dyDescent="0.25">
      <c r="A129" s="63"/>
      <c r="B129" s="63"/>
      <c r="C129" s="63"/>
      <c r="D129" s="660"/>
      <c r="E129" s="569"/>
      <c r="F129" s="569"/>
      <c r="G129" s="569"/>
      <c r="H129" s="569"/>
      <c r="I129" s="569"/>
      <c r="J129" s="569"/>
      <c r="K129" s="1176"/>
      <c r="L129" s="1176"/>
      <c r="M129" s="1176"/>
      <c r="N129" s="1177"/>
      <c r="O129" s="1177"/>
      <c r="P129" s="1177"/>
      <c r="Q129" s="1177"/>
      <c r="R129" s="1178"/>
      <c r="S129" s="1178"/>
      <c r="T129" s="1178"/>
      <c r="U129" s="1179"/>
      <c r="V129" s="1179"/>
      <c r="W129" s="1180"/>
      <c r="X129" s="1181"/>
      <c r="Y129" s="1184"/>
      <c r="Z129" s="1185"/>
      <c r="AA129" s="1185"/>
      <c r="AB129" s="1185"/>
      <c r="AC129" s="1187"/>
      <c r="AD129" s="1187"/>
      <c r="AE129" s="1173"/>
      <c r="AF129" s="1174"/>
      <c r="AG129" s="1175"/>
      <c r="AH129" s="1157"/>
      <c r="AI129" s="1158"/>
      <c r="AJ129" s="1161"/>
      <c r="AK129" s="1162"/>
      <c r="AL129" s="578"/>
      <c r="AM129" s="578"/>
      <c r="AN129" s="578"/>
      <c r="AO129" s="579"/>
      <c r="AP129" s="661"/>
      <c r="AQ129" s="63"/>
      <c r="AR129" s="63"/>
      <c r="AS129" s="63"/>
    </row>
    <row r="130" spans="1:45" ht="15.95" customHeight="1" x14ac:dyDescent="0.25">
      <c r="A130" s="63"/>
      <c r="B130" s="63"/>
      <c r="C130" s="63"/>
      <c r="D130" s="660"/>
      <c r="E130" s="569"/>
      <c r="F130" s="569"/>
      <c r="G130" s="569"/>
      <c r="H130" s="569"/>
      <c r="I130" s="569"/>
      <c r="J130" s="569"/>
      <c r="K130" s="1176" t="s">
        <v>638</v>
      </c>
      <c r="L130" s="1176"/>
      <c r="M130" s="1176"/>
      <c r="N130" s="1177"/>
      <c r="O130" s="1177"/>
      <c r="P130" s="1177"/>
      <c r="Q130" s="1177"/>
      <c r="R130" s="1178"/>
      <c r="S130" s="1178"/>
      <c r="T130" s="1178"/>
      <c r="U130" s="1179"/>
      <c r="V130" s="1179"/>
      <c r="W130" s="1180" t="str">
        <f>IF(N130="","",INDEX(CMLIGHTBASE[Base Watt 1],MATCH(N130,CMLIGHTBASE[Base Desc 1],0)))</f>
        <v/>
      </c>
      <c r="X130" s="1181"/>
      <c r="Y130" s="1182"/>
      <c r="Z130" s="1183"/>
      <c r="AA130" s="1183"/>
      <c r="AB130" s="1183"/>
      <c r="AC130" s="1186"/>
      <c r="AD130" s="1186"/>
      <c r="AE130" s="1170"/>
      <c r="AF130" s="1171"/>
      <c r="AG130" s="1172"/>
      <c r="AH130" s="1155"/>
      <c r="AI130" s="1156"/>
      <c r="AJ130" s="1159"/>
      <c r="AK130" s="1160"/>
      <c r="AL130" s="578"/>
      <c r="AM130" s="578"/>
      <c r="AN130" s="578"/>
      <c r="AO130" s="579"/>
      <c r="AP130" s="661"/>
      <c r="AQ130" s="63"/>
      <c r="AR130" s="63"/>
      <c r="AS130" s="63"/>
    </row>
    <row r="131" spans="1:45" ht="15.95" customHeight="1" x14ac:dyDescent="0.25">
      <c r="A131" s="63"/>
      <c r="B131" s="63"/>
      <c r="C131" s="63"/>
      <c r="D131" s="660"/>
      <c r="E131" s="569"/>
      <c r="F131" s="569"/>
      <c r="G131" s="569"/>
      <c r="H131" s="569"/>
      <c r="I131" s="569"/>
      <c r="J131" s="569"/>
      <c r="K131" s="1176"/>
      <c r="L131" s="1176"/>
      <c r="M131" s="1176"/>
      <c r="N131" s="1177"/>
      <c r="O131" s="1177"/>
      <c r="P131" s="1177"/>
      <c r="Q131" s="1177"/>
      <c r="R131" s="1178"/>
      <c r="S131" s="1178"/>
      <c r="T131" s="1178"/>
      <c r="U131" s="1179"/>
      <c r="V131" s="1179"/>
      <c r="W131" s="1180"/>
      <c r="X131" s="1181"/>
      <c r="Y131" s="1184"/>
      <c r="Z131" s="1185"/>
      <c r="AA131" s="1185"/>
      <c r="AB131" s="1185"/>
      <c r="AC131" s="1187"/>
      <c r="AD131" s="1187"/>
      <c r="AE131" s="1173"/>
      <c r="AF131" s="1174"/>
      <c r="AG131" s="1175"/>
      <c r="AH131" s="1157"/>
      <c r="AI131" s="1158"/>
      <c r="AJ131" s="1161"/>
      <c r="AK131" s="1162"/>
      <c r="AL131" s="578"/>
      <c r="AM131" s="578"/>
      <c r="AN131" s="578"/>
      <c r="AO131" s="579"/>
      <c r="AP131" s="661"/>
      <c r="AQ131" s="63"/>
      <c r="AR131" s="63"/>
      <c r="AS131" s="63"/>
    </row>
    <row r="132" spans="1:45" ht="15.95" customHeight="1" x14ac:dyDescent="0.25">
      <c r="A132" s="63"/>
      <c r="B132" s="63"/>
      <c r="C132" s="63"/>
      <c r="D132" s="660"/>
      <c r="E132" s="569"/>
      <c r="F132" s="569"/>
      <c r="G132" s="569"/>
      <c r="H132" s="569"/>
      <c r="I132" s="569"/>
      <c r="J132" s="569"/>
      <c r="K132" s="570"/>
      <c r="L132" s="570"/>
      <c r="M132" s="571"/>
      <c r="N132" s="571"/>
      <c r="O132" s="572"/>
      <c r="P132" s="572"/>
      <c r="Q132" s="572"/>
      <c r="R132" s="573"/>
      <c r="S132" s="573"/>
      <c r="T132" s="573"/>
      <c r="U132" s="1163"/>
      <c r="V132" s="1164"/>
      <c r="W132" s="1166">
        <f>SUMPRODUCT(U112:V131,W112:X131)</f>
        <v>0</v>
      </c>
      <c r="X132" s="1167"/>
      <c r="Y132" s="571"/>
      <c r="Z132" s="571"/>
      <c r="AA132" s="574"/>
      <c r="AB132" s="574"/>
      <c r="AC132" s="574"/>
      <c r="AD132" s="575"/>
      <c r="AE132" s="575"/>
      <c r="AF132" s="576"/>
      <c r="AG132" s="576"/>
      <c r="AH132" s="576"/>
      <c r="AI132" s="576"/>
      <c r="AJ132" s="1166">
        <f>SUMPRODUCT(AH112:AI131,AJ112:AK131)</f>
        <v>0</v>
      </c>
      <c r="AK132" s="1167"/>
      <c r="AL132" s="578"/>
      <c r="AM132" s="578"/>
      <c r="AN132" s="578"/>
      <c r="AO132" s="579"/>
      <c r="AP132" s="661"/>
      <c r="AQ132" s="63"/>
      <c r="AR132" s="63"/>
      <c r="AS132" s="63"/>
    </row>
    <row r="133" spans="1:45" ht="15.95" customHeight="1" thickBot="1" x14ac:dyDescent="0.3">
      <c r="A133" s="63"/>
      <c r="B133" s="63"/>
      <c r="C133" s="63"/>
      <c r="D133" s="662"/>
      <c r="E133" s="663"/>
      <c r="F133" s="663"/>
      <c r="G133" s="663"/>
      <c r="H133" s="663"/>
      <c r="I133" s="663"/>
      <c r="J133" s="663"/>
      <c r="K133" s="664"/>
      <c r="L133" s="664"/>
      <c r="M133" s="665"/>
      <c r="N133" s="665"/>
      <c r="O133" s="666"/>
      <c r="P133" s="666"/>
      <c r="Q133" s="666"/>
      <c r="R133" s="667"/>
      <c r="S133" s="667"/>
      <c r="T133" s="667"/>
      <c r="U133" s="1165"/>
      <c r="V133" s="1165"/>
      <c r="W133" s="1168"/>
      <c r="X133" s="1169"/>
      <c r="Y133" s="665"/>
      <c r="Z133" s="665"/>
      <c r="AA133" s="668"/>
      <c r="AB133" s="668"/>
      <c r="AC133" s="668"/>
      <c r="AD133" s="669"/>
      <c r="AE133" s="669"/>
      <c r="AF133" s="670"/>
      <c r="AG133" s="670"/>
      <c r="AH133" s="670"/>
      <c r="AI133" s="670"/>
      <c r="AJ133" s="1168"/>
      <c r="AK133" s="1169"/>
      <c r="AL133" s="671"/>
      <c r="AM133" s="671"/>
      <c r="AN133" s="671"/>
      <c r="AO133" s="672"/>
      <c r="AP133" s="673"/>
      <c r="AQ133" s="63"/>
      <c r="AR133" s="63"/>
      <c r="AS133" s="63"/>
    </row>
    <row r="134" spans="1:45" ht="15.95" customHeight="1" thickTop="1" x14ac:dyDescent="0.25">
      <c r="A134" s="63"/>
      <c r="B134" s="63"/>
      <c r="C134" s="63"/>
      <c r="AQ134" s="63"/>
      <c r="AR134" s="63"/>
      <c r="AS134" s="63"/>
    </row>
    <row r="135" spans="1:45" ht="15.95" hidden="1" customHeight="1" x14ac:dyDescent="0.25">
      <c r="A135" s="63"/>
      <c r="B135" s="63"/>
      <c r="C135" s="63"/>
      <c r="AQ135" s="63"/>
      <c r="AR135" s="63"/>
      <c r="AS135" s="63"/>
    </row>
    <row r="136" spans="1:45" ht="15.95" hidden="1" customHeight="1" x14ac:dyDescent="0.25">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row>
    <row r="137" spans="1:45" ht="15.95" hidden="1" customHeight="1" x14ac:dyDescent="0.25">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row>
    <row r="138" spans="1:45" ht="15.95" hidden="1" customHeight="1" x14ac:dyDescent="0.25">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row>
    <row r="139" spans="1:45" ht="15.95" hidden="1" customHeight="1" x14ac:dyDescent="0.25">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row>
    <row r="140" spans="1:45" ht="15.95" hidden="1" customHeight="1" x14ac:dyDescent="0.25">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row>
    <row r="141" spans="1:45" ht="15.95" hidden="1" customHeight="1" x14ac:dyDescent="0.25">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row>
    <row r="142" spans="1:45" ht="15.95" hidden="1" customHeight="1" x14ac:dyDescent="0.25">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row>
    <row r="143" spans="1:45" ht="15.95" hidden="1" customHeight="1" x14ac:dyDescent="0.25">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row>
    <row r="144" spans="1:45" ht="15.95" hidden="1" customHeight="1" x14ac:dyDescent="0.25">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row>
    <row r="145" spans="1:45" ht="15.95" hidden="1" customHeight="1" x14ac:dyDescent="0.25">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row>
    <row r="146" spans="1:45" ht="15.95" hidden="1" customHeight="1" x14ac:dyDescent="0.25">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row>
    <row r="147" spans="1:45" ht="15.95" hidden="1" customHeight="1" x14ac:dyDescent="0.25">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row>
    <row r="148" spans="1:45" ht="15.95" hidden="1" customHeight="1" x14ac:dyDescent="0.25">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row>
    <row r="149" spans="1:45" ht="15.95" hidden="1" customHeight="1" x14ac:dyDescent="0.25">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row>
    <row r="150" spans="1:45" ht="15.95" hidden="1" customHeight="1" x14ac:dyDescent="0.25">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row>
    <row r="151" spans="1:45" ht="15.95" hidden="1" customHeight="1" x14ac:dyDescent="0.25">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row>
    <row r="152" spans="1:45" ht="15.95" hidden="1" customHeight="1" x14ac:dyDescent="0.25">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row>
    <row r="153" spans="1:45" ht="15.95" hidden="1" customHeight="1" x14ac:dyDescent="0.25">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row>
    <row r="154" spans="1:45" ht="15.95" hidden="1" customHeight="1" x14ac:dyDescent="0.25">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row>
    <row r="155" spans="1:45" ht="15.95" hidden="1" customHeight="1" x14ac:dyDescent="0.25">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row>
    <row r="156" spans="1:45" ht="15.95" hidden="1" customHeight="1" x14ac:dyDescent="0.25">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row>
    <row r="157" spans="1:45" ht="15.95" hidden="1" customHeight="1" x14ac:dyDescent="0.25">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row>
    <row r="158" spans="1:45" ht="15.95" hidden="1" customHeight="1" x14ac:dyDescent="0.25">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row>
    <row r="159" spans="1:45" ht="15.95" hidden="1" customHeight="1" x14ac:dyDescent="0.25">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row>
    <row r="160" spans="1:45" ht="15.95" hidden="1" customHeight="1" x14ac:dyDescent="0.25">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row>
    <row r="161" spans="1:45" ht="15.95" hidden="1" customHeight="1" x14ac:dyDescent="0.25">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row>
    <row r="162" spans="1:45" ht="15.95" hidden="1" customHeight="1" x14ac:dyDescent="0.25">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row>
    <row r="163" spans="1:45" ht="15.95" hidden="1" customHeight="1" x14ac:dyDescent="0.25">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row>
    <row r="164" spans="1:45" ht="15.95" hidden="1" customHeight="1" x14ac:dyDescent="0.25">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row>
    <row r="165" spans="1:45" ht="15.95" hidden="1" customHeight="1" x14ac:dyDescent="0.25">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row>
    <row r="166" spans="1:45" ht="15.95" hidden="1" customHeight="1" x14ac:dyDescent="0.25">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row>
    <row r="167" spans="1:45" ht="15.95" hidden="1" customHeight="1" x14ac:dyDescent="0.25">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row>
    <row r="168" spans="1:45" ht="15.95" hidden="1" customHeight="1" x14ac:dyDescent="0.25">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row>
    <row r="169" spans="1:45" ht="15.95" hidden="1" customHeight="1" x14ac:dyDescent="0.25">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row>
    <row r="170" spans="1:45" ht="15.95" hidden="1" customHeight="1" x14ac:dyDescent="0.25">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row>
    <row r="171" spans="1:45" ht="15.95" hidden="1" customHeight="1" x14ac:dyDescent="0.25">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row>
    <row r="172" spans="1:45" ht="15.95" hidden="1" customHeight="1" x14ac:dyDescent="0.25">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row>
    <row r="173" spans="1:45" ht="15.95" hidden="1" customHeight="1" x14ac:dyDescent="0.25">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row>
    <row r="174" spans="1:45" ht="15.95" hidden="1" customHeight="1" x14ac:dyDescent="0.25">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row>
    <row r="175" spans="1:45" ht="15.95" hidden="1" customHeight="1" x14ac:dyDescent="0.25">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row>
    <row r="176" spans="1:45" ht="15.95" hidden="1" customHeight="1" x14ac:dyDescent="0.25">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row>
    <row r="177" spans="1:45" ht="15.95" hidden="1" customHeight="1" x14ac:dyDescent="0.25">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row>
    <row r="178" spans="1:45" ht="15.95" hidden="1" customHeight="1" x14ac:dyDescent="0.25">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row>
    <row r="179" spans="1:45" ht="15.95" hidden="1" customHeight="1" x14ac:dyDescent="0.25">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row>
    <row r="180" spans="1:45" ht="15.95" hidden="1" customHeight="1" x14ac:dyDescent="0.25">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row>
    <row r="181" spans="1:45" ht="15.95" hidden="1" customHeight="1" x14ac:dyDescent="0.25">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row>
    <row r="182" spans="1:45" ht="15.95" hidden="1" customHeight="1" x14ac:dyDescent="0.25">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row>
    <row r="183" spans="1:45" ht="15.95" hidden="1" customHeight="1" x14ac:dyDescent="0.25">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R183" s="63"/>
      <c r="AS183" s="63"/>
    </row>
    <row r="184" spans="1:45" ht="15.95" hidden="1" customHeight="1" x14ac:dyDescent="0.25">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row>
    <row r="185" spans="1:45" ht="15.95" hidden="1" customHeight="1" x14ac:dyDescent="0.25">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R185" s="63"/>
      <c r="AS185" s="63"/>
    </row>
    <row r="186" spans="1:45" ht="15.95" hidden="1" customHeight="1" x14ac:dyDescent="0.25">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R186" s="63"/>
      <c r="AS186" s="63"/>
    </row>
    <row r="187" spans="1:45" ht="15.95" hidden="1" customHeight="1" x14ac:dyDescent="0.25">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row>
    <row r="188" spans="1:45" ht="15.95" hidden="1" customHeight="1" x14ac:dyDescent="0.25">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row>
    <row r="189" spans="1:45" ht="15.95" hidden="1" customHeight="1" x14ac:dyDescent="0.25">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row>
    <row r="190" spans="1:45" ht="15.95" hidden="1" customHeight="1" x14ac:dyDescent="0.25">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63"/>
      <c r="AS190" s="63"/>
    </row>
    <row r="191" spans="1:45" ht="15.95" hidden="1" customHeight="1" x14ac:dyDescent="0.25">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row>
    <row r="192" spans="1:45" ht="15.95" hidden="1" customHeight="1" x14ac:dyDescent="0.25">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row>
    <row r="193" spans="1:48" ht="15.95" hidden="1" customHeight="1" x14ac:dyDescent="0.25">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63"/>
      <c r="AS193" s="63"/>
    </row>
    <row r="194" spans="1:48" ht="15.95" hidden="1" customHeight="1" x14ac:dyDescent="0.25">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row>
    <row r="195" spans="1:48" ht="15.95" hidden="1" customHeight="1" x14ac:dyDescent="0.25">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row>
    <row r="196" spans="1:48" ht="15.95" hidden="1" customHeight="1" x14ac:dyDescent="0.25">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row>
    <row r="197" spans="1:48" ht="15.95" hidden="1" customHeight="1" x14ac:dyDescent="0.25">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row>
    <row r="198" spans="1:48" ht="15.95" hidden="1" customHeight="1" x14ac:dyDescent="0.25">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row>
    <row r="199" spans="1:48" ht="15.95" hidden="1" customHeight="1" x14ac:dyDescent="0.25">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row>
    <row r="200" spans="1:48" ht="15.95" customHeight="1" x14ac:dyDescent="0.25">
      <c r="A200" s="63"/>
      <c r="B200" s="136" t="str">
        <f>FOOT1</f>
        <v>Ameren Missouri BizSavers program</v>
      </c>
      <c r="C200" s="136"/>
      <c r="D200" s="136"/>
      <c r="E200" s="136"/>
      <c r="F200" s="136"/>
      <c r="G200" s="136"/>
      <c r="H200" s="136"/>
      <c r="I200" s="136"/>
      <c r="J200" s="136"/>
      <c r="K200" s="136"/>
      <c r="L200" s="136"/>
      <c r="M200" s="729" t="str">
        <f>FOOTDISCLAIM</f>
        <v/>
      </c>
      <c r="N200" s="729"/>
      <c r="O200" s="729"/>
      <c r="P200" s="729"/>
      <c r="Q200" s="729"/>
      <c r="R200" s="729"/>
      <c r="S200" s="729"/>
      <c r="T200" s="729"/>
      <c r="U200" s="729"/>
      <c r="V200" s="729"/>
      <c r="W200" s="729"/>
      <c r="X200" s="729"/>
      <c r="Y200" s="729"/>
      <c r="Z200" s="729"/>
      <c r="AA200" s="729"/>
      <c r="AB200" s="729"/>
      <c r="AC200" s="729"/>
      <c r="AD200" s="729"/>
      <c r="AE200" s="729"/>
      <c r="AF200" s="729"/>
      <c r="AG200" s="729"/>
      <c r="AH200" s="136"/>
      <c r="AI200" s="136"/>
      <c r="AJ200" s="136"/>
      <c r="AK200" s="136"/>
      <c r="AL200" s="136"/>
      <c r="AM200" s="136"/>
      <c r="AN200" s="136"/>
      <c r="AO200" s="136"/>
      <c r="AP200" s="136"/>
      <c r="AQ200" s="136"/>
      <c r="AR200" s="300" t="str">
        <f>FOOT4</f>
        <v/>
      </c>
      <c r="AS200" s="135"/>
      <c r="AT200" s="135"/>
      <c r="AU200" s="1003">
        <f>SUM(AU18:AU199)</f>
        <v>0</v>
      </c>
      <c r="AV200" s="1005">
        <f>SUM(AV18:AV199)</f>
        <v>0</v>
      </c>
    </row>
    <row r="201" spans="1:48" ht="15.95" customHeight="1" x14ac:dyDescent="0.25">
      <c r="A201" s="63"/>
      <c r="B201" s="136" t="str">
        <f>FOOT2</f>
        <v>Toll-Free 866-941-7299</v>
      </c>
      <c r="C201" s="136"/>
      <c r="D201" s="136"/>
      <c r="E201" s="136"/>
      <c r="F201" s="136"/>
      <c r="G201" s="136"/>
      <c r="H201" s="136"/>
      <c r="I201" s="136"/>
      <c r="J201" s="136"/>
      <c r="K201" s="136"/>
      <c r="L201" s="136"/>
      <c r="M201" s="729"/>
      <c r="N201" s="729"/>
      <c r="O201" s="729"/>
      <c r="P201" s="729"/>
      <c r="Q201" s="729"/>
      <c r="R201" s="729"/>
      <c r="S201" s="729"/>
      <c r="T201" s="729"/>
      <c r="U201" s="729"/>
      <c r="V201" s="729"/>
      <c r="W201" s="729"/>
      <c r="X201" s="729"/>
      <c r="Y201" s="729"/>
      <c r="Z201" s="729"/>
      <c r="AA201" s="729"/>
      <c r="AB201" s="729"/>
      <c r="AC201" s="729"/>
      <c r="AD201" s="729"/>
      <c r="AE201" s="729"/>
      <c r="AF201" s="729"/>
      <c r="AG201" s="729"/>
      <c r="AH201" s="136"/>
      <c r="AI201" s="136"/>
      <c r="AJ201" s="136"/>
      <c r="AK201" s="136"/>
      <c r="AL201" s="136"/>
      <c r="AM201" s="136"/>
      <c r="AN201" s="136"/>
      <c r="AO201" s="136"/>
      <c r="AP201" s="136"/>
      <c r="AQ201" s="136"/>
      <c r="AR201" s="300" t="str">
        <f>FOOT5</f>
        <v/>
      </c>
      <c r="AS201" s="135"/>
      <c r="AT201" s="135"/>
      <c r="AU201" s="1004"/>
      <c r="AV201" s="1006"/>
    </row>
    <row r="202" spans="1:48" ht="15.95" customHeight="1" x14ac:dyDescent="0.25">
      <c r="A202" s="63"/>
      <c r="B202" s="138" t="str">
        <f>FOOT3</f>
        <v>BizSavers@ameren.com</v>
      </c>
      <c r="C202" s="136"/>
      <c r="D202" s="136"/>
      <c r="E202" s="136"/>
      <c r="F202" s="136"/>
      <c r="G202" s="136"/>
      <c r="H202" s="136"/>
      <c r="I202" s="136"/>
      <c r="J202" s="136"/>
      <c r="K202" s="136"/>
      <c r="L202" s="136"/>
      <c r="M202" s="139"/>
      <c r="N202" s="136"/>
      <c r="O202" s="136"/>
      <c r="P202" s="139"/>
      <c r="Q202" s="139"/>
      <c r="R202" s="139"/>
      <c r="S202" s="139"/>
      <c r="T202" s="139"/>
      <c r="U202" s="139"/>
      <c r="V202" s="139"/>
      <c r="W202" s="140" t="str">
        <f>VERSION</f>
        <v>New Construction v3.8.0</v>
      </c>
      <c r="X202" s="139"/>
      <c r="Y202" s="139"/>
      <c r="Z202" s="139"/>
      <c r="AA202" s="139"/>
      <c r="AB202" s="139"/>
      <c r="AC202" s="139"/>
      <c r="AD202" s="139"/>
      <c r="AE202" s="136"/>
      <c r="AF202" s="136"/>
      <c r="AG202" s="136"/>
      <c r="AH202" s="136"/>
      <c r="AI202" s="136"/>
      <c r="AJ202" s="136"/>
      <c r="AK202" s="136"/>
      <c r="AL202" s="136"/>
      <c r="AM202" s="136"/>
      <c r="AN202" s="136"/>
      <c r="AO202" s="136"/>
      <c r="AP202" s="136"/>
      <c r="AQ202" s="136"/>
      <c r="AR202" s="300" t="str">
        <f>FOOT6</f>
        <v>Product of TRC Companies</v>
      </c>
      <c r="AS202" s="135"/>
      <c r="AT202" s="135"/>
    </row>
  </sheetData>
  <sheetProtection algorithmName="SHA-512" hashValue="Gs5gYOruXA+uNOGi6fhN536jo+VmHMLB3AivzCXbkIBLckqWcqg6xUiQ4/kGhJlv8nDwhq9klrWinJ3ePFD6/A==" saltValue="JSpI1YRaG/Eq2VdBOv1yDA==" spinCount="100000" sheet="1" objects="1" scenarios="1" selectLockedCells="1"/>
  <mergeCells count="662">
    <mergeCell ref="AU200:AU201"/>
    <mergeCell ref="AV200:AV201"/>
    <mergeCell ref="B18:B19"/>
    <mergeCell ref="B20:B21"/>
    <mergeCell ref="B22:B23"/>
    <mergeCell ref="B24:B25"/>
    <mergeCell ref="E16:G17"/>
    <mergeCell ref="H16:J17"/>
    <mergeCell ref="K16:L17"/>
    <mergeCell ref="M16:N17"/>
    <mergeCell ref="AC101:AD102"/>
    <mergeCell ref="AE101:AG102"/>
    <mergeCell ref="AH101:AI102"/>
    <mergeCell ref="AH62:AI63"/>
    <mergeCell ref="W103:X104"/>
    <mergeCell ref="Y103:AB104"/>
    <mergeCell ref="AC103:AD104"/>
    <mergeCell ref="AC60:AD61"/>
    <mergeCell ref="AE60:AG61"/>
    <mergeCell ref="AH60:AI61"/>
    <mergeCell ref="AE103:AG104"/>
    <mergeCell ref="U78:V79"/>
    <mergeCell ref="W78:X79"/>
    <mergeCell ref="AJ78:AK79"/>
    <mergeCell ref="AH1:AK1"/>
    <mergeCell ref="AL1:AP1"/>
    <mergeCell ref="AQ1:AR1"/>
    <mergeCell ref="AH2:AK3"/>
    <mergeCell ref="AL2:AP3"/>
    <mergeCell ref="AQ2:AR3"/>
    <mergeCell ref="R9:AC10"/>
    <mergeCell ref="R11:U11"/>
    <mergeCell ref="V11:Y11"/>
    <mergeCell ref="Z11:AC11"/>
    <mergeCell ref="R12:U13"/>
    <mergeCell ref="V12:Y13"/>
    <mergeCell ref="Z12:AC13"/>
    <mergeCell ref="AH37:AI38"/>
    <mergeCell ref="AH35:AI36"/>
    <mergeCell ref="AC33:AD34"/>
    <mergeCell ref="AE33:AG34"/>
    <mergeCell ref="AH33:AI34"/>
    <mergeCell ref="W31:X32"/>
    <mergeCell ref="Y31:AB32"/>
    <mergeCell ref="AC31:AD32"/>
    <mergeCell ref="AE31:AG32"/>
    <mergeCell ref="AD16:AE17"/>
    <mergeCell ref="AF16:AG17"/>
    <mergeCell ref="AH16:AI17"/>
    <mergeCell ref="AH20:AI21"/>
    <mergeCell ref="AH29:AI30"/>
    <mergeCell ref="AC35:AD36"/>
    <mergeCell ref="AE35:AG36"/>
    <mergeCell ref="AC37:AD38"/>
    <mergeCell ref="AE37:AG38"/>
    <mergeCell ref="AM83:AN84"/>
    <mergeCell ref="AJ76:AK77"/>
    <mergeCell ref="AO83:AP84"/>
    <mergeCell ref="AM85:AN86"/>
    <mergeCell ref="AO85:AP86"/>
    <mergeCell ref="AH64:AI65"/>
    <mergeCell ref="AH87:AI88"/>
    <mergeCell ref="AH85:AI86"/>
    <mergeCell ref="D85:G86"/>
    <mergeCell ref="H85:I86"/>
    <mergeCell ref="AE83:AG84"/>
    <mergeCell ref="AH83:AI84"/>
    <mergeCell ref="D83:G84"/>
    <mergeCell ref="H83:I84"/>
    <mergeCell ref="K66:M67"/>
    <mergeCell ref="N66:Q67"/>
    <mergeCell ref="R66:T67"/>
    <mergeCell ref="U66:V67"/>
    <mergeCell ref="W66:X67"/>
    <mergeCell ref="Y66:AB67"/>
    <mergeCell ref="AC66:AD67"/>
    <mergeCell ref="AE66:AG67"/>
    <mergeCell ref="AH66:AI67"/>
    <mergeCell ref="K64:M65"/>
    <mergeCell ref="M200:AG201"/>
    <mergeCell ref="C15:L15"/>
    <mergeCell ref="O15:AD15"/>
    <mergeCell ref="AF15:AI15"/>
    <mergeCell ref="AJ15:AQ15"/>
    <mergeCell ref="C16:D17"/>
    <mergeCell ref="AH116:AI117"/>
    <mergeCell ref="AE114:AG115"/>
    <mergeCell ref="AH114:AI115"/>
    <mergeCell ref="Y112:AB113"/>
    <mergeCell ref="AC112:AD113"/>
    <mergeCell ref="AE112:AG113"/>
    <mergeCell ref="AH112:AI113"/>
    <mergeCell ref="AE110:AG111"/>
    <mergeCell ref="AH110:AI111"/>
    <mergeCell ref="K103:M104"/>
    <mergeCell ref="N103:Q104"/>
    <mergeCell ref="R103:T104"/>
    <mergeCell ref="U103:V104"/>
    <mergeCell ref="K101:M102"/>
    <mergeCell ref="N101:Q102"/>
    <mergeCell ref="R101:T102"/>
    <mergeCell ref="Y101:AB102"/>
    <mergeCell ref="AJ16:AK17"/>
    <mergeCell ref="AL16:AN17"/>
    <mergeCell ref="AO16:AQ17"/>
    <mergeCell ref="O16:Q17"/>
    <mergeCell ref="R16:T17"/>
    <mergeCell ref="U16:V17"/>
    <mergeCell ref="W16:X17"/>
    <mergeCell ref="Y16:Z17"/>
    <mergeCell ref="AA16:AC17"/>
    <mergeCell ref="AJ18:AK19"/>
    <mergeCell ref="AL18:AN19"/>
    <mergeCell ref="AO18:AQ19"/>
    <mergeCell ref="AA18:AC19"/>
    <mergeCell ref="AD18:AE19"/>
    <mergeCell ref="AF18:AG19"/>
    <mergeCell ref="AH18:AI19"/>
    <mergeCell ref="C20:D21"/>
    <mergeCell ref="E20:G21"/>
    <mergeCell ref="H20:J21"/>
    <mergeCell ref="K20:L21"/>
    <mergeCell ref="M20:N21"/>
    <mergeCell ref="O20:Q21"/>
    <mergeCell ref="R20:T21"/>
    <mergeCell ref="W18:X19"/>
    <mergeCell ref="Y18:Z19"/>
    <mergeCell ref="H18:J19"/>
    <mergeCell ref="K18:L19"/>
    <mergeCell ref="M18:N19"/>
    <mergeCell ref="O18:Q19"/>
    <mergeCell ref="R18:T19"/>
    <mergeCell ref="U18:V19"/>
    <mergeCell ref="C18:D19"/>
    <mergeCell ref="E18:G19"/>
    <mergeCell ref="AJ20:AK21"/>
    <mergeCell ref="AL20:AN21"/>
    <mergeCell ref="AO20:AQ21"/>
    <mergeCell ref="R27:AC28"/>
    <mergeCell ref="AM27:AP28"/>
    <mergeCell ref="R22:T23"/>
    <mergeCell ref="U22:V23"/>
    <mergeCell ref="W22:X23"/>
    <mergeCell ref="Y22:Z23"/>
    <mergeCell ref="U20:V21"/>
    <mergeCell ref="W20:X21"/>
    <mergeCell ref="Y20:Z21"/>
    <mergeCell ref="AA20:AC21"/>
    <mergeCell ref="AD20:AE21"/>
    <mergeCell ref="AF20:AG21"/>
    <mergeCell ref="AA22:AC23"/>
    <mergeCell ref="AD22:AE23"/>
    <mergeCell ref="AF22:AG23"/>
    <mergeCell ref="AH22:AI23"/>
    <mergeCell ref="AJ22:AK23"/>
    <mergeCell ref="AL22:AN23"/>
    <mergeCell ref="AO22:AQ23"/>
    <mergeCell ref="AL24:AN25"/>
    <mergeCell ref="AO24:AQ25"/>
    <mergeCell ref="AJ29:AK30"/>
    <mergeCell ref="AM29:AN30"/>
    <mergeCell ref="AO29:AP30"/>
    <mergeCell ref="D31:G32"/>
    <mergeCell ref="H31:I32"/>
    <mergeCell ref="K31:M32"/>
    <mergeCell ref="N31:Q32"/>
    <mergeCell ref="R31:T32"/>
    <mergeCell ref="U31:V32"/>
    <mergeCell ref="R29:T30"/>
    <mergeCell ref="U29:V30"/>
    <mergeCell ref="W29:X30"/>
    <mergeCell ref="Y29:AB30"/>
    <mergeCell ref="AC29:AD30"/>
    <mergeCell ref="AE29:AG30"/>
    <mergeCell ref="D29:G30"/>
    <mergeCell ref="H29:I30"/>
    <mergeCell ref="K29:M30"/>
    <mergeCell ref="N29:Q30"/>
    <mergeCell ref="AJ31:AK32"/>
    <mergeCell ref="AM31:AN32"/>
    <mergeCell ref="AO31:AP32"/>
    <mergeCell ref="K33:M34"/>
    <mergeCell ref="N33:Q34"/>
    <mergeCell ref="R33:T34"/>
    <mergeCell ref="U33:V34"/>
    <mergeCell ref="W33:X34"/>
    <mergeCell ref="Y33:AB34"/>
    <mergeCell ref="K35:M36"/>
    <mergeCell ref="N35:Q36"/>
    <mergeCell ref="R35:T36"/>
    <mergeCell ref="U35:V36"/>
    <mergeCell ref="W35:X36"/>
    <mergeCell ref="Y35:AB36"/>
    <mergeCell ref="K37:M38"/>
    <mergeCell ref="N37:Q38"/>
    <mergeCell ref="R37:T38"/>
    <mergeCell ref="U37:V38"/>
    <mergeCell ref="W37:X38"/>
    <mergeCell ref="Y37:AB38"/>
    <mergeCell ref="K39:M40"/>
    <mergeCell ref="N39:Q40"/>
    <mergeCell ref="R39:T40"/>
    <mergeCell ref="U39:V40"/>
    <mergeCell ref="W39:X40"/>
    <mergeCell ref="Y39:AB40"/>
    <mergeCell ref="AC39:AD40"/>
    <mergeCell ref="AE39:AG40"/>
    <mergeCell ref="AH39:AI40"/>
    <mergeCell ref="K41:M42"/>
    <mergeCell ref="N41:Q42"/>
    <mergeCell ref="R41:T42"/>
    <mergeCell ref="U41:V42"/>
    <mergeCell ref="W41:X42"/>
    <mergeCell ref="Y41:AB42"/>
    <mergeCell ref="AC41:AD42"/>
    <mergeCell ref="AE41:AG42"/>
    <mergeCell ref="AH41:AI42"/>
    <mergeCell ref="K43:M44"/>
    <mergeCell ref="N43:Q44"/>
    <mergeCell ref="R43:T44"/>
    <mergeCell ref="U43:V44"/>
    <mergeCell ref="W43:X44"/>
    <mergeCell ref="Y43:AB44"/>
    <mergeCell ref="AC43:AD44"/>
    <mergeCell ref="AE43:AG44"/>
    <mergeCell ref="AH43:AI44"/>
    <mergeCell ref="K45:M46"/>
    <mergeCell ref="N45:Q46"/>
    <mergeCell ref="R45:T46"/>
    <mergeCell ref="U45:V46"/>
    <mergeCell ref="W45:X46"/>
    <mergeCell ref="Y45:AB46"/>
    <mergeCell ref="AC45:AD46"/>
    <mergeCell ref="AE45:AG46"/>
    <mergeCell ref="AH45:AI46"/>
    <mergeCell ref="AM54:AP55"/>
    <mergeCell ref="AJ47:AK48"/>
    <mergeCell ref="K49:M50"/>
    <mergeCell ref="N49:Q50"/>
    <mergeCell ref="R49:T50"/>
    <mergeCell ref="U49:V50"/>
    <mergeCell ref="W49:X50"/>
    <mergeCell ref="Y49:AB50"/>
    <mergeCell ref="AC49:AD50"/>
    <mergeCell ref="AE49:AG50"/>
    <mergeCell ref="AH49:AI50"/>
    <mergeCell ref="K47:M48"/>
    <mergeCell ref="N47:Q48"/>
    <mergeCell ref="R47:T48"/>
    <mergeCell ref="U47:V48"/>
    <mergeCell ref="W47:X48"/>
    <mergeCell ref="Y47:AB48"/>
    <mergeCell ref="AC47:AD48"/>
    <mergeCell ref="AE47:AG48"/>
    <mergeCell ref="AH47:AI48"/>
    <mergeCell ref="Y56:AB57"/>
    <mergeCell ref="AC56:AD57"/>
    <mergeCell ref="AE56:AG57"/>
    <mergeCell ref="W58:X59"/>
    <mergeCell ref="Y58:AB59"/>
    <mergeCell ref="AC58:AD59"/>
    <mergeCell ref="AE58:AG59"/>
    <mergeCell ref="D56:G57"/>
    <mergeCell ref="H56:I57"/>
    <mergeCell ref="K56:M57"/>
    <mergeCell ref="N56:Q57"/>
    <mergeCell ref="D58:G59"/>
    <mergeCell ref="H58:I59"/>
    <mergeCell ref="K58:M59"/>
    <mergeCell ref="N58:Q59"/>
    <mergeCell ref="R58:T59"/>
    <mergeCell ref="U58:V59"/>
    <mergeCell ref="R56:T57"/>
    <mergeCell ref="U56:V57"/>
    <mergeCell ref="W56:X57"/>
    <mergeCell ref="K62:M63"/>
    <mergeCell ref="N62:Q63"/>
    <mergeCell ref="R62:T63"/>
    <mergeCell ref="U62:V63"/>
    <mergeCell ref="W62:X63"/>
    <mergeCell ref="Y62:AB63"/>
    <mergeCell ref="AC62:AD63"/>
    <mergeCell ref="AE62:AG63"/>
    <mergeCell ref="K60:M61"/>
    <mergeCell ref="N60:Q61"/>
    <mergeCell ref="R60:T61"/>
    <mergeCell ref="U60:V61"/>
    <mergeCell ref="W60:X61"/>
    <mergeCell ref="Y60:AB61"/>
    <mergeCell ref="N64:Q65"/>
    <mergeCell ref="R64:T65"/>
    <mergeCell ref="U64:V65"/>
    <mergeCell ref="W64:X65"/>
    <mergeCell ref="Y64:AB65"/>
    <mergeCell ref="AC64:AD65"/>
    <mergeCell ref="AE64:AG65"/>
    <mergeCell ref="K68:M69"/>
    <mergeCell ref="N68:Q69"/>
    <mergeCell ref="R68:T69"/>
    <mergeCell ref="U68:V69"/>
    <mergeCell ref="W68:X69"/>
    <mergeCell ref="Y68:AB69"/>
    <mergeCell ref="AC68:AD69"/>
    <mergeCell ref="AE68:AG69"/>
    <mergeCell ref="AH68:AI69"/>
    <mergeCell ref="K70:M71"/>
    <mergeCell ref="N70:Q71"/>
    <mergeCell ref="R70:T71"/>
    <mergeCell ref="U70:V71"/>
    <mergeCell ref="W70:X71"/>
    <mergeCell ref="Y70:AB71"/>
    <mergeCell ref="AC70:AD71"/>
    <mergeCell ref="AE70:AG71"/>
    <mergeCell ref="AH70:AI71"/>
    <mergeCell ref="K72:M73"/>
    <mergeCell ref="N72:Q73"/>
    <mergeCell ref="R72:T73"/>
    <mergeCell ref="U72:V73"/>
    <mergeCell ref="W72:X73"/>
    <mergeCell ref="Y72:AB73"/>
    <mergeCell ref="AC72:AD73"/>
    <mergeCell ref="AE72:AG73"/>
    <mergeCell ref="AH72:AI73"/>
    <mergeCell ref="K74:M75"/>
    <mergeCell ref="N74:Q75"/>
    <mergeCell ref="R74:T75"/>
    <mergeCell ref="U74:V75"/>
    <mergeCell ref="W74:X75"/>
    <mergeCell ref="Y74:AB75"/>
    <mergeCell ref="AC74:AD75"/>
    <mergeCell ref="AE74:AG75"/>
    <mergeCell ref="AH74:AI75"/>
    <mergeCell ref="K76:M77"/>
    <mergeCell ref="N76:Q77"/>
    <mergeCell ref="R76:T77"/>
    <mergeCell ref="U76:V77"/>
    <mergeCell ref="W76:X77"/>
    <mergeCell ref="Y76:AB77"/>
    <mergeCell ref="AC76:AD77"/>
    <mergeCell ref="AE76:AG77"/>
    <mergeCell ref="AH76:AI77"/>
    <mergeCell ref="K87:M88"/>
    <mergeCell ref="N87:Q88"/>
    <mergeCell ref="R87:T88"/>
    <mergeCell ref="U87:V88"/>
    <mergeCell ref="W87:X88"/>
    <mergeCell ref="Y87:AB88"/>
    <mergeCell ref="AC87:AD88"/>
    <mergeCell ref="AE87:AG88"/>
    <mergeCell ref="AJ83:AK84"/>
    <mergeCell ref="K85:M86"/>
    <mergeCell ref="N85:Q86"/>
    <mergeCell ref="R85:T86"/>
    <mergeCell ref="U85:V86"/>
    <mergeCell ref="W85:X86"/>
    <mergeCell ref="Y85:AB86"/>
    <mergeCell ref="AC85:AD86"/>
    <mergeCell ref="AE85:AG86"/>
    <mergeCell ref="K83:M84"/>
    <mergeCell ref="N83:Q84"/>
    <mergeCell ref="R83:T84"/>
    <mergeCell ref="U83:V84"/>
    <mergeCell ref="W83:X84"/>
    <mergeCell ref="Y83:AB84"/>
    <mergeCell ref="AC83:AD84"/>
    <mergeCell ref="K89:M90"/>
    <mergeCell ref="N89:Q90"/>
    <mergeCell ref="R89:T90"/>
    <mergeCell ref="U89:V90"/>
    <mergeCell ref="W89:X90"/>
    <mergeCell ref="Y89:AB90"/>
    <mergeCell ref="AC89:AD90"/>
    <mergeCell ref="AE89:AG90"/>
    <mergeCell ref="AH89:AI90"/>
    <mergeCell ref="K91:M92"/>
    <mergeCell ref="N91:Q92"/>
    <mergeCell ref="R91:T92"/>
    <mergeCell ref="U91:V92"/>
    <mergeCell ref="W91:X92"/>
    <mergeCell ref="Y91:AB92"/>
    <mergeCell ref="AC91:AD92"/>
    <mergeCell ref="AE91:AG92"/>
    <mergeCell ref="AH91:AI92"/>
    <mergeCell ref="N93:Q94"/>
    <mergeCell ref="R93:T94"/>
    <mergeCell ref="U93:V94"/>
    <mergeCell ref="W93:X94"/>
    <mergeCell ref="Y93:AB94"/>
    <mergeCell ref="AC93:AD94"/>
    <mergeCell ref="AE93:AG94"/>
    <mergeCell ref="AH93:AI94"/>
    <mergeCell ref="AJ89:AK90"/>
    <mergeCell ref="C22:D23"/>
    <mergeCell ref="E22:G23"/>
    <mergeCell ref="H22:J23"/>
    <mergeCell ref="K22:L23"/>
    <mergeCell ref="M22:N23"/>
    <mergeCell ref="O22:Q23"/>
    <mergeCell ref="AJ97:AK98"/>
    <mergeCell ref="K99:M100"/>
    <mergeCell ref="N99:Q100"/>
    <mergeCell ref="R99:T100"/>
    <mergeCell ref="U99:V100"/>
    <mergeCell ref="W99:X100"/>
    <mergeCell ref="Y99:AB100"/>
    <mergeCell ref="AC99:AD100"/>
    <mergeCell ref="AE99:AG100"/>
    <mergeCell ref="AH99:AI100"/>
    <mergeCell ref="AJ95:AK96"/>
    <mergeCell ref="K97:M98"/>
    <mergeCell ref="N97:Q98"/>
    <mergeCell ref="R97:T98"/>
    <mergeCell ref="U97:V98"/>
    <mergeCell ref="W97:X98"/>
    <mergeCell ref="Y97:AB98"/>
    <mergeCell ref="AC97:AD98"/>
    <mergeCell ref="C24:D25"/>
    <mergeCell ref="E24:G25"/>
    <mergeCell ref="H24:J25"/>
    <mergeCell ref="K24:L25"/>
    <mergeCell ref="M24:N25"/>
    <mergeCell ref="O24:Q25"/>
    <mergeCell ref="AJ99:AK100"/>
    <mergeCell ref="U101:V102"/>
    <mergeCell ref="W101:X102"/>
    <mergeCell ref="AJ101:AK102"/>
    <mergeCell ref="AE97:AG98"/>
    <mergeCell ref="AH97:AI98"/>
    <mergeCell ref="AJ93:AK94"/>
    <mergeCell ref="K95:M96"/>
    <mergeCell ref="N95:Q96"/>
    <mergeCell ref="R95:T96"/>
    <mergeCell ref="U95:V96"/>
    <mergeCell ref="W95:X96"/>
    <mergeCell ref="Y95:AB96"/>
    <mergeCell ref="AC95:AD96"/>
    <mergeCell ref="AE95:AG96"/>
    <mergeCell ref="AH95:AI96"/>
    <mergeCell ref="AJ91:AK92"/>
    <mergeCell ref="K93:M94"/>
    <mergeCell ref="R81:AC82"/>
    <mergeCell ref="AM81:AP82"/>
    <mergeCell ref="R24:T25"/>
    <mergeCell ref="U24:V25"/>
    <mergeCell ref="W24:X25"/>
    <mergeCell ref="Y24:Z25"/>
    <mergeCell ref="AA24:AC25"/>
    <mergeCell ref="AD24:AE25"/>
    <mergeCell ref="AJ74:AK75"/>
    <mergeCell ref="AJ72:AK73"/>
    <mergeCell ref="AJ70:AK71"/>
    <mergeCell ref="AJ68:AK69"/>
    <mergeCell ref="AJ66:AK67"/>
    <mergeCell ref="AJ64:AK65"/>
    <mergeCell ref="AJ62:AK63"/>
    <mergeCell ref="AJ60:AK61"/>
    <mergeCell ref="AH58:AI59"/>
    <mergeCell ref="AJ58:AK59"/>
    <mergeCell ref="AM58:AN59"/>
    <mergeCell ref="AO58:AP59"/>
    <mergeCell ref="AH56:AI57"/>
    <mergeCell ref="AJ56:AK57"/>
    <mergeCell ref="AM56:AN57"/>
    <mergeCell ref="AO56:AP57"/>
    <mergeCell ref="AH103:AI104"/>
    <mergeCell ref="AJ103:AK104"/>
    <mergeCell ref="U105:V106"/>
    <mergeCell ref="W105:X106"/>
    <mergeCell ref="AJ105:AK106"/>
    <mergeCell ref="R108:AC109"/>
    <mergeCell ref="AF24:AG25"/>
    <mergeCell ref="AH24:AI25"/>
    <mergeCell ref="AJ24:AK25"/>
    <mergeCell ref="AJ87:AK88"/>
    <mergeCell ref="AJ85:AK86"/>
    <mergeCell ref="AJ49:AK50"/>
    <mergeCell ref="U51:V52"/>
    <mergeCell ref="W51:X52"/>
    <mergeCell ref="AJ51:AK52"/>
    <mergeCell ref="R54:AC55"/>
    <mergeCell ref="AJ45:AK46"/>
    <mergeCell ref="AJ43:AK44"/>
    <mergeCell ref="AJ41:AK42"/>
    <mergeCell ref="AJ39:AK40"/>
    <mergeCell ref="AJ37:AK38"/>
    <mergeCell ref="AJ35:AK36"/>
    <mergeCell ref="AJ33:AK34"/>
    <mergeCell ref="AH31:AI32"/>
    <mergeCell ref="AM108:AP109"/>
    <mergeCell ref="D110:G111"/>
    <mergeCell ref="H110:I111"/>
    <mergeCell ref="K110:M111"/>
    <mergeCell ref="N110:Q111"/>
    <mergeCell ref="R110:T111"/>
    <mergeCell ref="U110:V111"/>
    <mergeCell ref="W110:X111"/>
    <mergeCell ref="Y110:AB111"/>
    <mergeCell ref="AC110:AD111"/>
    <mergeCell ref="AJ110:AK111"/>
    <mergeCell ref="AM110:AN111"/>
    <mergeCell ref="AO110:AP111"/>
    <mergeCell ref="D112:G113"/>
    <mergeCell ref="H112:I113"/>
    <mergeCell ref="K112:M113"/>
    <mergeCell ref="N112:Q113"/>
    <mergeCell ref="R112:T113"/>
    <mergeCell ref="U112:V113"/>
    <mergeCell ref="W112:X113"/>
    <mergeCell ref="AJ112:AK113"/>
    <mergeCell ref="AM112:AN113"/>
    <mergeCell ref="AO112:AP113"/>
    <mergeCell ref="K114:M115"/>
    <mergeCell ref="N114:Q115"/>
    <mergeCell ref="R114:T115"/>
    <mergeCell ref="U114:V115"/>
    <mergeCell ref="W114:X115"/>
    <mergeCell ref="Y114:AB115"/>
    <mergeCell ref="AC114:AD115"/>
    <mergeCell ref="K116:M117"/>
    <mergeCell ref="N116:Q117"/>
    <mergeCell ref="R116:T117"/>
    <mergeCell ref="U116:V117"/>
    <mergeCell ref="W116:X117"/>
    <mergeCell ref="Y116:AB117"/>
    <mergeCell ref="AC116:AD117"/>
    <mergeCell ref="AE116:AG117"/>
    <mergeCell ref="K118:M119"/>
    <mergeCell ref="N118:Q119"/>
    <mergeCell ref="R118:T119"/>
    <mergeCell ref="U118:V119"/>
    <mergeCell ref="W118:X119"/>
    <mergeCell ref="Y118:AB119"/>
    <mergeCell ref="AC118:AD119"/>
    <mergeCell ref="AE118:AG119"/>
    <mergeCell ref="K124:M125"/>
    <mergeCell ref="N124:Q125"/>
    <mergeCell ref="R124:T125"/>
    <mergeCell ref="U124:V125"/>
    <mergeCell ref="W124:X125"/>
    <mergeCell ref="Y124:AB125"/>
    <mergeCell ref="AC124:AD125"/>
    <mergeCell ref="AE124:AG125"/>
    <mergeCell ref="AH120:AI121"/>
    <mergeCell ref="K122:M123"/>
    <mergeCell ref="N122:Q123"/>
    <mergeCell ref="R122:T123"/>
    <mergeCell ref="U122:V123"/>
    <mergeCell ref="W122:X123"/>
    <mergeCell ref="Y122:AB123"/>
    <mergeCell ref="AC122:AD123"/>
    <mergeCell ref="AE122:AG123"/>
    <mergeCell ref="K120:M121"/>
    <mergeCell ref="N120:Q121"/>
    <mergeCell ref="R120:T121"/>
    <mergeCell ref="U120:V121"/>
    <mergeCell ref="W120:X121"/>
    <mergeCell ref="Y120:AB121"/>
    <mergeCell ref="AC120:AD121"/>
    <mergeCell ref="K130:M131"/>
    <mergeCell ref="N130:Q131"/>
    <mergeCell ref="R130:T131"/>
    <mergeCell ref="U130:V131"/>
    <mergeCell ref="W130:X131"/>
    <mergeCell ref="Y130:AB131"/>
    <mergeCell ref="AC130:AD131"/>
    <mergeCell ref="AE130:AG131"/>
    <mergeCell ref="AH126:AI127"/>
    <mergeCell ref="K128:M129"/>
    <mergeCell ref="N128:Q129"/>
    <mergeCell ref="R128:T129"/>
    <mergeCell ref="U128:V129"/>
    <mergeCell ref="W128:X129"/>
    <mergeCell ref="Y128:AB129"/>
    <mergeCell ref="AC128:AD129"/>
    <mergeCell ref="AE128:AG129"/>
    <mergeCell ref="K126:M127"/>
    <mergeCell ref="N126:Q127"/>
    <mergeCell ref="R126:T127"/>
    <mergeCell ref="U126:V127"/>
    <mergeCell ref="W126:X127"/>
    <mergeCell ref="Y126:AB127"/>
    <mergeCell ref="AC126:AD127"/>
    <mergeCell ref="AH130:AI131"/>
    <mergeCell ref="AJ130:AK131"/>
    <mergeCell ref="U132:V133"/>
    <mergeCell ref="W132:X133"/>
    <mergeCell ref="AJ132:AK133"/>
    <mergeCell ref="AY15:AZ15"/>
    <mergeCell ref="AU16:AU17"/>
    <mergeCell ref="AV16:AV17"/>
    <mergeCell ref="AW16:AW17"/>
    <mergeCell ref="AX16:AX17"/>
    <mergeCell ref="AH128:AI129"/>
    <mergeCell ref="AJ128:AK129"/>
    <mergeCell ref="AJ126:AK127"/>
    <mergeCell ref="AH124:AI125"/>
    <mergeCell ref="AJ124:AK125"/>
    <mergeCell ref="AE126:AG127"/>
    <mergeCell ref="AH122:AI123"/>
    <mergeCell ref="AJ122:AK123"/>
    <mergeCell ref="AJ120:AK121"/>
    <mergeCell ref="AH118:AI119"/>
    <mergeCell ref="AJ118:AK119"/>
    <mergeCell ref="AE120:AG121"/>
    <mergeCell ref="AJ116:AK117"/>
    <mergeCell ref="AJ114:AK115"/>
    <mergeCell ref="AU20:AU21"/>
    <mergeCell ref="AV20:AV21"/>
    <mergeCell ref="AW20:AW21"/>
    <mergeCell ref="AX20:AX21"/>
    <mergeCell ref="AY20:AY21"/>
    <mergeCell ref="AZ20:AZ21"/>
    <mergeCell ref="BE16:BE17"/>
    <mergeCell ref="BF16:BF17"/>
    <mergeCell ref="AU18:AU19"/>
    <mergeCell ref="AV18:AV19"/>
    <mergeCell ref="AW18:AW19"/>
    <mergeCell ref="AX18:AX19"/>
    <mergeCell ref="AY18:AY19"/>
    <mergeCell ref="AZ18:AZ19"/>
    <mergeCell ref="BA18:BA19"/>
    <mergeCell ref="BB18:BB19"/>
    <mergeCell ref="AY16:AY17"/>
    <mergeCell ref="AZ16:AZ17"/>
    <mergeCell ref="BA16:BA17"/>
    <mergeCell ref="BB16:BB17"/>
    <mergeCell ref="BC16:BC17"/>
    <mergeCell ref="BD16:BD17"/>
    <mergeCell ref="BA20:BA21"/>
    <mergeCell ref="BB20:BB21"/>
    <mergeCell ref="BC20:BC21"/>
    <mergeCell ref="BD20:BD21"/>
    <mergeCell ref="BE20:BE21"/>
    <mergeCell ref="BF20:BF21"/>
    <mergeCell ref="BC18:BC19"/>
    <mergeCell ref="BD18:BD19"/>
    <mergeCell ref="BE18:BE19"/>
    <mergeCell ref="BF18:BF19"/>
    <mergeCell ref="BA22:BA23"/>
    <mergeCell ref="BB22:BB23"/>
    <mergeCell ref="BC22:BC23"/>
    <mergeCell ref="BD22:BD23"/>
    <mergeCell ref="BE22:BE23"/>
    <mergeCell ref="BF22:BF23"/>
    <mergeCell ref="AU22:AU23"/>
    <mergeCell ref="AV22:AV23"/>
    <mergeCell ref="AW22:AW23"/>
    <mergeCell ref="AX22:AX23"/>
    <mergeCell ref="AY22:AY23"/>
    <mergeCell ref="AZ22:AZ23"/>
    <mergeCell ref="BA24:BA25"/>
    <mergeCell ref="BB24:BB25"/>
    <mergeCell ref="BC24:BC25"/>
    <mergeCell ref="BD24:BD25"/>
    <mergeCell ref="BE24:BE25"/>
    <mergeCell ref="BF24:BF25"/>
    <mergeCell ref="AU24:AU25"/>
    <mergeCell ref="AV24:AV25"/>
    <mergeCell ref="AW24:AW25"/>
    <mergeCell ref="AX24:AX25"/>
    <mergeCell ref="AY24:AY25"/>
    <mergeCell ref="AZ24:AZ25"/>
  </mergeCells>
  <conditionalFormatting sqref="AQ2:AR3">
    <cfRule type="cellIs" dxfId="189" priority="62" operator="equal">
      <formula>1</formula>
    </cfRule>
    <cfRule type="cellIs" dxfId="188" priority="63" operator="between">
      <formula>0.51</formula>
      <formula>0.99</formula>
    </cfRule>
    <cfRule type="cellIs" dxfId="187" priority="64" operator="lessThanOrEqual">
      <formula>0.5</formula>
    </cfRule>
  </conditionalFormatting>
  <conditionalFormatting sqref="AH2 AL2">
    <cfRule type="expression" dxfId="186" priority="60">
      <formula>OR(PROJSTATUS=PROJSTATELI,PROJSTATUS=PROJSTATEXP,PROJSTATUS=PROJSTATUNDER)</formula>
    </cfRule>
    <cfRule type="expression" dxfId="185" priority="61">
      <formula>PROJSTATUS=PROJSTATFILLINITIAL</formula>
    </cfRule>
    <cfRule type="expression" dxfId="184" priority="65">
      <formula>PROJSTATUS=PROJSTATPREAPPROVE</formula>
    </cfRule>
    <cfRule type="expression" dxfId="183" priority="66">
      <formula>OR(PROJSTATUS=PROJSTATSSUBMITINITIAL,PROJSTATUS=PROJSTATREVIEW)</formula>
    </cfRule>
  </conditionalFormatting>
  <conditionalFormatting sqref="W31 W33 W35 W37 W39 W41 W43 W45 W47 W49">
    <cfRule type="expression" dxfId="182" priority="56">
      <formula>W31&lt;&gt;INDEX(CMELIGHTBASEW,MATCH(N31,CMELIGHTBASE1,0))</formula>
    </cfRule>
  </conditionalFormatting>
  <conditionalFormatting sqref="AJ31 AJ33 AJ35 AJ37 AJ39 AJ41 AJ43 AJ45 AJ47 AJ49 W31 W33 W35 W37 W39 W41 W43 W45 W47 W49">
    <cfRule type="expression" dxfId="181" priority="55">
      <formula>MOD(W31,1)&lt;&gt;0</formula>
    </cfRule>
  </conditionalFormatting>
  <conditionalFormatting sqref="AJ31 AJ33 AJ35 AJ37 AJ39 AJ41 AJ43 AJ45 AJ47 AJ49">
    <cfRule type="expression" dxfId="180" priority="54">
      <formula>AJ31&lt;&gt;INDEX(CMELIGHTEFFBASEW,MATCH(AA31,CMELIGHTEFF1,0))</formula>
    </cfRule>
  </conditionalFormatting>
  <conditionalFormatting sqref="AO18 AO20 AO22 AO24">
    <cfRule type="expression" dxfId="179" priority="52" stopIfTrue="1">
      <formula>NOT(ISNUMBER(AO18))</formula>
    </cfRule>
  </conditionalFormatting>
  <conditionalFormatting sqref="AO18:AQ25">
    <cfRule type="expression" dxfId="178" priority="53">
      <formula>$BG18="Yes"</formula>
    </cfRule>
  </conditionalFormatting>
  <conditionalFormatting sqref="AE33 AE35 AE37 AE39 AE41 AE43 AH33 AH35 AH37 AH39 AH41 AH43 AE45 AE47 AE49 AH45 AH47 AH49 AJ31 AJ33 AJ35 AJ37 AJ39 AJ41 AJ43 AJ45 AJ47 AJ49 AE60 AE62 AE64 AE66 AE68 AE70 AH60 AH62 AH64 AH66 AH68 AH70 AE72 AE74 AE76 AH72 AH74 AH76 AJ58 AJ60 AJ62 AJ64 AJ66 AJ68 AJ70 AJ72 AJ74 AJ76">
    <cfRule type="expression" dxfId="177" priority="57">
      <formula>AND(ISBLANK($AA31)=FALSE,OR(ISBLANK(AE31)=TRUE,AE31=""))</formula>
    </cfRule>
  </conditionalFormatting>
  <conditionalFormatting sqref="R33 R35 R37 R39 R41 R43 U33 U35 U37 U39 U41 U43 R45 R47 R49 U45 U47 U49 R31 U31 W31 H31 H58 R60 R62 R64 R66 R68 R70 U60 U62 U64 U66 U68 U70 R72 R74 R76 U72 U74 U76 R58 U58 W33 W35 W37 W39 W41 W43 W45 W47 W49">
    <cfRule type="expression" dxfId="176" priority="58">
      <formula>AND(ISBLANK($N31)=FALSE,OR(ISBLANK(H31)=TRUE,H31=""))</formula>
    </cfRule>
  </conditionalFormatting>
  <conditionalFormatting sqref="H31">
    <cfRule type="expression" dxfId="175" priority="50">
      <formula>AND(ISNUMBER(SEARCH("24/7",XEW27))=TRUE,H31&lt;&gt;8760)</formula>
    </cfRule>
  </conditionalFormatting>
  <conditionalFormatting sqref="AE31 AH31 AE58 AH58">
    <cfRule type="expression" dxfId="174" priority="59">
      <formula>AND(ISBLANK($Y31)=FALSE,OR(ISBLANK(AE31)=TRUE,AE31=""))</formula>
    </cfRule>
  </conditionalFormatting>
  <conditionalFormatting sqref="H58">
    <cfRule type="expression" dxfId="173" priority="47">
      <formula>AND(ISNUMBER(SEARCH("24/7",XEW54))=TRUE,H58&lt;&gt;8760)</formula>
    </cfRule>
  </conditionalFormatting>
  <conditionalFormatting sqref="AJ58 AJ60 AJ62 AJ64 AJ66 AJ68 AJ70 AJ72 AJ74 AJ76">
    <cfRule type="expression" dxfId="172" priority="35">
      <formula>MOD(AJ58,1)&lt;&gt;0</formula>
    </cfRule>
  </conditionalFormatting>
  <conditionalFormatting sqref="AJ58 AJ60 AJ62 AJ64 AJ66 AJ68 AJ70 AJ72 AJ74 AJ76">
    <cfRule type="expression" dxfId="171" priority="34">
      <formula>AJ58&lt;&gt;INDEX(CMELIGHTEFFBASEW,MATCH(AA58,CMELIGHTEFF1,0))</formula>
    </cfRule>
  </conditionalFormatting>
  <conditionalFormatting sqref="AC31:AD50 AC58:AD77">
    <cfRule type="expression" dxfId="170" priority="359">
      <formula>AND(ISBLANK($O31)=FALSE,OR(ISBLANK(AC31)=TRUE,AC31=""))</formula>
    </cfRule>
    <cfRule type="expression" dxfId="169" priority="360">
      <formula>AND(ISBLANK($C27)=FALSE,OR(ISBLANK(AC31)=TRUE,AC31=""))</formula>
    </cfRule>
  </conditionalFormatting>
  <conditionalFormatting sqref="AE87 AE89 AE91 AE93 AE95 AE97 AH87 AH89 AH91 AH93 AH95 AH97 AE99 AE101 AE103 AH99 AH101 AH103 AJ85 AJ87 AJ89 AJ91 AJ93 AJ95 AJ97 AJ99 AJ101 AJ103">
    <cfRule type="expression" dxfId="168" priority="25">
      <formula>AND(ISBLANK($AA85)=FALSE,OR(ISBLANK(AE85)=TRUE,AE85=""))</formula>
    </cfRule>
  </conditionalFormatting>
  <conditionalFormatting sqref="H85 R87 R89 R91 R93 R95 R97 U87 U89 U91 U93 U95 U97 R99 R101 R103 U99 U101 U103 R85 U85">
    <cfRule type="expression" dxfId="167" priority="26">
      <formula>AND(ISBLANK($N85)=FALSE,OR(ISBLANK(H85)=TRUE,H85=""))</formula>
    </cfRule>
  </conditionalFormatting>
  <conditionalFormatting sqref="AE85 AH85">
    <cfRule type="expression" dxfId="166" priority="27">
      <formula>AND(ISBLANK($Y85)=FALSE,OR(ISBLANK(AE85)=TRUE,AE85=""))</formula>
    </cfRule>
  </conditionalFormatting>
  <conditionalFormatting sqref="H85">
    <cfRule type="expression" dxfId="165" priority="24">
      <formula>AND(ISNUMBER(SEARCH("24/7",XEW81))=TRUE,H85&lt;&gt;8760)</formula>
    </cfRule>
  </conditionalFormatting>
  <conditionalFormatting sqref="AJ85 AJ87 AJ89 AJ91 AJ93 AJ95 AJ97 AJ99 AJ101 AJ103">
    <cfRule type="expression" dxfId="164" priority="21">
      <formula>MOD(AJ85,1)&lt;&gt;0</formula>
    </cfRule>
  </conditionalFormatting>
  <conditionalFormatting sqref="AJ85 AJ87 AJ89 AJ91 AJ93 AJ95 AJ97 AJ99 AJ101 AJ103">
    <cfRule type="expression" dxfId="163" priority="20">
      <formula>AJ85&lt;&gt;INDEX(CMELIGHTEFFBASEW,MATCH(AA85,CMELIGHTEFF1,0))</formula>
    </cfRule>
  </conditionalFormatting>
  <conditionalFormatting sqref="AC85:AD104">
    <cfRule type="expression" dxfId="162" priority="28">
      <formula>AND(ISBLANK($O85)=FALSE,OR(ISBLANK(AC85)=TRUE,AC85=""))</formula>
    </cfRule>
    <cfRule type="expression" dxfId="161" priority="29">
      <formula>AND(ISBLANK($C81)=FALSE,OR(ISBLANK(AC85)=TRUE,AC85=""))</formula>
    </cfRule>
  </conditionalFormatting>
  <conditionalFormatting sqref="AE114 AE116 AE118 AE120 AE122 AE124 AH114 AH116 AH118 AH120 AH122 AH124 AE126 AE128 AE130 AH126 AH128 AH130 AJ112 AJ114 AJ116 AJ118 AJ120 AJ122 AJ124 AJ126 AJ128 AJ130">
    <cfRule type="expression" dxfId="160" priority="15">
      <formula>AND(ISBLANK($AA112)=FALSE,OR(ISBLANK(AE112)=TRUE,AE112=""))</formula>
    </cfRule>
  </conditionalFormatting>
  <conditionalFormatting sqref="H112 R114 R116 R118 R120 R122 R124 U114 U116 U118 U120 U122 U124 R126 R128 R130 U126 U128 U130 R112 U112">
    <cfRule type="expression" dxfId="159" priority="16">
      <formula>AND(ISBLANK($N112)=FALSE,OR(ISBLANK(H112)=TRUE,H112=""))</formula>
    </cfRule>
  </conditionalFormatting>
  <conditionalFormatting sqref="AE112 AH112">
    <cfRule type="expression" dxfId="158" priority="17">
      <formula>AND(ISBLANK($Y112)=FALSE,OR(ISBLANK(AE112)=TRUE,AE112=""))</formula>
    </cfRule>
  </conditionalFormatting>
  <conditionalFormatting sqref="H112">
    <cfRule type="expression" dxfId="157" priority="14">
      <formula>AND(ISNUMBER(SEARCH("24/7",XEW108))=TRUE,H112&lt;&gt;8760)</formula>
    </cfRule>
  </conditionalFormatting>
  <conditionalFormatting sqref="AJ112 AJ114 AJ116 AJ118 AJ120 AJ122 AJ124 AJ126 AJ128 AJ130">
    <cfRule type="expression" dxfId="156" priority="11">
      <formula>MOD(AJ112,1)&lt;&gt;0</formula>
    </cfRule>
  </conditionalFormatting>
  <conditionalFormatting sqref="AJ112 AJ114 AJ116 AJ118 AJ120 AJ122 AJ124 AJ126 AJ128 AJ130">
    <cfRule type="expression" dxfId="155" priority="10">
      <formula>AJ112&lt;&gt;INDEX(CMELIGHTEFFBASEW,MATCH(AA112,CMELIGHTEFF1,0))</formula>
    </cfRule>
  </conditionalFormatting>
  <conditionalFormatting sqref="AC112:AD131">
    <cfRule type="expression" dxfId="154" priority="18">
      <formula>AND(ISBLANK($O112)=FALSE,OR(ISBLANK(AC112)=TRUE,AC112=""))</formula>
    </cfRule>
    <cfRule type="expression" dxfId="153" priority="19">
      <formula>AND(ISBLANK($C108)=FALSE,OR(ISBLANK(AC112)=TRUE,AC112=""))</formula>
    </cfRule>
  </conditionalFormatting>
  <conditionalFormatting sqref="W58 W60 W62 W64 W66 W68 W70 W72 W74 W76">
    <cfRule type="expression" dxfId="152" priority="8">
      <formula>W58&lt;&gt;INDEX(CMELIGHTBASEW,MATCH(N58,CMELIGHTBASE1,0))</formula>
    </cfRule>
  </conditionalFormatting>
  <conditionalFormatting sqref="W58 W60 W62 W64 W66 W68 W70 W72 W74 W76">
    <cfRule type="expression" dxfId="151" priority="7">
      <formula>MOD(W58,1)&lt;&gt;0</formula>
    </cfRule>
  </conditionalFormatting>
  <conditionalFormatting sqref="W58 W60 W62 W64 W66 W68 W70 W72 W74 W76">
    <cfRule type="expression" dxfId="150" priority="9">
      <formula>AND(ISBLANK($N58)=FALSE,OR(ISBLANK(W58)=TRUE,W58=""))</formula>
    </cfRule>
  </conditionalFormatting>
  <conditionalFormatting sqref="W85 W87 W89 W91 W93 W95 W97 W99 W101 W103">
    <cfRule type="expression" dxfId="149" priority="5">
      <formula>W85&lt;&gt;INDEX(CMELIGHTBASEW,MATCH(N85,CMELIGHTBASE1,0))</formula>
    </cfRule>
  </conditionalFormatting>
  <conditionalFormatting sqref="W85 W87 W89 W91 W93 W95 W97 W99 W101 W103">
    <cfRule type="expression" dxfId="148" priority="4">
      <formula>MOD(W85,1)&lt;&gt;0</formula>
    </cfRule>
  </conditionalFormatting>
  <conditionalFormatting sqref="W85 W87 W89 W91 W93 W95 W97 W99 W101 W103">
    <cfRule type="expression" dxfId="147" priority="6">
      <formula>AND(ISBLANK($N85)=FALSE,OR(ISBLANK(W85)=TRUE,W85=""))</formula>
    </cfRule>
  </conditionalFormatting>
  <conditionalFormatting sqref="W112 W114 W116 W118 W120 W122 W124 W126 W128 W130">
    <cfRule type="expression" dxfId="146" priority="2">
      <formula>W112&lt;&gt;INDEX(CMELIGHTBASEW,MATCH(N112,CMELIGHTBASE1,0))</formula>
    </cfRule>
  </conditionalFormatting>
  <conditionalFormatting sqref="W112 W114 W116 W118 W120 W122 W124 W126 W128 W130">
    <cfRule type="expression" dxfId="145" priority="1">
      <formula>MOD(W112,1)&lt;&gt;0</formula>
    </cfRule>
  </conditionalFormatting>
  <conditionalFormatting sqref="W112 W114 W116 W118 W120 W122 W124 W126 W128 W130">
    <cfRule type="expression" dxfId="144" priority="3">
      <formula>AND(ISBLANK($N112)=FALSE,OR(ISBLANK(W112)=TRUE,W112=""))</formula>
    </cfRule>
  </conditionalFormatting>
  <dataValidations count="4">
    <dataValidation type="list" allowBlank="1" showInputMessage="1" showErrorMessage="1" sqref="N31:Q50 N58:Q77 N85:Q104 N112:Q131" xr:uid="{2E47D70A-7CB6-4D4A-AE1C-D072E5095B9B}">
      <formula1>REDESIGNBASEDESC</formula1>
    </dataValidation>
    <dataValidation type="whole" operator="greaterThan" allowBlank="1" showInputMessage="1" showErrorMessage="1" sqref="AJ31:AK50 AJ58:AK77 AJ85:AK104 AJ112:AK131" xr:uid="{493D98BE-557E-48A6-8782-A7F9DBB81C20}">
      <formula1>1</formula1>
    </dataValidation>
    <dataValidation type="list" allowBlank="1" showInputMessage="1" showErrorMessage="1" sqref="Y31:AB50 Y58:AB77 Y85:AB104 Y112:AB131" xr:uid="{7FB7563A-560A-48DA-A80B-772CEFF282DB}">
      <formula1>LEDREDEFF1</formula1>
    </dataValidation>
    <dataValidation type="whole" operator="greaterThan" allowBlank="1" showInputMessage="1" showErrorMessage="1" error="A lamp life of 50,000 hours or greater is required to qualify for an incentive" sqref="AC31:AD50 AC85:AD104 AC112:AD131 AC58:AD77" xr:uid="{9200606C-1CA3-475B-AF51-37C20D6D3DF3}">
      <formula1>0</formula1>
    </dataValidation>
  </dataValidations>
  <hyperlinks>
    <hyperlink ref="B202" r:id="rId1" display="NIPSCO.Savings@LMCO.com" xr:uid="{95E7FFCA-C871-4351-BEC7-0D0843B58975}"/>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5">
    <tabColor theme="4" tint="-0.249977111117893"/>
  </sheetPr>
  <dimension ref="A1:AA100"/>
  <sheetViews>
    <sheetView showRowColHeaders="0" zoomScale="85" zoomScaleNormal="85" workbookViewId="0">
      <selection activeCell="B23" sqref="B23"/>
    </sheetView>
  </sheetViews>
  <sheetFormatPr defaultRowHeight="12.75" x14ac:dyDescent="0.2"/>
  <cols>
    <col min="1" max="1" width="49" style="31" customWidth="1"/>
    <col min="2" max="2" width="18" style="31" customWidth="1"/>
    <col min="3" max="3" width="10.42578125" style="31" customWidth="1"/>
    <col min="4" max="4" width="13.7109375" style="31" customWidth="1"/>
    <col min="5" max="5" width="11.5703125" style="31" customWidth="1"/>
    <col min="6" max="6" width="16.5703125" style="31" customWidth="1"/>
    <col min="7" max="7" width="19.5703125" style="31" customWidth="1"/>
    <col min="8" max="8" width="47.140625" style="31" customWidth="1"/>
    <col min="9" max="9" width="24.140625" style="31" bestFit="1" customWidth="1"/>
    <col min="10" max="11" width="9.140625" style="31"/>
    <col min="12" max="12" width="14.5703125" style="33" customWidth="1"/>
    <col min="13" max="13" width="14.28515625" style="33" customWidth="1"/>
    <col min="14" max="14" width="6.28515625" style="33" customWidth="1"/>
    <col min="15" max="15" width="24" style="33" customWidth="1"/>
    <col min="16" max="16" width="20.85546875" style="33" customWidth="1"/>
    <col min="17" max="17" width="18" style="31" customWidth="1"/>
    <col min="18" max="18" width="9.140625" style="33"/>
    <col min="19" max="20" width="49" style="31" bestFit="1" customWidth="1"/>
    <col min="21" max="21" width="21.5703125" style="31" bestFit="1" customWidth="1"/>
    <col min="22" max="22" width="9.140625" style="31"/>
    <col min="23" max="23" width="21.42578125" style="31" customWidth="1"/>
    <col min="24" max="24" width="8" style="31" customWidth="1"/>
    <col min="25" max="25" width="30.42578125" style="31" customWidth="1"/>
    <col min="26" max="26" width="27.42578125" style="31" customWidth="1"/>
    <col min="27" max="16384" width="9.140625" style="31"/>
  </cols>
  <sheetData>
    <row r="1" spans="1:27" s="29" customFormat="1" ht="27" customHeight="1" x14ac:dyDescent="0.2">
      <c r="A1" s="29" t="s">
        <v>140</v>
      </c>
      <c r="B1" s="29" t="s">
        <v>141</v>
      </c>
      <c r="C1" s="29" t="s">
        <v>0</v>
      </c>
      <c r="D1" s="29" t="s">
        <v>142</v>
      </c>
      <c r="E1" s="29" t="s">
        <v>143</v>
      </c>
      <c r="F1" s="29" t="s">
        <v>144</v>
      </c>
      <c r="G1" s="29" t="s">
        <v>145</v>
      </c>
      <c r="H1" s="29" t="s">
        <v>146</v>
      </c>
      <c r="I1" s="29" t="s">
        <v>147</v>
      </c>
      <c r="J1" s="29" t="s">
        <v>148</v>
      </c>
      <c r="K1" s="29" t="s">
        <v>149</v>
      </c>
      <c r="L1" s="30" t="s">
        <v>150</v>
      </c>
      <c r="M1" s="30" t="s">
        <v>151</v>
      </c>
      <c r="N1" s="30" t="s">
        <v>152</v>
      </c>
      <c r="O1" s="30" t="s">
        <v>153</v>
      </c>
      <c r="P1" s="30" t="s">
        <v>154</v>
      </c>
      <c r="Q1" s="29" t="s">
        <v>155</v>
      </c>
      <c r="R1" s="30" t="s">
        <v>156</v>
      </c>
      <c r="S1" s="29" t="s">
        <v>157</v>
      </c>
      <c r="T1" s="29" t="s">
        <v>158</v>
      </c>
      <c r="U1" s="29" t="s">
        <v>159</v>
      </c>
      <c r="V1" s="45" t="s">
        <v>181</v>
      </c>
      <c r="W1" s="45" t="s">
        <v>182</v>
      </c>
      <c r="X1" s="45" t="s">
        <v>185</v>
      </c>
      <c r="Y1" s="45" t="s">
        <v>183</v>
      </c>
      <c r="Z1" s="45" t="s">
        <v>184</v>
      </c>
      <c r="AA1" s="45" t="s">
        <v>186</v>
      </c>
    </row>
    <row r="2" spans="1:27" x14ac:dyDescent="0.2">
      <c r="L2" s="32"/>
      <c r="O2" s="34"/>
      <c r="P2" s="34"/>
      <c r="Q2" s="35"/>
      <c r="V2" s="44"/>
      <c r="W2" s="44"/>
      <c r="X2" s="44"/>
      <c r="Y2" s="44"/>
      <c r="Z2" s="44"/>
      <c r="AA2" s="44"/>
    </row>
    <row r="3" spans="1:27" x14ac:dyDescent="0.2">
      <c r="L3" s="32"/>
      <c r="O3" s="34"/>
      <c r="P3" s="34"/>
      <c r="Q3" s="35"/>
      <c r="V3" s="44"/>
      <c r="W3" s="44"/>
      <c r="X3" s="44"/>
      <c r="Y3" s="44"/>
      <c r="Z3" s="44"/>
      <c r="AA3" s="44"/>
    </row>
    <row r="4" spans="1:27" x14ac:dyDescent="0.2">
      <c r="L4" s="32"/>
      <c r="O4" s="34"/>
      <c r="P4" s="34"/>
      <c r="Q4" s="35"/>
      <c r="V4" s="44"/>
      <c r="W4" s="44"/>
      <c r="X4" s="44"/>
      <c r="Y4" s="44"/>
      <c r="Z4" s="44"/>
      <c r="AA4" s="44"/>
    </row>
    <row r="5" spans="1:27" x14ac:dyDescent="0.2">
      <c r="L5" s="32"/>
      <c r="O5" s="34"/>
      <c r="P5" s="34"/>
      <c r="Q5" s="35"/>
      <c r="V5" s="44"/>
      <c r="W5" s="44"/>
      <c r="X5" s="44"/>
      <c r="Y5" s="44"/>
      <c r="Z5" s="44"/>
      <c r="AA5" s="44"/>
    </row>
    <row r="6" spans="1:27" x14ac:dyDescent="0.2">
      <c r="L6" s="32"/>
      <c r="O6" s="34"/>
      <c r="P6" s="34"/>
      <c r="Q6" s="35"/>
      <c r="V6" s="44"/>
      <c r="W6" s="44"/>
      <c r="X6" s="44"/>
      <c r="Y6" s="44"/>
      <c r="Z6" s="44"/>
      <c r="AA6" s="44"/>
    </row>
    <row r="7" spans="1:27" x14ac:dyDescent="0.2">
      <c r="L7" s="32"/>
      <c r="O7" s="34"/>
      <c r="P7" s="34"/>
      <c r="Q7" s="35"/>
      <c r="V7" s="44"/>
      <c r="W7" s="44"/>
      <c r="X7" s="44"/>
      <c r="Y7" s="44"/>
      <c r="Z7" s="44"/>
      <c r="AA7" s="44"/>
    </row>
    <row r="8" spans="1:27" x14ac:dyDescent="0.2">
      <c r="L8" s="32"/>
      <c r="O8" s="34"/>
      <c r="P8" s="34"/>
      <c r="Q8" s="35"/>
      <c r="V8" s="44"/>
      <c r="W8" s="44"/>
      <c r="X8" s="44"/>
      <c r="Y8" s="44"/>
      <c r="Z8" s="44"/>
      <c r="AA8" s="44"/>
    </row>
    <row r="9" spans="1:27" x14ac:dyDescent="0.2">
      <c r="L9" s="32"/>
      <c r="O9" s="34"/>
      <c r="P9" s="34"/>
      <c r="Q9" s="35"/>
      <c r="V9" s="44"/>
      <c r="W9" s="44"/>
      <c r="X9" s="44"/>
      <c r="Y9" s="44"/>
      <c r="Z9" s="44"/>
      <c r="AA9" s="44"/>
    </row>
    <row r="10" spans="1:27" x14ac:dyDescent="0.2">
      <c r="L10" s="32"/>
      <c r="O10" s="34"/>
      <c r="P10" s="34"/>
      <c r="Q10" s="35"/>
      <c r="V10" s="44"/>
      <c r="W10" s="44"/>
      <c r="X10" s="44"/>
      <c r="Y10" s="44"/>
      <c r="Z10" s="44"/>
      <c r="AA10" s="44"/>
    </row>
    <row r="11" spans="1:27" x14ac:dyDescent="0.2">
      <c r="L11" s="32"/>
      <c r="O11" s="34"/>
      <c r="P11" s="34"/>
      <c r="Q11" s="35"/>
      <c r="V11" s="44"/>
      <c r="W11" s="44"/>
      <c r="X11" s="44"/>
      <c r="Y11" s="44"/>
      <c r="Z11" s="44"/>
      <c r="AA11" s="44"/>
    </row>
    <row r="12" spans="1:27" x14ac:dyDescent="0.2">
      <c r="L12" s="32"/>
      <c r="O12" s="34"/>
      <c r="P12" s="34"/>
      <c r="Q12" s="35"/>
      <c r="V12" s="44"/>
      <c r="W12" s="44"/>
      <c r="X12" s="44"/>
      <c r="Y12" s="44"/>
      <c r="Z12" s="44"/>
      <c r="AA12" s="44"/>
    </row>
    <row r="13" spans="1:27" x14ac:dyDescent="0.2">
      <c r="L13" s="32"/>
      <c r="O13" s="34"/>
      <c r="P13" s="34"/>
      <c r="Q13" s="35"/>
      <c r="V13" s="44"/>
      <c r="W13" s="44"/>
      <c r="X13" s="44"/>
      <c r="Y13" s="44"/>
      <c r="Z13" s="44"/>
      <c r="AA13" s="44"/>
    </row>
    <row r="14" spans="1:27" x14ac:dyDescent="0.2">
      <c r="L14" s="32"/>
      <c r="O14" s="34"/>
      <c r="P14" s="34"/>
      <c r="Q14" s="35"/>
      <c r="V14" s="44"/>
      <c r="W14" s="44"/>
      <c r="X14" s="44"/>
      <c r="Y14" s="44"/>
      <c r="Z14" s="44"/>
      <c r="AA14" s="44"/>
    </row>
    <row r="15" spans="1:27" x14ac:dyDescent="0.2">
      <c r="L15" s="32"/>
      <c r="O15" s="34"/>
      <c r="P15" s="34"/>
      <c r="Q15" s="35"/>
      <c r="V15" s="44"/>
      <c r="W15" s="44"/>
      <c r="X15" s="44"/>
      <c r="Y15" s="44"/>
      <c r="Z15" s="44"/>
      <c r="AA15" s="44"/>
    </row>
    <row r="16" spans="1:27" x14ac:dyDescent="0.2">
      <c r="L16" s="32"/>
      <c r="O16" s="34"/>
      <c r="P16" s="34"/>
      <c r="Q16" s="35"/>
      <c r="V16" s="44"/>
      <c r="W16" s="44"/>
      <c r="X16" s="44"/>
      <c r="Y16" s="44"/>
      <c r="Z16" s="44"/>
      <c r="AA16" s="44"/>
    </row>
    <row r="17" spans="12:27" x14ac:dyDescent="0.2">
      <c r="L17" s="32"/>
      <c r="O17" s="34"/>
      <c r="P17" s="34"/>
      <c r="Q17" s="35"/>
      <c r="V17" s="44"/>
      <c r="W17" s="44"/>
      <c r="X17" s="44"/>
      <c r="Y17" s="44"/>
      <c r="Z17" s="44"/>
      <c r="AA17" s="44"/>
    </row>
    <row r="18" spans="12:27" x14ac:dyDescent="0.2">
      <c r="L18" s="32"/>
      <c r="O18" s="34"/>
      <c r="P18" s="34"/>
      <c r="Q18" s="35"/>
      <c r="V18" s="44"/>
      <c r="W18" s="44"/>
      <c r="X18" s="44"/>
      <c r="Y18" s="44"/>
      <c r="Z18" s="44"/>
      <c r="AA18" s="44"/>
    </row>
    <row r="19" spans="12:27" x14ac:dyDescent="0.2">
      <c r="L19" s="32"/>
      <c r="O19" s="34"/>
      <c r="P19" s="34"/>
      <c r="Q19" s="35"/>
      <c r="V19" s="44"/>
      <c r="W19" s="44"/>
      <c r="X19" s="44"/>
      <c r="Y19" s="44"/>
      <c r="Z19" s="44"/>
      <c r="AA19" s="44"/>
    </row>
    <row r="20" spans="12:27" x14ac:dyDescent="0.2">
      <c r="L20" s="32"/>
      <c r="O20" s="34"/>
      <c r="P20" s="34"/>
      <c r="Q20" s="35"/>
      <c r="V20" s="44"/>
      <c r="W20" s="44"/>
      <c r="X20" s="44"/>
      <c r="Y20" s="44"/>
      <c r="Z20" s="44"/>
      <c r="AA20" s="44"/>
    </row>
    <row r="21" spans="12:27" x14ac:dyDescent="0.2">
      <c r="L21" s="32"/>
      <c r="O21" s="34"/>
      <c r="P21" s="34"/>
      <c r="Q21" s="35"/>
      <c r="V21" s="44"/>
      <c r="W21" s="44"/>
      <c r="X21" s="44"/>
      <c r="Y21" s="44"/>
      <c r="Z21" s="44"/>
      <c r="AA21" s="44"/>
    </row>
    <row r="22" spans="12:27" x14ac:dyDescent="0.2">
      <c r="L22" s="32"/>
      <c r="O22" s="34"/>
      <c r="P22" s="34"/>
      <c r="Q22" s="35"/>
      <c r="V22" s="44"/>
      <c r="W22" s="44"/>
      <c r="X22" s="44"/>
      <c r="Y22" s="44"/>
      <c r="Z22" s="44"/>
      <c r="AA22" s="44"/>
    </row>
    <row r="23" spans="12:27" x14ac:dyDescent="0.2">
      <c r="L23" s="32"/>
      <c r="O23" s="34"/>
      <c r="P23" s="34"/>
      <c r="Q23" s="35"/>
      <c r="V23" s="44"/>
      <c r="W23" s="44"/>
      <c r="X23" s="44"/>
      <c r="Y23" s="44"/>
      <c r="Z23" s="44"/>
      <c r="AA23" s="44"/>
    </row>
    <row r="24" spans="12:27" x14ac:dyDescent="0.2">
      <c r="L24" s="32"/>
      <c r="O24" s="34"/>
      <c r="P24" s="34"/>
      <c r="Q24" s="35"/>
      <c r="V24" s="44"/>
      <c r="W24" s="44"/>
      <c r="X24" s="44"/>
      <c r="Y24" s="44"/>
      <c r="Z24" s="44"/>
      <c r="AA24" s="44"/>
    </row>
    <row r="25" spans="12:27" x14ac:dyDescent="0.2">
      <c r="L25" s="32"/>
      <c r="O25" s="34"/>
      <c r="P25" s="34"/>
      <c r="Q25" s="35"/>
      <c r="V25" s="44"/>
      <c r="W25" s="44"/>
      <c r="X25" s="44"/>
      <c r="Y25" s="44"/>
      <c r="Z25" s="44"/>
      <c r="AA25" s="44"/>
    </row>
    <row r="26" spans="12:27" x14ac:dyDescent="0.2">
      <c r="L26" s="32"/>
      <c r="O26" s="34"/>
      <c r="P26" s="34"/>
      <c r="Q26" s="35"/>
      <c r="V26" s="44"/>
      <c r="W26" s="44"/>
      <c r="X26" s="44"/>
      <c r="Y26" s="44"/>
      <c r="Z26" s="44"/>
      <c r="AA26" s="44"/>
    </row>
    <row r="27" spans="12:27" x14ac:dyDescent="0.2">
      <c r="L27" s="32"/>
      <c r="O27" s="34"/>
      <c r="P27" s="34"/>
      <c r="Q27" s="35"/>
      <c r="V27" s="44"/>
      <c r="W27" s="44"/>
      <c r="X27" s="44"/>
      <c r="Y27" s="44"/>
      <c r="Z27" s="44"/>
      <c r="AA27" s="44"/>
    </row>
    <row r="28" spans="12:27" x14ac:dyDescent="0.2">
      <c r="L28" s="32"/>
      <c r="O28" s="34"/>
      <c r="P28" s="34"/>
      <c r="Q28" s="35"/>
      <c r="V28" s="44"/>
      <c r="W28" s="44"/>
      <c r="X28" s="44"/>
      <c r="Y28" s="44"/>
      <c r="Z28" s="44"/>
      <c r="AA28" s="44"/>
    </row>
    <row r="29" spans="12:27" x14ac:dyDescent="0.2">
      <c r="L29" s="32"/>
      <c r="O29" s="34"/>
      <c r="P29" s="34"/>
      <c r="Q29" s="35"/>
      <c r="V29" s="44"/>
      <c r="W29" s="44"/>
      <c r="X29" s="44"/>
      <c r="Y29" s="44"/>
      <c r="Z29" s="44"/>
      <c r="AA29" s="44"/>
    </row>
    <row r="30" spans="12:27" x14ac:dyDescent="0.2">
      <c r="L30" s="32"/>
      <c r="O30" s="34"/>
      <c r="P30" s="34"/>
      <c r="Q30" s="35"/>
      <c r="V30" s="44"/>
      <c r="W30" s="44"/>
      <c r="X30" s="44"/>
      <c r="Y30" s="44"/>
      <c r="Z30" s="44"/>
      <c r="AA30" s="44"/>
    </row>
    <row r="31" spans="12:27" x14ac:dyDescent="0.2">
      <c r="L31" s="32"/>
      <c r="O31" s="34"/>
      <c r="P31" s="34"/>
      <c r="Q31" s="35"/>
    </row>
    <row r="32" spans="12:27" x14ac:dyDescent="0.2">
      <c r="L32" s="32"/>
      <c r="O32" s="34"/>
      <c r="P32" s="34"/>
      <c r="Q32" s="35"/>
    </row>
    <row r="33" spans="1:27" x14ac:dyDescent="0.2">
      <c r="L33" s="32"/>
      <c r="O33" s="34"/>
      <c r="P33" s="34"/>
      <c r="Q33" s="35"/>
    </row>
    <row r="34" spans="1:27" x14ac:dyDescent="0.2">
      <c r="L34" s="32"/>
      <c r="O34" s="34"/>
      <c r="P34" s="34"/>
      <c r="Q34" s="35"/>
    </row>
    <row r="35" spans="1:27" x14ac:dyDescent="0.2">
      <c r="L35" s="32"/>
      <c r="O35" s="34"/>
      <c r="P35" s="34"/>
      <c r="Q35" s="35"/>
    </row>
    <row r="36" spans="1:27" ht="25.5" x14ac:dyDescent="0.2">
      <c r="A36" s="29" t="s">
        <v>140</v>
      </c>
      <c r="B36" s="29" t="s">
        <v>141</v>
      </c>
      <c r="C36" s="29" t="s">
        <v>0</v>
      </c>
      <c r="D36" s="29" t="s">
        <v>142</v>
      </c>
      <c r="E36" s="29" t="s">
        <v>143</v>
      </c>
      <c r="F36" s="29" t="s">
        <v>144</v>
      </c>
      <c r="G36" s="29" t="s">
        <v>145</v>
      </c>
      <c r="H36" s="29" t="s">
        <v>146</v>
      </c>
      <c r="I36" s="29" t="s">
        <v>147</v>
      </c>
      <c r="J36" s="29" t="s">
        <v>148</v>
      </c>
      <c r="K36" s="29" t="s">
        <v>149</v>
      </c>
      <c r="L36" s="30" t="s">
        <v>150</v>
      </c>
      <c r="M36" s="30" t="s">
        <v>151</v>
      </c>
      <c r="N36" s="30" t="s">
        <v>152</v>
      </c>
      <c r="O36" s="30" t="s">
        <v>153</v>
      </c>
      <c r="P36" s="30" t="s">
        <v>154</v>
      </c>
      <c r="Q36" s="29" t="s">
        <v>155</v>
      </c>
      <c r="R36" s="30" t="s">
        <v>156</v>
      </c>
      <c r="S36" s="29" t="s">
        <v>157</v>
      </c>
      <c r="T36" s="29" t="s">
        <v>158</v>
      </c>
      <c r="U36" s="29" t="s">
        <v>159</v>
      </c>
      <c r="V36" s="45" t="s">
        <v>181</v>
      </c>
      <c r="W36" s="45" t="s">
        <v>182</v>
      </c>
      <c r="X36" s="45" t="s">
        <v>185</v>
      </c>
      <c r="Y36" s="45" t="s">
        <v>183</v>
      </c>
      <c r="Z36" s="45" t="s">
        <v>184</v>
      </c>
      <c r="AA36" s="45" t="s">
        <v>186</v>
      </c>
    </row>
    <row r="37" spans="1:27" x14ac:dyDescent="0.2">
      <c r="L37" s="32"/>
      <c r="O37" s="34"/>
      <c r="P37" s="34"/>
      <c r="Q37" s="35"/>
      <c r="V37" s="44"/>
      <c r="W37" s="44"/>
      <c r="X37" s="44"/>
      <c r="Y37" s="44"/>
      <c r="Z37" s="44"/>
      <c r="AA37" s="44"/>
    </row>
    <row r="38" spans="1:27" x14ac:dyDescent="0.2">
      <c r="L38" s="32"/>
      <c r="O38" s="34"/>
      <c r="P38" s="34"/>
      <c r="Q38" s="35"/>
      <c r="V38" s="44"/>
      <c r="W38" s="44"/>
      <c r="X38" s="44"/>
      <c r="Y38" s="74"/>
      <c r="Z38" s="74"/>
      <c r="AA38" s="44"/>
    </row>
    <row r="39" spans="1:27" x14ac:dyDescent="0.2">
      <c r="L39" s="32"/>
      <c r="O39" s="34"/>
      <c r="P39" s="34"/>
      <c r="Q39" s="35"/>
      <c r="V39" s="44"/>
      <c r="W39" s="44"/>
      <c r="X39" s="44"/>
      <c r="Y39" s="44"/>
      <c r="Z39" s="44"/>
      <c r="AA39" s="44"/>
    </row>
    <row r="40" spans="1:27" x14ac:dyDescent="0.2">
      <c r="L40" s="32"/>
      <c r="O40" s="34"/>
      <c r="P40" s="34"/>
      <c r="Q40" s="35"/>
      <c r="V40" s="44"/>
      <c r="W40" s="44"/>
      <c r="X40" s="44"/>
      <c r="Y40" s="44"/>
      <c r="Z40" s="44"/>
      <c r="AA40" s="44"/>
    </row>
    <row r="41" spans="1:27" x14ac:dyDescent="0.2">
      <c r="L41" s="32"/>
      <c r="O41" s="34"/>
      <c r="P41" s="34"/>
      <c r="Q41" s="35"/>
      <c r="V41" s="44"/>
      <c r="W41" s="44"/>
      <c r="X41" s="44"/>
      <c r="Y41" s="44"/>
      <c r="Z41" s="44"/>
      <c r="AA41" s="44"/>
    </row>
    <row r="42" spans="1:27" x14ac:dyDescent="0.2">
      <c r="L42" s="32"/>
      <c r="O42" s="34"/>
      <c r="P42" s="34"/>
      <c r="Q42" s="35"/>
      <c r="V42" s="44"/>
      <c r="W42" s="44"/>
      <c r="X42" s="44"/>
      <c r="Y42" s="44"/>
      <c r="Z42" s="44"/>
      <c r="AA42" s="44"/>
    </row>
    <row r="43" spans="1:27" x14ac:dyDescent="0.2">
      <c r="L43" s="32"/>
      <c r="O43" s="34"/>
      <c r="P43" s="34"/>
      <c r="Q43" s="35"/>
      <c r="V43" s="44"/>
      <c r="W43" s="44"/>
      <c r="X43" s="44"/>
      <c r="Y43" s="44"/>
      <c r="Z43" s="44"/>
      <c r="AA43" s="44"/>
    </row>
    <row r="44" spans="1:27" x14ac:dyDescent="0.2">
      <c r="L44" s="32"/>
      <c r="O44" s="34"/>
      <c r="P44" s="34"/>
      <c r="Q44" s="35"/>
      <c r="V44" s="44"/>
      <c r="W44" s="44"/>
      <c r="X44" s="44"/>
      <c r="Y44" s="44"/>
      <c r="Z44" s="44"/>
      <c r="AA44" s="44"/>
    </row>
    <row r="45" spans="1:27" x14ac:dyDescent="0.2">
      <c r="L45" s="32"/>
      <c r="O45" s="34"/>
      <c r="P45" s="34"/>
      <c r="Q45" s="35"/>
      <c r="V45" s="44"/>
      <c r="W45" s="44"/>
      <c r="X45" s="44"/>
      <c r="Y45" s="44"/>
      <c r="Z45" s="44"/>
      <c r="AA45" s="44"/>
    </row>
    <row r="46" spans="1:27" x14ac:dyDescent="0.2">
      <c r="L46" s="32"/>
      <c r="O46" s="34"/>
      <c r="P46" s="34"/>
      <c r="Q46" s="35"/>
      <c r="V46" s="44"/>
      <c r="W46" s="44"/>
      <c r="X46" s="44"/>
      <c r="Y46" s="44"/>
      <c r="Z46" s="44"/>
      <c r="AA46" s="44"/>
    </row>
    <row r="47" spans="1:27" x14ac:dyDescent="0.2">
      <c r="L47" s="32"/>
      <c r="O47" s="34"/>
      <c r="P47" s="34"/>
      <c r="Q47" s="35"/>
      <c r="V47" s="44"/>
      <c r="W47" s="44"/>
      <c r="X47" s="44"/>
      <c r="Y47" s="44"/>
      <c r="Z47" s="44"/>
      <c r="AA47" s="44"/>
    </row>
    <row r="48" spans="1:27" x14ac:dyDescent="0.2">
      <c r="L48" s="32"/>
      <c r="O48" s="34"/>
      <c r="P48" s="34"/>
      <c r="Q48" s="35"/>
      <c r="V48" s="44"/>
      <c r="W48" s="44"/>
      <c r="X48" s="44"/>
      <c r="Y48" s="44"/>
      <c r="Z48" s="44"/>
      <c r="AA48" s="44"/>
    </row>
    <row r="49" spans="12:27" x14ac:dyDescent="0.2">
      <c r="L49" s="32"/>
      <c r="O49" s="34"/>
      <c r="P49" s="34"/>
      <c r="Q49" s="35"/>
      <c r="V49" s="44"/>
      <c r="W49" s="44"/>
      <c r="X49" s="44"/>
      <c r="Y49" s="44"/>
      <c r="Z49" s="44"/>
      <c r="AA49" s="44"/>
    </row>
    <row r="50" spans="12:27" x14ac:dyDescent="0.2">
      <c r="L50" s="32"/>
      <c r="O50" s="34"/>
      <c r="P50" s="34"/>
      <c r="Q50" s="35"/>
      <c r="V50" s="44"/>
      <c r="W50" s="44"/>
      <c r="X50" s="44"/>
      <c r="Y50" s="44"/>
      <c r="Z50" s="44"/>
      <c r="AA50" s="44"/>
    </row>
    <row r="51" spans="12:27" x14ac:dyDescent="0.2">
      <c r="L51" s="32"/>
      <c r="O51" s="34"/>
      <c r="P51" s="34"/>
      <c r="Q51" s="35"/>
      <c r="V51" s="44"/>
      <c r="W51" s="44"/>
      <c r="X51" s="44"/>
      <c r="Y51" s="44"/>
      <c r="Z51" s="44"/>
      <c r="AA51" s="44"/>
    </row>
    <row r="52" spans="12:27" x14ac:dyDescent="0.2">
      <c r="L52" s="32"/>
      <c r="O52" s="34"/>
      <c r="P52" s="34"/>
      <c r="Q52" s="35"/>
      <c r="V52" s="44"/>
      <c r="W52" s="44"/>
      <c r="X52" s="44"/>
      <c r="Y52" s="44"/>
      <c r="Z52" s="44"/>
      <c r="AA52" s="44"/>
    </row>
    <row r="53" spans="12:27" x14ac:dyDescent="0.2">
      <c r="L53" s="32"/>
      <c r="O53" s="34"/>
      <c r="P53" s="34"/>
      <c r="Q53" s="35"/>
      <c r="V53" s="44"/>
      <c r="W53" s="44"/>
      <c r="X53" s="44"/>
      <c r="Y53" s="44"/>
      <c r="Z53" s="44"/>
      <c r="AA53" s="44"/>
    </row>
    <row r="54" spans="12:27" x14ac:dyDescent="0.2">
      <c r="L54" s="32"/>
      <c r="O54" s="34"/>
      <c r="P54" s="34"/>
      <c r="Q54" s="35"/>
      <c r="V54" s="44"/>
      <c r="W54" s="44"/>
      <c r="X54" s="44"/>
      <c r="Y54" s="44"/>
      <c r="Z54" s="44"/>
      <c r="AA54" s="44"/>
    </row>
    <row r="55" spans="12:27" x14ac:dyDescent="0.2">
      <c r="L55" s="32"/>
      <c r="O55" s="34"/>
      <c r="P55" s="34"/>
      <c r="Q55" s="35"/>
      <c r="V55" s="44"/>
      <c r="W55" s="44"/>
      <c r="X55" s="44"/>
      <c r="Y55" s="44"/>
      <c r="Z55" s="44"/>
      <c r="AA55" s="44"/>
    </row>
    <row r="56" spans="12:27" x14ac:dyDescent="0.2">
      <c r="L56" s="32"/>
      <c r="O56" s="34"/>
      <c r="P56" s="34"/>
      <c r="Q56" s="35"/>
      <c r="V56" s="44"/>
      <c r="W56" s="44"/>
      <c r="X56" s="44"/>
      <c r="Y56" s="44"/>
      <c r="Z56" s="44"/>
      <c r="AA56" s="44"/>
    </row>
    <row r="57" spans="12:27" x14ac:dyDescent="0.2">
      <c r="L57" s="32"/>
      <c r="O57" s="34"/>
      <c r="P57" s="34"/>
      <c r="Q57" s="35"/>
      <c r="V57" s="44"/>
      <c r="W57" s="44"/>
      <c r="X57" s="44"/>
      <c r="Y57" s="44"/>
      <c r="Z57" s="44"/>
      <c r="AA57" s="44"/>
    </row>
    <row r="58" spans="12:27" x14ac:dyDescent="0.2">
      <c r="L58" s="32"/>
      <c r="O58" s="34"/>
      <c r="P58" s="34"/>
      <c r="Q58" s="35"/>
      <c r="V58" s="44"/>
      <c r="W58" s="44"/>
      <c r="X58" s="44"/>
      <c r="Y58" s="44"/>
      <c r="Z58" s="44"/>
      <c r="AA58" s="44"/>
    </row>
    <row r="59" spans="12:27" x14ac:dyDescent="0.2">
      <c r="L59" s="32"/>
      <c r="O59" s="34"/>
      <c r="P59" s="34"/>
      <c r="Q59" s="35"/>
      <c r="V59" s="44"/>
      <c r="W59" s="44"/>
      <c r="X59" s="44"/>
      <c r="Y59" s="44"/>
      <c r="Z59" s="44"/>
      <c r="AA59" s="44"/>
    </row>
    <row r="60" spans="12:27" x14ac:dyDescent="0.2">
      <c r="L60" s="32"/>
      <c r="O60" s="34"/>
      <c r="P60" s="34"/>
      <c r="Q60" s="35"/>
      <c r="V60" s="44"/>
      <c r="W60" s="44"/>
      <c r="X60" s="44"/>
      <c r="Y60" s="44"/>
      <c r="Z60" s="44"/>
      <c r="AA60" s="44"/>
    </row>
    <row r="61" spans="12:27" x14ac:dyDescent="0.2">
      <c r="L61" s="32"/>
      <c r="O61" s="34"/>
      <c r="P61" s="34"/>
      <c r="Q61" s="35"/>
      <c r="V61" s="44"/>
      <c r="W61" s="44"/>
      <c r="X61" s="44"/>
      <c r="Y61" s="44"/>
      <c r="Z61" s="44"/>
      <c r="AA61" s="44"/>
    </row>
    <row r="62" spans="12:27" x14ac:dyDescent="0.2">
      <c r="L62" s="32"/>
      <c r="O62" s="34"/>
      <c r="P62" s="34"/>
      <c r="Q62" s="35"/>
      <c r="V62" s="44"/>
      <c r="W62" s="44"/>
      <c r="X62" s="44"/>
      <c r="Y62" s="44"/>
      <c r="Z62" s="44"/>
      <c r="AA62" s="44"/>
    </row>
    <row r="63" spans="12:27" x14ac:dyDescent="0.2">
      <c r="L63" s="32"/>
      <c r="O63" s="34"/>
      <c r="P63" s="34"/>
      <c r="Q63" s="35"/>
    </row>
    <row r="64" spans="12:27" x14ac:dyDescent="0.2">
      <c r="L64" s="32"/>
      <c r="O64" s="34"/>
      <c r="P64" s="34"/>
      <c r="Q64" s="35"/>
    </row>
    <row r="65" spans="1:27" x14ac:dyDescent="0.2">
      <c r="L65" s="32"/>
      <c r="O65" s="34"/>
      <c r="P65" s="34"/>
      <c r="Q65" s="35"/>
    </row>
    <row r="66" spans="1:27" x14ac:dyDescent="0.2">
      <c r="L66" s="32"/>
      <c r="O66" s="34"/>
      <c r="P66" s="34"/>
      <c r="Q66" s="35"/>
    </row>
    <row r="67" spans="1:27" x14ac:dyDescent="0.2">
      <c r="L67" s="32"/>
      <c r="O67" s="34"/>
      <c r="P67" s="34"/>
      <c r="Q67" s="35"/>
    </row>
    <row r="68" spans="1:27" x14ac:dyDescent="0.2">
      <c r="L68" s="32"/>
      <c r="O68" s="34"/>
      <c r="P68" s="34"/>
      <c r="Q68" s="35"/>
    </row>
    <row r="69" spans="1:27" x14ac:dyDescent="0.2">
      <c r="L69" s="32"/>
      <c r="O69" s="34"/>
      <c r="P69" s="34"/>
      <c r="Q69" s="35"/>
    </row>
    <row r="70" spans="1:27" x14ac:dyDescent="0.2">
      <c r="L70" s="32"/>
      <c r="O70" s="34"/>
      <c r="P70" s="34"/>
      <c r="Q70" s="35"/>
    </row>
    <row r="71" spans="1:27" x14ac:dyDescent="0.2">
      <c r="L71" s="32"/>
      <c r="O71" s="34"/>
      <c r="P71" s="34"/>
      <c r="Q71" s="35"/>
    </row>
    <row r="72" spans="1:27" x14ac:dyDescent="0.2">
      <c r="L72" s="32"/>
      <c r="O72" s="34"/>
      <c r="P72" s="34"/>
      <c r="Q72" s="35"/>
    </row>
    <row r="73" spans="1:27" ht="25.5" x14ac:dyDescent="0.2">
      <c r="A73" s="29" t="s">
        <v>140</v>
      </c>
      <c r="B73" s="29" t="s">
        <v>141</v>
      </c>
      <c r="C73" s="29" t="s">
        <v>0</v>
      </c>
      <c r="D73" s="29" t="s">
        <v>142</v>
      </c>
      <c r="E73" s="29" t="s">
        <v>143</v>
      </c>
      <c r="F73" s="29" t="s">
        <v>144</v>
      </c>
      <c r="G73" s="29" t="s">
        <v>145</v>
      </c>
      <c r="H73" s="29" t="s">
        <v>146</v>
      </c>
      <c r="I73" s="29" t="s">
        <v>147</v>
      </c>
      <c r="J73" s="29" t="s">
        <v>148</v>
      </c>
      <c r="K73" s="29" t="s">
        <v>149</v>
      </c>
      <c r="L73" s="30" t="s">
        <v>150</v>
      </c>
      <c r="M73" s="30" t="s">
        <v>151</v>
      </c>
      <c r="N73" s="30" t="s">
        <v>152</v>
      </c>
      <c r="O73" s="30" t="s">
        <v>176</v>
      </c>
      <c r="P73" s="33" t="s">
        <v>177</v>
      </c>
      <c r="Q73" s="29" t="s">
        <v>155</v>
      </c>
      <c r="R73" s="30" t="s">
        <v>156</v>
      </c>
      <c r="S73" s="29" t="s">
        <v>157</v>
      </c>
      <c r="T73" s="29" t="s">
        <v>158</v>
      </c>
      <c r="U73" s="29" t="s">
        <v>159</v>
      </c>
      <c r="V73" s="45" t="s">
        <v>181</v>
      </c>
      <c r="W73" s="45" t="s">
        <v>182</v>
      </c>
      <c r="X73" s="45" t="s">
        <v>185</v>
      </c>
      <c r="Y73" s="45" t="s">
        <v>183</v>
      </c>
      <c r="Z73" s="45" t="s">
        <v>184</v>
      </c>
      <c r="AA73" s="45" t="s">
        <v>186</v>
      </c>
    </row>
    <row r="74" spans="1:27" x14ac:dyDescent="0.2">
      <c r="A74" s="44"/>
      <c r="B74" s="44"/>
      <c r="C74" s="44"/>
      <c r="D74" s="44"/>
      <c r="E74" s="44"/>
      <c r="F74" s="44"/>
      <c r="G74" s="44"/>
      <c r="H74" s="44"/>
      <c r="I74" s="44"/>
      <c r="J74" s="44"/>
      <c r="K74" s="44"/>
      <c r="L74" s="168"/>
      <c r="M74" s="101"/>
      <c r="N74" s="101"/>
      <c r="O74" s="102"/>
      <c r="P74" s="101"/>
      <c r="Q74" s="103"/>
      <c r="R74" s="101"/>
      <c r="S74" s="44"/>
      <c r="T74" s="44"/>
      <c r="U74" s="44"/>
      <c r="V74" s="44"/>
      <c r="W74" s="44"/>
      <c r="X74" s="44"/>
      <c r="Z74" s="44"/>
      <c r="AA74" s="44"/>
    </row>
    <row r="75" spans="1:27" x14ac:dyDescent="0.2">
      <c r="A75" s="44"/>
      <c r="B75" s="44"/>
      <c r="C75" s="44"/>
      <c r="D75" s="44"/>
      <c r="E75" s="44"/>
      <c r="F75" s="44"/>
      <c r="G75" s="44"/>
      <c r="H75" s="44"/>
      <c r="I75" s="44"/>
      <c r="J75" s="44"/>
      <c r="K75" s="44"/>
      <c r="L75" s="168"/>
      <c r="M75" s="101"/>
      <c r="N75" s="101"/>
      <c r="O75" s="102"/>
      <c r="P75" s="101"/>
      <c r="Q75" s="103"/>
      <c r="R75" s="101"/>
      <c r="S75" s="44"/>
      <c r="T75" s="44"/>
      <c r="U75" s="44"/>
      <c r="V75" s="44"/>
      <c r="W75" s="44"/>
      <c r="X75" s="44"/>
      <c r="Z75" s="44"/>
      <c r="AA75" s="44"/>
    </row>
    <row r="76" spans="1:27" x14ac:dyDescent="0.2">
      <c r="A76" s="44"/>
      <c r="B76" s="44"/>
      <c r="C76" s="44"/>
      <c r="D76" s="44"/>
      <c r="E76" s="44"/>
      <c r="F76" s="44"/>
      <c r="G76" s="44"/>
      <c r="H76" s="44"/>
      <c r="I76" s="44"/>
      <c r="J76" s="44"/>
      <c r="K76" s="44"/>
      <c r="L76" s="168"/>
      <c r="M76" s="101"/>
      <c r="N76" s="101"/>
      <c r="O76" s="102"/>
      <c r="P76" s="101"/>
      <c r="Q76" s="103"/>
      <c r="R76" s="101"/>
      <c r="S76" s="44"/>
      <c r="T76" s="44"/>
      <c r="U76" s="44"/>
      <c r="V76" s="44"/>
      <c r="W76" s="44"/>
      <c r="X76" s="44"/>
      <c r="Z76" s="44"/>
      <c r="AA76" s="44"/>
    </row>
    <row r="77" spans="1:27" x14ac:dyDescent="0.2">
      <c r="A77" s="44"/>
      <c r="B77" s="44"/>
      <c r="C77" s="44"/>
      <c r="D77" s="44"/>
      <c r="E77" s="44"/>
      <c r="F77" s="44"/>
      <c r="G77" s="44"/>
      <c r="H77" s="44"/>
      <c r="I77" s="44"/>
      <c r="J77" s="44"/>
      <c r="K77" s="44"/>
      <c r="L77" s="168"/>
      <c r="M77" s="101"/>
      <c r="N77" s="101"/>
      <c r="O77" s="102"/>
      <c r="P77" s="101"/>
      <c r="Q77" s="103"/>
      <c r="R77" s="101"/>
      <c r="S77" s="44"/>
      <c r="T77" s="44"/>
      <c r="U77" s="44"/>
      <c r="V77" s="44"/>
      <c r="W77" s="44"/>
      <c r="X77" s="44"/>
      <c r="Z77" s="44"/>
      <c r="AA77" s="44"/>
    </row>
    <row r="78" spans="1:27" x14ac:dyDescent="0.2">
      <c r="A78" s="44"/>
      <c r="B78" s="44"/>
      <c r="C78" s="44"/>
      <c r="D78" s="44"/>
      <c r="E78" s="44"/>
      <c r="F78" s="44"/>
      <c r="G78" s="44"/>
      <c r="H78" s="44"/>
      <c r="I78" s="44"/>
      <c r="J78" s="44"/>
      <c r="K78" s="44"/>
      <c r="L78" s="168"/>
      <c r="M78" s="101"/>
      <c r="N78" s="101"/>
      <c r="O78" s="102"/>
      <c r="P78" s="101"/>
      <c r="Q78" s="103"/>
      <c r="R78" s="101"/>
      <c r="S78" s="44"/>
      <c r="T78" s="44"/>
      <c r="U78" s="44"/>
      <c r="V78" s="44"/>
      <c r="W78" s="44"/>
      <c r="X78" s="44"/>
      <c r="Z78" s="44"/>
      <c r="AA78" s="44"/>
    </row>
    <row r="79" spans="1:27" x14ac:dyDescent="0.2">
      <c r="A79" s="44"/>
      <c r="B79" s="44"/>
      <c r="C79" s="44"/>
      <c r="D79" s="44"/>
      <c r="E79" s="44"/>
      <c r="F79" s="44"/>
      <c r="G79" s="44"/>
      <c r="H79" s="44"/>
      <c r="I79" s="44"/>
      <c r="J79" s="44"/>
      <c r="K79" s="44"/>
      <c r="L79" s="168"/>
      <c r="M79" s="101"/>
      <c r="N79" s="101"/>
      <c r="O79" s="102"/>
      <c r="P79" s="101"/>
      <c r="Q79" s="103"/>
      <c r="R79" s="101"/>
      <c r="S79" s="44"/>
      <c r="T79" s="44"/>
      <c r="U79" s="44"/>
      <c r="V79" s="44"/>
      <c r="W79" s="44"/>
      <c r="X79" s="44"/>
      <c r="Y79" s="44"/>
      <c r="Z79" s="44"/>
      <c r="AA79" s="44"/>
    </row>
    <row r="80" spans="1:27" x14ac:dyDescent="0.2">
      <c r="A80" s="44"/>
      <c r="B80" s="44"/>
      <c r="C80" s="44"/>
      <c r="D80" s="44"/>
      <c r="E80" s="44"/>
      <c r="F80" s="44"/>
      <c r="G80" s="44"/>
      <c r="H80" s="44"/>
      <c r="I80" s="44"/>
      <c r="J80" s="44"/>
      <c r="K80" s="44"/>
      <c r="L80" s="168"/>
      <c r="M80" s="101"/>
      <c r="N80" s="101"/>
      <c r="O80" s="102"/>
      <c r="P80" s="101"/>
      <c r="Q80" s="103"/>
      <c r="R80" s="101"/>
      <c r="S80" s="44"/>
      <c r="T80" s="44"/>
      <c r="U80" s="44"/>
      <c r="V80" s="44"/>
      <c r="W80" s="44"/>
      <c r="X80" s="44"/>
      <c r="Y80" s="44"/>
      <c r="Z80" s="44"/>
      <c r="AA80" s="44"/>
    </row>
    <row r="81" spans="1:27" x14ac:dyDescent="0.2">
      <c r="A81" s="44"/>
      <c r="B81" s="44"/>
      <c r="C81" s="44"/>
      <c r="D81" s="44"/>
      <c r="E81" s="44"/>
      <c r="F81" s="44"/>
      <c r="G81" s="44"/>
      <c r="H81" s="44"/>
      <c r="I81" s="44"/>
      <c r="J81" s="44"/>
      <c r="K81" s="44"/>
      <c r="L81" s="168"/>
      <c r="M81" s="101"/>
      <c r="N81" s="101"/>
      <c r="O81" s="102"/>
      <c r="P81" s="101"/>
      <c r="Q81" s="103"/>
      <c r="R81" s="101"/>
      <c r="S81" s="44"/>
      <c r="T81" s="44"/>
      <c r="U81" s="44"/>
      <c r="V81" s="44"/>
      <c r="W81" s="44"/>
      <c r="X81" s="44"/>
      <c r="Y81" s="44"/>
      <c r="Z81" s="44"/>
      <c r="AA81" s="44"/>
    </row>
    <row r="82" spans="1:27" x14ac:dyDescent="0.2">
      <c r="A82" s="44"/>
      <c r="B82" s="44"/>
      <c r="C82" s="44"/>
      <c r="D82" s="44"/>
      <c r="E82" s="44"/>
      <c r="F82" s="44"/>
      <c r="G82" s="44"/>
      <c r="H82" s="44"/>
      <c r="I82" s="44"/>
      <c r="J82" s="44"/>
      <c r="K82" s="44"/>
      <c r="L82" s="168"/>
      <c r="M82" s="101"/>
      <c r="N82" s="101"/>
      <c r="O82" s="102"/>
      <c r="P82" s="101"/>
      <c r="Q82" s="103"/>
      <c r="R82" s="101"/>
      <c r="S82" s="44"/>
      <c r="T82" s="44"/>
      <c r="U82" s="44"/>
      <c r="V82" s="44"/>
      <c r="W82" s="44"/>
      <c r="X82" s="44"/>
      <c r="Y82" s="44"/>
      <c r="Z82" s="44"/>
      <c r="AA82" s="44"/>
    </row>
    <row r="83" spans="1:27" x14ac:dyDescent="0.2">
      <c r="A83" s="44"/>
      <c r="B83" s="44"/>
      <c r="C83" s="44"/>
      <c r="D83" s="44"/>
      <c r="E83" s="44"/>
      <c r="F83" s="44"/>
      <c r="G83" s="44"/>
      <c r="H83" s="44"/>
      <c r="I83" s="44"/>
      <c r="J83" s="44"/>
      <c r="K83" s="44"/>
      <c r="L83" s="168"/>
      <c r="M83" s="101"/>
      <c r="N83" s="101"/>
      <c r="O83" s="102"/>
      <c r="P83" s="101"/>
      <c r="Q83" s="103"/>
      <c r="R83" s="101"/>
      <c r="S83" s="44"/>
      <c r="T83" s="44"/>
      <c r="U83" s="44"/>
      <c r="V83" s="44"/>
      <c r="W83" s="44"/>
      <c r="X83" s="44"/>
      <c r="Y83" s="44"/>
      <c r="Z83" s="44"/>
      <c r="AA83" s="44"/>
    </row>
    <row r="84" spans="1:27" x14ac:dyDescent="0.2">
      <c r="A84" s="44"/>
      <c r="B84" s="44"/>
      <c r="C84" s="44"/>
      <c r="D84" s="44"/>
      <c r="E84" s="44"/>
      <c r="F84" s="44"/>
      <c r="G84" s="44"/>
      <c r="H84" s="44"/>
      <c r="I84" s="44"/>
      <c r="J84" s="44"/>
      <c r="K84" s="44"/>
      <c r="L84" s="168"/>
      <c r="M84" s="101"/>
      <c r="N84" s="101"/>
      <c r="O84" s="102"/>
      <c r="P84" s="101"/>
      <c r="Q84" s="103"/>
      <c r="R84" s="101"/>
      <c r="S84" s="44"/>
      <c r="T84" s="44"/>
      <c r="U84" s="44"/>
      <c r="V84" s="44"/>
      <c r="W84" s="44"/>
      <c r="X84" s="44"/>
      <c r="Y84" s="44"/>
      <c r="Z84" s="44"/>
      <c r="AA84" s="44"/>
    </row>
    <row r="85" spans="1:27" x14ac:dyDescent="0.2">
      <c r="A85" s="44"/>
      <c r="B85" s="44"/>
      <c r="C85" s="44"/>
      <c r="D85" s="44"/>
      <c r="E85" s="44"/>
      <c r="F85" s="44"/>
      <c r="G85" s="44"/>
      <c r="H85" s="44"/>
      <c r="I85" s="44"/>
      <c r="J85" s="44"/>
      <c r="K85" s="44"/>
      <c r="L85" s="168"/>
      <c r="M85" s="101"/>
      <c r="N85" s="101"/>
      <c r="O85" s="102"/>
      <c r="P85" s="101"/>
      <c r="Q85" s="103"/>
      <c r="R85" s="101"/>
      <c r="S85" s="44"/>
      <c r="T85" s="44"/>
      <c r="U85" s="44"/>
      <c r="V85" s="44"/>
      <c r="W85" s="44"/>
      <c r="X85" s="44"/>
      <c r="Y85" s="44"/>
      <c r="Z85" s="44"/>
      <c r="AA85" s="44"/>
    </row>
    <row r="86" spans="1:27" x14ac:dyDescent="0.2">
      <c r="A86" s="75"/>
      <c r="B86" s="75"/>
      <c r="C86" s="75"/>
      <c r="D86" s="75"/>
      <c r="E86" s="75"/>
      <c r="F86" s="75"/>
      <c r="G86" s="75"/>
      <c r="H86" s="75"/>
      <c r="I86" s="75"/>
      <c r="J86" s="75"/>
      <c r="K86" s="75"/>
      <c r="L86" s="207"/>
      <c r="M86" s="76"/>
      <c r="N86" s="76"/>
      <c r="O86" s="77"/>
      <c r="P86" s="76"/>
      <c r="Q86" s="78"/>
      <c r="R86" s="76"/>
      <c r="S86" s="75"/>
      <c r="T86" s="75"/>
      <c r="U86" s="75"/>
      <c r="V86" s="75"/>
      <c r="W86" s="44"/>
      <c r="X86" s="75"/>
      <c r="Y86" s="75"/>
      <c r="Z86" s="75"/>
      <c r="AA86" s="75"/>
    </row>
    <row r="87" spans="1:27" x14ac:dyDescent="0.2">
      <c r="A87" s="44"/>
      <c r="B87" s="44"/>
      <c r="C87" s="44"/>
      <c r="D87" s="44"/>
      <c r="E87" s="44"/>
      <c r="F87" s="44"/>
      <c r="G87" s="44"/>
      <c r="H87" s="44"/>
      <c r="I87" s="44"/>
      <c r="J87" s="44"/>
      <c r="K87" s="44"/>
      <c r="L87" s="168"/>
      <c r="M87" s="101"/>
      <c r="N87" s="101"/>
      <c r="O87" s="102"/>
      <c r="P87" s="101"/>
      <c r="Q87" s="103"/>
      <c r="R87" s="101"/>
      <c r="S87" s="44"/>
      <c r="T87" s="44"/>
      <c r="U87" s="44"/>
      <c r="V87" s="44"/>
      <c r="W87" s="44"/>
      <c r="X87" s="44"/>
      <c r="Y87" s="44"/>
      <c r="Z87" s="44"/>
      <c r="AA87" s="44"/>
    </row>
    <row r="88" spans="1:27" x14ac:dyDescent="0.2">
      <c r="A88" s="44"/>
      <c r="B88" s="44"/>
      <c r="C88" s="44"/>
      <c r="D88" s="44"/>
      <c r="E88" s="44"/>
      <c r="F88" s="44"/>
      <c r="G88" s="44"/>
      <c r="H88" s="44"/>
      <c r="I88" s="44"/>
      <c r="J88" s="44"/>
      <c r="K88" s="44"/>
      <c r="L88" s="168"/>
      <c r="M88" s="101"/>
      <c r="N88" s="101"/>
      <c r="O88" s="102"/>
      <c r="P88" s="102"/>
      <c r="Q88" s="103"/>
      <c r="R88" s="101"/>
      <c r="S88" s="44"/>
      <c r="T88" s="44"/>
      <c r="U88" s="44"/>
      <c r="V88" s="44"/>
    </row>
    <row r="89" spans="1:27" ht="15" x14ac:dyDescent="0.25">
      <c r="A89" s="206"/>
      <c r="B89" s="206"/>
      <c r="C89" s="206"/>
      <c r="D89" s="206"/>
      <c r="E89" s="206"/>
      <c r="F89" s="206"/>
      <c r="G89" s="206"/>
      <c r="H89" s="206"/>
      <c r="I89" s="206"/>
      <c r="J89" s="206"/>
      <c r="K89" s="206"/>
      <c r="L89" s="206"/>
      <c r="M89" s="206"/>
      <c r="N89" s="206"/>
      <c r="O89" s="206"/>
      <c r="P89" s="206"/>
      <c r="Q89" s="206"/>
      <c r="R89" s="206"/>
      <c r="S89" s="206"/>
      <c r="T89" s="206"/>
      <c r="U89" s="206"/>
      <c r="V89" s="206"/>
      <c r="W89"/>
      <c r="X89"/>
      <c r="Y89"/>
      <c r="Z89"/>
      <c r="AA89"/>
    </row>
    <row r="90" spans="1:27" ht="15" x14ac:dyDescent="0.25">
      <c r="A90" s="206"/>
      <c r="B90" s="206"/>
      <c r="C90" s="206"/>
      <c r="D90" s="206"/>
      <c r="E90" s="206"/>
      <c r="F90" s="206"/>
      <c r="G90" s="206"/>
      <c r="H90" s="206"/>
      <c r="I90" s="206"/>
      <c r="J90" s="206"/>
      <c r="K90" s="206"/>
      <c r="L90" s="206"/>
      <c r="M90" s="206"/>
      <c r="N90" s="206"/>
      <c r="O90" s="206"/>
      <c r="P90" s="206"/>
      <c r="Q90" s="206"/>
      <c r="R90" s="206"/>
      <c r="S90" s="206"/>
      <c r="T90" s="206"/>
      <c r="U90" s="206"/>
      <c r="V90" s="206"/>
      <c r="W90"/>
      <c r="X90"/>
      <c r="Y90"/>
      <c r="Z90"/>
      <c r="AA90"/>
    </row>
    <row r="91" spans="1:27" ht="15" x14ac:dyDescent="0.25">
      <c r="A91" s="206"/>
      <c r="B91" s="206"/>
      <c r="C91" s="206"/>
      <c r="D91" s="206"/>
      <c r="E91" s="206"/>
      <c r="F91" s="206"/>
      <c r="G91" s="206"/>
      <c r="H91" s="206"/>
      <c r="I91" s="206"/>
      <c r="J91" s="206"/>
      <c r="K91" s="206"/>
      <c r="L91" s="206"/>
      <c r="M91" s="206"/>
      <c r="N91" s="206"/>
      <c r="O91" s="206"/>
      <c r="P91" s="206"/>
      <c r="Q91" s="206"/>
      <c r="R91" s="206"/>
      <c r="S91" s="206"/>
      <c r="T91" s="206"/>
      <c r="U91" s="206"/>
      <c r="V91" s="206"/>
      <c r="W91"/>
      <c r="X91"/>
      <c r="Y91"/>
      <c r="Z91"/>
      <c r="AA91"/>
    </row>
    <row r="92" spans="1:27" x14ac:dyDescent="0.2">
      <c r="A92" s="44"/>
      <c r="B92" s="44"/>
      <c r="C92" s="44"/>
      <c r="D92" s="44"/>
      <c r="E92" s="44"/>
      <c r="F92" s="44"/>
      <c r="G92" s="44"/>
      <c r="H92" s="44"/>
      <c r="I92" s="44"/>
      <c r="J92" s="44"/>
      <c r="K92" s="44"/>
      <c r="L92" s="168"/>
      <c r="M92" s="101"/>
      <c r="N92" s="101"/>
      <c r="O92" s="102"/>
      <c r="P92" s="102"/>
      <c r="Q92" s="103"/>
      <c r="R92" s="101"/>
      <c r="S92" s="44"/>
      <c r="T92" s="44"/>
      <c r="U92" s="44"/>
      <c r="V92" s="44"/>
    </row>
    <row r="93" spans="1:27" x14ac:dyDescent="0.2">
      <c r="A93" s="44"/>
      <c r="B93" s="44"/>
      <c r="C93" s="44"/>
      <c r="D93" s="44"/>
      <c r="E93" s="44"/>
      <c r="F93" s="44"/>
      <c r="G93" s="44"/>
      <c r="H93" s="44"/>
      <c r="I93" s="44"/>
      <c r="J93" s="44"/>
      <c r="K93" s="44"/>
      <c r="L93" s="168"/>
      <c r="M93" s="101"/>
      <c r="N93" s="101"/>
      <c r="O93" s="102"/>
      <c r="P93" s="102"/>
      <c r="Q93" s="103"/>
      <c r="R93" s="101"/>
      <c r="S93" s="44"/>
      <c r="T93" s="44"/>
      <c r="U93" s="44"/>
      <c r="V93" s="44"/>
    </row>
    <row r="94" spans="1:27" x14ac:dyDescent="0.2">
      <c r="L94" s="32"/>
      <c r="O94" s="34"/>
      <c r="P94" s="34"/>
      <c r="Q94" s="35"/>
    </row>
    <row r="95" spans="1:27" x14ac:dyDescent="0.2">
      <c r="L95" s="32"/>
      <c r="O95" s="34"/>
      <c r="P95" s="34"/>
      <c r="Q95" s="35"/>
    </row>
    <row r="96" spans="1:27" x14ac:dyDescent="0.2">
      <c r="L96" s="32"/>
      <c r="O96" s="34"/>
      <c r="P96" s="34"/>
      <c r="Q96" s="35"/>
    </row>
    <row r="97" spans="12:17" x14ac:dyDescent="0.2">
      <c r="L97" s="32"/>
      <c r="O97" s="34"/>
      <c r="P97" s="34"/>
      <c r="Q97" s="35"/>
    </row>
    <row r="98" spans="12:17" x14ac:dyDescent="0.2">
      <c r="L98" s="32"/>
      <c r="O98" s="34"/>
      <c r="P98" s="34"/>
      <c r="Q98" s="35"/>
    </row>
    <row r="99" spans="12:17" x14ac:dyDescent="0.2">
      <c r="L99" s="32"/>
      <c r="O99" s="34"/>
      <c r="P99" s="34"/>
      <c r="Q99" s="35"/>
    </row>
    <row r="100" spans="12:17" x14ac:dyDescent="0.2">
      <c r="L100" s="32"/>
      <c r="O100" s="34"/>
      <c r="P100" s="34"/>
      <c r="Q100" s="35"/>
    </row>
  </sheetData>
  <sheetProtection algorithmName="SHA-512" hashValue="yIUm5wt69v7E45T+7SlWuHTXu5hDcXPdbTvwq7QUIxCzKQoaZWti4YkWRcwNDQkqje7wpCU7XicTHlWNK/Mx1A==" saltValue="YLdaY9+QpJybcBLzOcsHDQ==" spinCount="100000" sheet="1" objects="1" scenarios="1"/>
  <pageMargins left="0.7" right="0.7" top="0.75" bottom="0.75" header="0.3" footer="0.3"/>
  <tableParts count="3">
    <tablePart r:id="rId1"/>
    <tablePart r:id="rId2"/>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pageSetUpPr fitToPage="1"/>
  </sheetPr>
  <dimension ref="A1:BZ203"/>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135" customWidth="1"/>
    <col min="46" max="46" width="4.7109375" style="135" hidden="1" customWidth="1"/>
    <col min="47" max="78" width="9.140625" style="135" hidden="1" customWidth="1"/>
    <col min="79" max="16384" width="9.140625" hidden="1"/>
  </cols>
  <sheetData>
    <row r="1" spans="2:78" ht="15.95" customHeight="1" x14ac:dyDescent="0.3">
      <c r="AH1" s="711" t="s">
        <v>494</v>
      </c>
      <c r="AI1" s="712"/>
      <c r="AJ1" s="712"/>
      <c r="AK1" s="712"/>
      <c r="AL1" s="723" t="s">
        <v>911</v>
      </c>
      <c r="AM1" s="723"/>
      <c r="AN1" s="723"/>
      <c r="AO1" s="723"/>
      <c r="AP1" s="723"/>
      <c r="AQ1" s="717" t="s">
        <v>499</v>
      </c>
      <c r="AR1" s="718"/>
    </row>
    <row r="2" spans="2:78" ht="15.95" customHeight="1" x14ac:dyDescent="0.25">
      <c r="AH2" s="713" t="str">
        <f ca="1">INCENSTATUS</f>
        <v>---</v>
      </c>
      <c r="AI2" s="714"/>
      <c r="AJ2" s="714"/>
      <c r="AK2" s="714"/>
      <c r="AL2" s="724" t="str">
        <f ca="1">PROJSTATUS</f>
        <v>Please Complete Initial Application</v>
      </c>
      <c r="AM2" s="724"/>
      <c r="AN2" s="724"/>
      <c r="AO2" s="724"/>
      <c r="AP2" s="724"/>
      <c r="AQ2" s="719">
        <f ca="1">PROGRESSSTATUS</f>
        <v>0</v>
      </c>
      <c r="AR2" s="720"/>
    </row>
    <row r="3" spans="2:78" ht="15.95" customHeight="1" x14ac:dyDescent="0.25">
      <c r="AH3" s="715"/>
      <c r="AI3" s="716"/>
      <c r="AJ3" s="716"/>
      <c r="AK3" s="716"/>
      <c r="AL3" s="725"/>
      <c r="AM3" s="725"/>
      <c r="AN3" s="725"/>
      <c r="AO3" s="725"/>
      <c r="AP3" s="725"/>
      <c r="AQ3" s="721"/>
      <c r="AR3" s="722"/>
    </row>
    <row r="4" spans="2:78" ht="15.95" customHeight="1" x14ac:dyDescent="0.25"/>
    <row r="5" spans="2:78" ht="15.95" customHeight="1" x14ac:dyDescent="0.25"/>
    <row r="6" spans="2:78" ht="15.95" customHeight="1" x14ac:dyDescent="0.25">
      <c r="AU6" s="145" t="s">
        <v>1372</v>
      </c>
      <c r="AV6" s="145">
        <f>PROJID</f>
        <v>0</v>
      </c>
    </row>
    <row r="7" spans="2:78" ht="15.95" customHeight="1" x14ac:dyDescent="0.25">
      <c r="AU7" s="219"/>
      <c r="AV7" s="219" t="s">
        <v>1184</v>
      </c>
      <c r="AW7" s="219" t="s">
        <v>249</v>
      </c>
      <c r="AX7" s="219" t="s">
        <v>1336</v>
      </c>
      <c r="AY7" s="219"/>
    </row>
    <row r="8" spans="2:78" ht="15.95" customHeight="1" x14ac:dyDescent="0.25">
      <c r="AU8" s="219" t="s">
        <v>237</v>
      </c>
      <c r="AV8" s="219" t="str">
        <f>CBPRESE</f>
        <v>NA</v>
      </c>
      <c r="AW8" s="219" t="str">
        <f>CBCUSE</f>
        <v>NA</v>
      </c>
      <c r="AX8" s="219" t="str">
        <f>CBALL</f>
        <v>NA</v>
      </c>
      <c r="AY8" s="219"/>
    </row>
    <row r="9" spans="2:78" s="63" customFormat="1" ht="15.95" customHeight="1" x14ac:dyDescent="0.25">
      <c r="B9" s="135"/>
      <c r="C9" s="135"/>
      <c r="D9" s="135"/>
      <c r="E9" s="135"/>
      <c r="F9" s="135"/>
      <c r="G9" s="135"/>
      <c r="H9" s="135"/>
      <c r="I9" s="135"/>
      <c r="J9" s="135"/>
      <c r="K9" s="135"/>
      <c r="L9" s="135"/>
      <c r="M9" s="135"/>
      <c r="N9" s="135"/>
      <c r="O9" s="135"/>
      <c r="P9" s="135"/>
      <c r="Q9" s="971" t="str">
        <f>CONCATENATE(M4S3," ","Summary")</f>
        <v>Commercial Cooking / Water Heating Summary</v>
      </c>
      <c r="R9" s="971"/>
      <c r="S9" s="971"/>
      <c r="T9" s="971"/>
      <c r="U9" s="971"/>
      <c r="V9" s="971"/>
      <c r="W9" s="971"/>
      <c r="X9" s="971"/>
      <c r="Y9" s="971"/>
      <c r="Z9" s="971"/>
      <c r="AA9" s="971"/>
      <c r="AB9" s="971"/>
      <c r="AC9" s="971"/>
      <c r="AD9" s="971"/>
      <c r="AE9" s="135"/>
      <c r="AF9" s="135"/>
      <c r="AG9" s="135"/>
      <c r="AH9" s="135"/>
      <c r="AI9" s="135"/>
      <c r="AJ9" s="135"/>
      <c r="AK9" s="135"/>
      <c r="AL9" s="135"/>
      <c r="AM9" s="135"/>
      <c r="AN9" s="135"/>
      <c r="AO9" s="135"/>
      <c r="AP9" s="135"/>
      <c r="AQ9" s="135"/>
      <c r="AR9" s="135"/>
      <c r="AS9" s="135"/>
      <c r="AT9" s="135"/>
      <c r="AU9" s="219"/>
      <c r="AV9" s="219"/>
      <c r="AW9" s="219"/>
      <c r="AX9" s="219"/>
      <c r="AY9" s="219"/>
      <c r="AZ9" s="135"/>
      <c r="BA9" s="135"/>
      <c r="BB9" s="135"/>
      <c r="BC9" s="135"/>
      <c r="BD9" s="135"/>
      <c r="BE9" s="135"/>
      <c r="BF9" s="135"/>
      <c r="BG9" s="135"/>
      <c r="BH9" s="135"/>
      <c r="BI9" s="135"/>
      <c r="BJ9" s="135"/>
      <c r="BK9" s="135"/>
      <c r="BL9" s="135"/>
      <c r="BM9" s="135"/>
      <c r="BN9" s="135"/>
      <c r="BO9" s="135"/>
      <c r="BP9" s="135"/>
      <c r="BQ9" s="135"/>
      <c r="BR9" s="135"/>
      <c r="BS9" s="135"/>
      <c r="BT9" s="135"/>
      <c r="BU9" s="135"/>
      <c r="BV9" s="135"/>
      <c r="BW9" s="135"/>
      <c r="BX9" s="135"/>
      <c r="BY9" s="135"/>
      <c r="BZ9" s="135"/>
    </row>
    <row r="10" spans="2:78" ht="15.95" customHeight="1" x14ac:dyDescent="0.25">
      <c r="B10" s="135"/>
      <c r="C10" s="135"/>
      <c r="D10" s="135"/>
      <c r="E10" s="135"/>
      <c r="F10" s="135"/>
      <c r="G10" s="135"/>
      <c r="H10" s="135"/>
      <c r="I10" s="135"/>
      <c r="J10" s="135"/>
      <c r="K10" s="135"/>
      <c r="L10" s="135"/>
      <c r="M10" s="135"/>
      <c r="N10" s="135"/>
      <c r="O10" s="135"/>
      <c r="P10" s="147"/>
      <c r="Q10" s="971"/>
      <c r="R10" s="971"/>
      <c r="S10" s="971"/>
      <c r="T10" s="971"/>
      <c r="U10" s="971"/>
      <c r="V10" s="971"/>
      <c r="W10" s="971"/>
      <c r="X10" s="971"/>
      <c r="Y10" s="971"/>
      <c r="Z10" s="971"/>
      <c r="AA10" s="971"/>
      <c r="AB10" s="971"/>
      <c r="AC10" s="971"/>
      <c r="AD10" s="971"/>
      <c r="AE10" s="147"/>
      <c r="AF10" s="147"/>
      <c r="AG10" s="135"/>
      <c r="AH10" s="135"/>
      <c r="AI10" s="135"/>
      <c r="AJ10" s="135"/>
      <c r="AK10" s="135"/>
      <c r="AL10" s="135"/>
      <c r="AM10" s="135"/>
      <c r="AN10" s="135"/>
      <c r="AO10" s="135"/>
      <c r="AP10" s="135"/>
      <c r="AQ10" s="135"/>
      <c r="AR10" s="135"/>
      <c r="AU10" s="219" t="s">
        <v>642</v>
      </c>
      <c r="AV10" s="219" t="str">
        <f>PAYPRESE</f>
        <v>NA</v>
      </c>
      <c r="AW10" s="219" t="str">
        <f>PAYCUSE</f>
        <v>NA</v>
      </c>
      <c r="AX10" s="219" t="str">
        <f>PAYALL</f>
        <v>NA</v>
      </c>
      <c r="AY10" s="219"/>
    </row>
    <row r="11" spans="2:78" ht="15.95" customHeight="1" x14ac:dyDescent="0.3">
      <c r="B11" s="135"/>
      <c r="C11" s="135"/>
      <c r="D11" s="135"/>
      <c r="E11" s="135"/>
      <c r="F11" s="135"/>
      <c r="G11" s="135"/>
      <c r="H11" s="135"/>
      <c r="I11" s="135"/>
      <c r="J11" s="135"/>
      <c r="K11" s="135"/>
      <c r="L11" s="135"/>
      <c r="M11" s="135"/>
      <c r="N11" s="135"/>
      <c r="O11" s="135"/>
      <c r="P11" s="135"/>
      <c r="Q11" s="135"/>
      <c r="R11" s="974" t="s">
        <v>69</v>
      </c>
      <c r="S11" s="974"/>
      <c r="T11" s="974"/>
      <c r="U11" s="974"/>
      <c r="V11" s="974" t="s">
        <v>70</v>
      </c>
      <c r="W11" s="974"/>
      <c r="X11" s="974"/>
      <c r="Y11" s="974"/>
      <c r="Z11" s="974" t="s">
        <v>71</v>
      </c>
      <c r="AA11" s="974"/>
      <c r="AB11" s="974"/>
      <c r="AC11" s="974"/>
      <c r="AD11" s="135"/>
      <c r="AE11" s="135"/>
      <c r="AF11" s="135"/>
      <c r="AG11" s="135"/>
      <c r="AH11" s="135"/>
      <c r="AI11" s="135"/>
      <c r="AJ11" s="135"/>
      <c r="AK11" s="135"/>
      <c r="AL11" s="135"/>
      <c r="AM11" s="135"/>
      <c r="AN11" s="135"/>
      <c r="AO11" s="135"/>
      <c r="AP11" s="135"/>
      <c r="AQ11" s="135"/>
      <c r="AR11" s="135"/>
      <c r="AU11" s="220" t="s">
        <v>1324</v>
      </c>
      <c r="AV11" s="145"/>
      <c r="AW11" s="145"/>
      <c r="AX11" s="145"/>
      <c r="AY11" s="145"/>
    </row>
    <row r="12" spans="2:78" ht="15.95" customHeight="1" x14ac:dyDescent="0.25">
      <c r="B12" s="135"/>
      <c r="C12" s="135"/>
      <c r="D12" s="135"/>
      <c r="E12" s="135"/>
      <c r="F12" s="135"/>
      <c r="G12" s="135"/>
      <c r="H12" s="135"/>
      <c r="I12" s="135"/>
      <c r="J12" s="135"/>
      <c r="K12" s="135"/>
      <c r="L12" s="135"/>
      <c r="M12" s="135"/>
      <c r="N12" s="135"/>
      <c r="O12" s="135"/>
      <c r="P12" s="135"/>
      <c r="Q12" s="135"/>
      <c r="R12" s="1113">
        <f>SUM(AK16:AN199)</f>
        <v>0</v>
      </c>
      <c r="S12" s="1113"/>
      <c r="T12" s="1113"/>
      <c r="U12" s="1113"/>
      <c r="V12" s="1113">
        <f>SUM(AH16:AJ199)</f>
        <v>0</v>
      </c>
      <c r="W12" s="1113"/>
      <c r="X12" s="1113"/>
      <c r="Y12" s="1113"/>
      <c r="Z12" s="1114">
        <f>SUM(AO16:AQ199)</f>
        <v>0</v>
      </c>
      <c r="AA12" s="1114"/>
      <c r="AB12" s="1114"/>
      <c r="AC12" s="1114"/>
      <c r="AD12" s="1337"/>
      <c r="AE12" s="1337"/>
      <c r="AF12" s="1337"/>
      <c r="AG12" s="1337"/>
      <c r="AH12" s="135"/>
      <c r="AI12" s="135"/>
      <c r="AJ12" s="135"/>
      <c r="AK12" s="135"/>
      <c r="AL12" s="135"/>
      <c r="AM12" s="135"/>
      <c r="AN12" s="135"/>
      <c r="AO12" s="135"/>
      <c r="AP12" s="135"/>
      <c r="AQ12" s="135"/>
      <c r="AR12" s="135"/>
    </row>
    <row r="13" spans="2:78" s="63" customFormat="1" ht="15.95" customHeight="1" x14ac:dyDescent="0.25">
      <c r="B13" s="135"/>
      <c r="C13" s="135"/>
      <c r="D13" s="135"/>
      <c r="E13" s="135"/>
      <c r="F13" s="135"/>
      <c r="G13" s="135"/>
      <c r="H13" s="135"/>
      <c r="I13" s="135"/>
      <c r="J13" s="135"/>
      <c r="K13" s="135"/>
      <c r="L13" s="135"/>
      <c r="M13" s="135"/>
      <c r="N13" s="135"/>
      <c r="O13" s="135"/>
      <c r="P13" s="135"/>
      <c r="Q13" s="135"/>
      <c r="R13" s="1113"/>
      <c r="S13" s="1113"/>
      <c r="T13" s="1113"/>
      <c r="U13" s="1113"/>
      <c r="V13" s="1113"/>
      <c r="W13" s="1113"/>
      <c r="X13" s="1113"/>
      <c r="Y13" s="1113"/>
      <c r="Z13" s="1114"/>
      <c r="AA13" s="1114"/>
      <c r="AB13" s="1114"/>
      <c r="AC13" s="1114"/>
      <c r="AD13" s="187"/>
      <c r="AE13" s="187"/>
      <c r="AF13" s="187"/>
      <c r="AG13" s="187"/>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row>
    <row r="14" spans="2:78" ht="15.95" customHeight="1" x14ac:dyDescent="0.25">
      <c r="B14" s="135"/>
      <c r="C14" s="1060" t="s">
        <v>1005</v>
      </c>
      <c r="D14" s="1060"/>
      <c r="E14" s="1060"/>
      <c r="F14" s="1060" t="s">
        <v>912</v>
      </c>
      <c r="G14" s="1060"/>
      <c r="H14" s="1060"/>
      <c r="I14" s="1060"/>
      <c r="J14" s="1060"/>
      <c r="K14" s="1060"/>
      <c r="L14" s="1060" t="s">
        <v>909</v>
      </c>
      <c r="M14" s="1060"/>
      <c r="N14" s="1060"/>
      <c r="O14" s="1060"/>
      <c r="P14" s="1060"/>
      <c r="Q14" s="1060" t="s">
        <v>91</v>
      </c>
      <c r="R14" s="1060"/>
      <c r="S14" s="1115" t="s">
        <v>107</v>
      </c>
      <c r="T14" s="1115"/>
      <c r="U14" s="1060" t="s">
        <v>252</v>
      </c>
      <c r="V14" s="1060"/>
      <c r="W14" s="1060"/>
      <c r="X14" s="1060"/>
      <c r="Y14" s="1060"/>
      <c r="Z14" s="1060" t="s">
        <v>91</v>
      </c>
      <c r="AA14" s="1060"/>
      <c r="AB14" s="1115" t="s">
        <v>107</v>
      </c>
      <c r="AC14" s="1115"/>
      <c r="AD14" s="1060" t="s">
        <v>103</v>
      </c>
      <c r="AE14" s="1060"/>
      <c r="AF14" s="1060"/>
      <c r="AG14" s="1060"/>
      <c r="AH14" s="1060" t="s">
        <v>103</v>
      </c>
      <c r="AI14" s="1060"/>
      <c r="AJ14" s="1060"/>
      <c r="AK14" s="1060" t="s">
        <v>102</v>
      </c>
      <c r="AL14" s="1060"/>
      <c r="AM14" s="1060"/>
      <c r="AN14" s="1060"/>
      <c r="AO14" s="1060" t="s">
        <v>109</v>
      </c>
      <c r="AP14" s="1060"/>
      <c r="AQ14" s="1060"/>
      <c r="AR14" s="135"/>
      <c r="AS14" s="145"/>
      <c r="AT14" s="145"/>
      <c r="AU14" s="1012" t="s">
        <v>237</v>
      </c>
      <c r="AV14" s="1012" t="s">
        <v>643</v>
      </c>
      <c r="AW14" s="1012" t="s">
        <v>637</v>
      </c>
      <c r="AX14" s="1012" t="s">
        <v>152</v>
      </c>
      <c r="AY14" s="1012" t="s">
        <v>141</v>
      </c>
      <c r="AZ14" s="1012" t="s">
        <v>249</v>
      </c>
      <c r="BA14" s="1012" t="s">
        <v>910</v>
      </c>
      <c r="BB14" s="1012" t="s">
        <v>642</v>
      </c>
      <c r="BC14" s="1012" t="s">
        <v>521</v>
      </c>
    </row>
    <row r="15" spans="2:78" ht="15.95" customHeight="1" thickBot="1" x14ac:dyDescent="0.3">
      <c r="B15" s="135"/>
      <c r="C15" s="1061"/>
      <c r="D15" s="1061"/>
      <c r="E15" s="1061"/>
      <c r="F15" s="1061"/>
      <c r="G15" s="1061"/>
      <c r="H15" s="1061"/>
      <c r="I15" s="1061"/>
      <c r="J15" s="1061"/>
      <c r="K15" s="1061"/>
      <c r="L15" s="1061"/>
      <c r="M15" s="1061"/>
      <c r="N15" s="1061"/>
      <c r="O15" s="1061"/>
      <c r="P15" s="1061"/>
      <c r="Q15" s="1061"/>
      <c r="R15" s="1061"/>
      <c r="S15" s="1116"/>
      <c r="T15" s="1116"/>
      <c r="U15" s="1061"/>
      <c r="V15" s="1061"/>
      <c r="W15" s="1061"/>
      <c r="X15" s="1061"/>
      <c r="Y15" s="1061"/>
      <c r="Z15" s="1061"/>
      <c r="AA15" s="1061"/>
      <c r="AB15" s="1116"/>
      <c r="AC15" s="1116"/>
      <c r="AD15" s="1061" t="s">
        <v>104</v>
      </c>
      <c r="AE15" s="1061"/>
      <c r="AF15" s="1061" t="s">
        <v>105</v>
      </c>
      <c r="AG15" s="1061"/>
      <c r="AH15" s="1061"/>
      <c r="AI15" s="1061"/>
      <c r="AJ15" s="1061"/>
      <c r="AK15" s="1061"/>
      <c r="AL15" s="1061"/>
      <c r="AM15" s="1061"/>
      <c r="AN15" s="1061"/>
      <c r="AO15" s="1061"/>
      <c r="AP15" s="1061"/>
      <c r="AQ15" s="1061"/>
      <c r="AR15" s="135"/>
      <c r="AS15" s="145"/>
      <c r="AT15" s="145"/>
      <c r="AU15" s="1013"/>
      <c r="AV15" s="1013"/>
      <c r="AW15" s="1013"/>
      <c r="AX15" s="1013"/>
      <c r="AY15" s="1013"/>
      <c r="AZ15" s="1013"/>
      <c r="BA15" s="1013"/>
      <c r="BB15" s="1013"/>
      <c r="BC15" s="1013"/>
    </row>
    <row r="16" spans="2:78" ht="15.95" customHeight="1" x14ac:dyDescent="0.25">
      <c r="B16" s="1064">
        <v>1</v>
      </c>
      <c r="C16" s="1103"/>
      <c r="D16" s="1103"/>
      <c r="E16" s="1103"/>
      <c r="F16" s="1111"/>
      <c r="G16" s="1111"/>
      <c r="H16" s="1111"/>
      <c r="I16" s="1111"/>
      <c r="J16" s="1111"/>
      <c r="K16" s="1111"/>
      <c r="L16" s="1111"/>
      <c r="M16" s="1111"/>
      <c r="N16" s="1111"/>
      <c r="O16" s="1111"/>
      <c r="P16" s="1111"/>
      <c r="Q16" s="1105"/>
      <c r="R16" s="1105"/>
      <c r="S16" s="1107"/>
      <c r="T16" s="1108"/>
      <c r="U16" s="1030"/>
      <c r="V16" s="1111"/>
      <c r="W16" s="1111"/>
      <c r="X16" s="1111"/>
      <c r="Y16" s="1111"/>
      <c r="Z16" s="1105"/>
      <c r="AA16" s="1105"/>
      <c r="AB16" s="1107"/>
      <c r="AC16" s="1120"/>
      <c r="AD16" s="1049"/>
      <c r="AE16" s="1135"/>
      <c r="AF16" s="1135"/>
      <c r="AG16" s="1136"/>
      <c r="AH16" s="1027" t="str">
        <f>IF(OR(C16="",F16="",L16="",Q16="",S16="",U16="",Z16="",AB16="",AD16="",AF16=""),"",ROUND(AD16+AF16,2))</f>
        <v/>
      </c>
      <c r="AI16" s="1128"/>
      <c r="AJ16" s="1128"/>
      <c r="AK16" s="1131" t="str">
        <f>IF(OR(C16="",F16="",L16="",Q16="",S16="",U16="",Z16="",AB16="",AD16="",AF16=""),"",IF(BC16&lt;&gt;"",BC16,IF(C16="New/Replace Failed Equip.",BA16,AZ16)))</f>
        <v/>
      </c>
      <c r="AL16" s="1131"/>
      <c r="AM16" s="1131"/>
      <c r="AN16" s="1131"/>
      <c r="AO16" s="1133" t="str">
        <f>IF(OR(C16="",F16="",L16="",Q16="",S16="",U16="",Z16="",AB16="",AD16="",AF16=""),"",IF((Q16*S16)-(Z16*AB16)&lt;=0,0,ROUND((Q16*S16)-(Z16*AB16),0)))</f>
        <v/>
      </c>
      <c r="AP16" s="1133"/>
      <c r="AQ16" s="1133"/>
      <c r="AR16" s="135"/>
      <c r="AS16" s="145"/>
      <c r="AT16" s="145"/>
      <c r="AU16" s="1124" t="str">
        <f>IFERROR(IF(OR(C16="",F16="",L16="",Q16="",S16="",U16="",Z16="",AB16="",AD16="",AF16=""),"",((1+ELOSS)*PEAKTD*(1+INDEX(ELECCB[Capacity Reserve Margin],MATCH(AX16,ELECCB[Year Number],0)))*((AO16*INDEX(ELECCB[NPV AEC $/kWh],MATCH(AX16,ELECCB[Year Number],1)))+(AV16*INDEX(ELECCB[NPV ACC+T&amp;D $/kW],MATCH(AX16,ELECCB[Year Number],1))))/AH16)),0)</f>
        <v/>
      </c>
      <c r="AV16" s="1141" t="str">
        <f>IF(OR(C16="",F16="",L16="",Q16="",S16="",U16="",Z16="",AB16="",AD16="",AF16=""),"",ROUND(AO16*INDEX(ENDUSEALL[Factor],MATCH(AW16,ENDUSEALL[End Use to Coincident Peak Demand Factors],0)),4))</f>
        <v/>
      </c>
      <c r="AW16" s="987" t="str">
        <f>IF(OR(C16="",F16="",L16="",Q16="",S16="",U16="",Z16="",AB16="",AD16="",AF16=""),"",INDEX(CMECOOK[End Use Category],MATCH(F16,CMECOOK[Proj Desc 1],0)))</f>
        <v/>
      </c>
      <c r="AX16" s="1126" t="str">
        <f>IF(OR(C16="",F16="",L16="",Q16="",S16="",U16="",Z16="",AB16="",AD16="",AF16=""),"",INDEX(CMECOOK[EUL],MATCH(F16,CMECOOK[Proj Desc 1],0)))</f>
        <v/>
      </c>
      <c r="AY16" s="1122" t="str">
        <f>IF(OR(C16="",F16="",L16="",Q16="",S16="",U16="",Z16="",AB16="",AD16="",AF16=""),"",INDEX(CMECOOK[Measure Number],MATCH(F16,CMECOOK[Proj Desc 1],0)))</f>
        <v/>
      </c>
      <c r="AZ16" s="1118" t="str">
        <f>IFERROR(ROUND(MIN(AH16*0.5,AO16*INDEX(ENDUSEALL[Inc Rate],MATCH(AW16,ENDUSEALL[End Use to Coincident Peak Demand Factors],0))),2),"")</f>
        <v/>
      </c>
      <c r="BA16" s="1118" t="str">
        <f>IFERROR(ROUND(MIN(AH16,AO16*INDEX(ENDUSEALL[Inc Rate],MATCH(AW16,ENDUSEALL[End Use to Coincident Peak Demand Factors],0))),2),"")</f>
        <v/>
      </c>
      <c r="BB16" s="1118" t="str">
        <f>IFERROR(AH16/M02S02F35/AO16,"")</f>
        <v/>
      </c>
      <c r="BC16" s="1118" t="str">
        <f>IFERROR(IF((Q16*S16)-(Z16*AB16)&lt;=0,MEASURESAV,IF(M02S02F35="",MEASURERATE, IF(AH16/M02S02F35/AO16&lt;1,MEASUREPAY,IF(AU16&lt;1,MEASURECB,"")))),MEASURESUBMIT)</f>
        <v>Submit for Review</v>
      </c>
    </row>
    <row r="17" spans="2:55" ht="15.95" customHeight="1" x14ac:dyDescent="0.25">
      <c r="B17" s="1064"/>
      <c r="C17" s="1104"/>
      <c r="D17" s="1104"/>
      <c r="E17" s="1104"/>
      <c r="F17" s="1112"/>
      <c r="G17" s="1112"/>
      <c r="H17" s="1112"/>
      <c r="I17" s="1112"/>
      <c r="J17" s="1112"/>
      <c r="K17" s="1112"/>
      <c r="L17" s="1112"/>
      <c r="M17" s="1112"/>
      <c r="N17" s="1112"/>
      <c r="O17" s="1112"/>
      <c r="P17" s="1112"/>
      <c r="Q17" s="1106"/>
      <c r="R17" s="1106"/>
      <c r="S17" s="1109"/>
      <c r="T17" s="1110"/>
      <c r="U17" s="1033"/>
      <c r="V17" s="1112"/>
      <c r="W17" s="1112"/>
      <c r="X17" s="1112"/>
      <c r="Y17" s="1112"/>
      <c r="Z17" s="1106"/>
      <c r="AA17" s="1106"/>
      <c r="AB17" s="1109"/>
      <c r="AC17" s="1121"/>
      <c r="AD17" s="1051"/>
      <c r="AE17" s="1137"/>
      <c r="AF17" s="1137"/>
      <c r="AG17" s="1138"/>
      <c r="AH17" s="1129"/>
      <c r="AI17" s="1130"/>
      <c r="AJ17" s="1130"/>
      <c r="AK17" s="1132"/>
      <c r="AL17" s="1132"/>
      <c r="AM17" s="1132"/>
      <c r="AN17" s="1132"/>
      <c r="AO17" s="1134"/>
      <c r="AP17" s="1134"/>
      <c r="AQ17" s="1134"/>
      <c r="AR17" s="135"/>
      <c r="AS17" s="145"/>
      <c r="AT17" s="145"/>
      <c r="AU17" s="1125"/>
      <c r="AV17" s="1142"/>
      <c r="AW17" s="988"/>
      <c r="AX17" s="1127"/>
      <c r="AY17" s="1123"/>
      <c r="AZ17" s="1119"/>
      <c r="BA17" s="1119"/>
      <c r="BB17" s="1119"/>
      <c r="BC17" s="1119"/>
    </row>
    <row r="18" spans="2:55" ht="15.95" customHeight="1" x14ac:dyDescent="0.25">
      <c r="B18" s="1063">
        <v>2</v>
      </c>
      <c r="C18" s="1103"/>
      <c r="D18" s="1103"/>
      <c r="E18" s="1103"/>
      <c r="F18" s="1111"/>
      <c r="G18" s="1111"/>
      <c r="H18" s="1111"/>
      <c r="I18" s="1111"/>
      <c r="J18" s="1111"/>
      <c r="K18" s="1111"/>
      <c r="L18" s="1111"/>
      <c r="M18" s="1111"/>
      <c r="N18" s="1111"/>
      <c r="O18" s="1111"/>
      <c r="P18" s="1111"/>
      <c r="Q18" s="1105"/>
      <c r="R18" s="1105"/>
      <c r="S18" s="1107"/>
      <c r="T18" s="1108"/>
      <c r="U18" s="1030"/>
      <c r="V18" s="1111"/>
      <c r="W18" s="1111"/>
      <c r="X18" s="1111"/>
      <c r="Y18" s="1111"/>
      <c r="Z18" s="1105"/>
      <c r="AA18" s="1105"/>
      <c r="AB18" s="1107"/>
      <c r="AC18" s="1120"/>
      <c r="AD18" s="1049"/>
      <c r="AE18" s="1135"/>
      <c r="AF18" s="1135"/>
      <c r="AG18" s="1136"/>
      <c r="AH18" s="1027" t="str">
        <f t="shared" ref="AH18" si="0">IF(OR(C18="",F18="",L18="",Q18="",S18="",U18="",Z18="",AB18="",AD18="",AF18=""),"",ROUND(AD18+AF18,2))</f>
        <v/>
      </c>
      <c r="AI18" s="1128"/>
      <c r="AJ18" s="1128"/>
      <c r="AK18" s="1131" t="str">
        <f t="shared" ref="AK18" si="1">IF(OR(C18="",F18="",L18="",Q18="",S18="",U18="",Z18="",AB18="",AD18="",AF18=""),"",IF(BC18&lt;&gt;"",BC18,IF(C18="New/Replace Failed Equip.",BA18,AZ18)))</f>
        <v/>
      </c>
      <c r="AL18" s="1131"/>
      <c r="AM18" s="1131"/>
      <c r="AN18" s="1131"/>
      <c r="AO18" s="1133" t="str">
        <f t="shared" ref="AO18" si="2">IF(OR(C18="",F18="",L18="",Q18="",S18="",U18="",Z18="",AB18="",AD18="",AF18=""),"",IF((Q18*S18)-(Z18*AB18)&lt;=0,0,ROUND((Q18*S18)-(Z18*AB18),0)))</f>
        <v/>
      </c>
      <c r="AP18" s="1133"/>
      <c r="AQ18" s="1133"/>
      <c r="AR18" s="135"/>
      <c r="AS18" s="145"/>
      <c r="AT18" s="145"/>
      <c r="AU18" s="1124" t="str">
        <f>IFERROR(IF(OR(C18="",F18="",L18="",Q18="",S18="",U18="",Z18="",AB18="",AD18="",AF18=""),"",((1+ELOSS)*PEAKTD*(1+INDEX(ELECCB[Capacity Reserve Margin],MATCH(AX18,ELECCB[Year Number],0)))*((AO18*INDEX(ELECCB[NPV AEC $/kWh],MATCH(AX18,ELECCB[Year Number],1)))+(AV18*INDEX(ELECCB[NPV ACC+T&amp;D $/kW],MATCH(AX18,ELECCB[Year Number],1))))/AH18)),0)</f>
        <v/>
      </c>
      <c r="AV18" s="1141" t="str">
        <f>IF(OR(C18="",F18="",L18="",Q18="",S18="",U18="",Z18="",AB18="",AD18="",AF18=""),"",ROUND(AO18*INDEX(ENDUSEALL[Factor],MATCH(AW18,ENDUSEALL[End Use to Coincident Peak Demand Factors],0)),4))</f>
        <v/>
      </c>
      <c r="AW18" s="987" t="str">
        <f>IF(OR(C18="",F18="",L18="",Q18="",S18="",U18="",Z18="",AB18="",AD18="",AF18=""),"",INDEX(CMECOOK[End Use Category],MATCH(F18,CMECOOK[Proj Desc 1],0)))</f>
        <v/>
      </c>
      <c r="AX18" s="1126" t="str">
        <f>IF(OR(C18="",F18="",L18="",Q18="",S18="",U18="",Z18="",AB18="",AD18="",AF18=""),"",INDEX(CMECOOK[EUL],MATCH(F18,CMECOOK[Proj Desc 1],0)))</f>
        <v/>
      </c>
      <c r="AY18" s="1122" t="str">
        <f>IF(OR(C18="",F18="",L18="",Q18="",S18="",U18="",Z18="",AB18="",AD18="",AF18=""),"",INDEX(CMECOOK[Measure Number],MATCH(F18,CMECOOK[Proj Desc 1],0)))</f>
        <v/>
      </c>
      <c r="AZ18" s="1118" t="str">
        <f>IFERROR(ROUND(MIN(AH18*0.5,AO18*INDEX(ENDUSEALL[Inc Rate],MATCH(AW18,ENDUSEALL[End Use to Coincident Peak Demand Factors],0))),2),"")</f>
        <v/>
      </c>
      <c r="BA18" s="1118" t="str">
        <f>IFERROR(ROUND(MIN(AH18,AO18*INDEX(ENDUSEALL[Inc Rate],MATCH(AW18,ENDUSEALL[End Use to Coincident Peak Demand Factors],0))),2),"")</f>
        <v/>
      </c>
      <c r="BB18" s="1118" t="str">
        <f>IFERROR(AH18/M02S02F35/AO18,"")</f>
        <v/>
      </c>
      <c r="BC18" s="1118" t="str">
        <f>IFERROR(IF((Q18*S18)-(Z18*AB18)&lt;=0,MEASURESAV,IF(M02S02F35="",MEASURERATE, IF(AH18/M02S02F35/AO18&lt;1,MEASUREPAY,IF(AU18&lt;1,MEASURECB,"")))),MEASURESUBMIT)</f>
        <v>Submit for Review</v>
      </c>
    </row>
    <row r="19" spans="2:55" ht="15.95" customHeight="1" x14ac:dyDescent="0.25">
      <c r="B19" s="1063"/>
      <c r="C19" s="1104"/>
      <c r="D19" s="1104"/>
      <c r="E19" s="1104"/>
      <c r="F19" s="1112"/>
      <c r="G19" s="1112"/>
      <c r="H19" s="1112"/>
      <c r="I19" s="1112"/>
      <c r="J19" s="1112"/>
      <c r="K19" s="1112"/>
      <c r="L19" s="1112"/>
      <c r="M19" s="1112"/>
      <c r="N19" s="1112"/>
      <c r="O19" s="1112"/>
      <c r="P19" s="1112"/>
      <c r="Q19" s="1106"/>
      <c r="R19" s="1106"/>
      <c r="S19" s="1109"/>
      <c r="T19" s="1110"/>
      <c r="U19" s="1033"/>
      <c r="V19" s="1112"/>
      <c r="W19" s="1112"/>
      <c r="X19" s="1112"/>
      <c r="Y19" s="1112"/>
      <c r="Z19" s="1106"/>
      <c r="AA19" s="1106"/>
      <c r="AB19" s="1109"/>
      <c r="AC19" s="1121"/>
      <c r="AD19" s="1051"/>
      <c r="AE19" s="1137"/>
      <c r="AF19" s="1137"/>
      <c r="AG19" s="1138"/>
      <c r="AH19" s="1129"/>
      <c r="AI19" s="1130"/>
      <c r="AJ19" s="1130"/>
      <c r="AK19" s="1132"/>
      <c r="AL19" s="1132"/>
      <c r="AM19" s="1132"/>
      <c r="AN19" s="1132"/>
      <c r="AO19" s="1134"/>
      <c r="AP19" s="1134"/>
      <c r="AQ19" s="1134"/>
      <c r="AR19" s="135"/>
      <c r="AS19" s="145"/>
      <c r="AT19" s="145"/>
      <c r="AU19" s="1125"/>
      <c r="AV19" s="1142"/>
      <c r="AW19" s="988"/>
      <c r="AX19" s="1127"/>
      <c r="AY19" s="1123"/>
      <c r="AZ19" s="1119"/>
      <c r="BA19" s="1119"/>
      <c r="BB19" s="1119"/>
      <c r="BC19" s="1119"/>
    </row>
    <row r="20" spans="2:55" ht="15.95" customHeight="1" x14ac:dyDescent="0.25">
      <c r="B20" s="1063">
        <v>3</v>
      </c>
      <c r="C20" s="1103"/>
      <c r="D20" s="1103"/>
      <c r="E20" s="1103"/>
      <c r="F20" s="1111"/>
      <c r="G20" s="1111"/>
      <c r="H20" s="1111"/>
      <c r="I20" s="1111"/>
      <c r="J20" s="1111"/>
      <c r="K20" s="1111"/>
      <c r="L20" s="1111"/>
      <c r="M20" s="1111"/>
      <c r="N20" s="1111"/>
      <c r="O20" s="1111"/>
      <c r="P20" s="1111"/>
      <c r="Q20" s="1105"/>
      <c r="R20" s="1105"/>
      <c r="S20" s="1107"/>
      <c r="T20" s="1108"/>
      <c r="U20" s="1030"/>
      <c r="V20" s="1111"/>
      <c r="W20" s="1111"/>
      <c r="X20" s="1111"/>
      <c r="Y20" s="1111"/>
      <c r="Z20" s="1105"/>
      <c r="AA20" s="1105"/>
      <c r="AB20" s="1107"/>
      <c r="AC20" s="1120"/>
      <c r="AD20" s="1049"/>
      <c r="AE20" s="1135"/>
      <c r="AF20" s="1135"/>
      <c r="AG20" s="1136"/>
      <c r="AH20" s="1027" t="str">
        <f t="shared" ref="AH20" si="3">IF(OR(C20="",F20="",L20="",Q20="",S20="",U20="",Z20="",AB20="",AD20="",AF20=""),"",ROUND(AD20+AF20,2))</f>
        <v/>
      </c>
      <c r="AI20" s="1128"/>
      <c r="AJ20" s="1128"/>
      <c r="AK20" s="1131" t="str">
        <f t="shared" ref="AK20" si="4">IF(OR(C20="",F20="",L20="",Q20="",S20="",U20="",Z20="",AB20="",AD20="",AF20=""),"",IF(BC20&lt;&gt;"",BC20,IF(C20="New/Replace Failed Equip.",BA20,AZ20)))</f>
        <v/>
      </c>
      <c r="AL20" s="1131"/>
      <c r="AM20" s="1131"/>
      <c r="AN20" s="1131"/>
      <c r="AO20" s="1133" t="str">
        <f t="shared" ref="AO20" si="5">IF(OR(C20="",F20="",L20="",Q20="",S20="",U20="",Z20="",AB20="",AD20="",AF20=""),"",IF((Q20*S20)-(Z20*AB20)&lt;=0,0,ROUND((Q20*S20)-(Z20*AB20),0)))</f>
        <v/>
      </c>
      <c r="AP20" s="1133"/>
      <c r="AQ20" s="1133"/>
      <c r="AR20" s="135"/>
      <c r="AS20" s="145"/>
      <c r="AT20" s="145"/>
      <c r="AU20" s="1124" t="str">
        <f>IFERROR(IF(OR(C20="",F20="",L20="",Q20="",S20="",U20="",Z20="",AB20="",AD20="",AF20=""),"",((1+ELOSS)*PEAKTD*(1+INDEX(ELECCB[Capacity Reserve Margin],MATCH(AX20,ELECCB[Year Number],0)))*((AO20*INDEX(ELECCB[NPV AEC $/kWh],MATCH(AX20,ELECCB[Year Number],1)))+(AV20*INDEX(ELECCB[NPV ACC+T&amp;D $/kW],MATCH(AX20,ELECCB[Year Number],1))))/AH20)),0)</f>
        <v/>
      </c>
      <c r="AV20" s="1141" t="str">
        <f>IF(OR(C20="",F20="",L20="",Q20="",S20="",U20="",Z20="",AB20="",AD20="",AF20=""),"",ROUND(AO20*INDEX(ENDUSEALL[Factor],MATCH(AW20,ENDUSEALL[End Use to Coincident Peak Demand Factors],0)),4))</f>
        <v/>
      </c>
      <c r="AW20" s="987" t="str">
        <f>IF(OR(C20="",F20="",L20="",Q20="",S20="",U20="",Z20="",AB20="",AD20="",AF20=""),"",INDEX(CMECOOK[End Use Category],MATCH(F20,CMECOOK[Proj Desc 1],0)))</f>
        <v/>
      </c>
      <c r="AX20" s="1126" t="str">
        <f>IF(OR(C20="",F20="",L20="",Q20="",S20="",U20="",Z20="",AB20="",AD20="",AF20=""),"",INDEX(CMECOOK[EUL],MATCH(F20,CMECOOK[Proj Desc 1],0)))</f>
        <v/>
      </c>
      <c r="AY20" s="1122" t="str">
        <f>IF(OR(C20="",F20="",L20="",Q20="",S20="",U20="",Z20="",AB20="",AD20="",AF20=""),"",INDEX(CMECOOK[Measure Number],MATCH(F20,CMECOOK[Proj Desc 1],0)))</f>
        <v/>
      </c>
      <c r="AZ20" s="1118" t="str">
        <f>IFERROR(ROUND(MIN(AH20*0.5,AO20*INDEX(ENDUSEALL[Inc Rate],MATCH(AW20,ENDUSEALL[End Use to Coincident Peak Demand Factors],0))),2),"")</f>
        <v/>
      </c>
      <c r="BA20" s="1118" t="str">
        <f>IFERROR(ROUND(MIN(AH20,AO20*INDEX(ENDUSEALL[Inc Rate],MATCH(AW20,ENDUSEALL[End Use to Coincident Peak Demand Factors],0))),2),"")</f>
        <v/>
      </c>
      <c r="BB20" s="1118" t="str">
        <f>IFERROR(AH20/M02S02F35/AO20,"")</f>
        <v/>
      </c>
      <c r="BC20" s="1118" t="str">
        <f>IFERROR(IF((Q20*S20)-(Z20*AB20)&lt;=0,MEASURESAV,IF(M02S02F35="",MEASURERATE, IF(AH20/M02S02F35/AO20&lt;1,MEASUREPAY,IF(AU20&lt;1,MEASURECB,"")))),MEASURESUBMIT)</f>
        <v>Submit for Review</v>
      </c>
    </row>
    <row r="21" spans="2:55" ht="15.95" customHeight="1" x14ac:dyDescent="0.25">
      <c r="B21" s="1063"/>
      <c r="C21" s="1104"/>
      <c r="D21" s="1104"/>
      <c r="E21" s="1104"/>
      <c r="F21" s="1112"/>
      <c r="G21" s="1112"/>
      <c r="H21" s="1112"/>
      <c r="I21" s="1112"/>
      <c r="J21" s="1112"/>
      <c r="K21" s="1112"/>
      <c r="L21" s="1112"/>
      <c r="M21" s="1112"/>
      <c r="N21" s="1112"/>
      <c r="O21" s="1112"/>
      <c r="P21" s="1112"/>
      <c r="Q21" s="1106"/>
      <c r="R21" s="1106"/>
      <c r="S21" s="1109"/>
      <c r="T21" s="1110"/>
      <c r="U21" s="1033"/>
      <c r="V21" s="1112"/>
      <c r="W21" s="1112"/>
      <c r="X21" s="1112"/>
      <c r="Y21" s="1112"/>
      <c r="Z21" s="1106"/>
      <c r="AA21" s="1106"/>
      <c r="AB21" s="1109"/>
      <c r="AC21" s="1121"/>
      <c r="AD21" s="1051"/>
      <c r="AE21" s="1137"/>
      <c r="AF21" s="1137"/>
      <c r="AG21" s="1138"/>
      <c r="AH21" s="1129"/>
      <c r="AI21" s="1130"/>
      <c r="AJ21" s="1130"/>
      <c r="AK21" s="1132"/>
      <c r="AL21" s="1132"/>
      <c r="AM21" s="1132"/>
      <c r="AN21" s="1132"/>
      <c r="AO21" s="1134"/>
      <c r="AP21" s="1134"/>
      <c r="AQ21" s="1134"/>
      <c r="AR21" s="135"/>
      <c r="AS21" s="145"/>
      <c r="AT21" s="145"/>
      <c r="AU21" s="1125"/>
      <c r="AV21" s="1142"/>
      <c r="AW21" s="988"/>
      <c r="AX21" s="1127"/>
      <c r="AY21" s="1123"/>
      <c r="AZ21" s="1119"/>
      <c r="BA21" s="1119"/>
      <c r="BB21" s="1119"/>
      <c r="BC21" s="1119"/>
    </row>
    <row r="22" spans="2:55" ht="15.95" customHeight="1" x14ac:dyDescent="0.25">
      <c r="B22" s="1063">
        <v>4</v>
      </c>
      <c r="C22" s="1103"/>
      <c r="D22" s="1103"/>
      <c r="E22" s="1103"/>
      <c r="F22" s="1111"/>
      <c r="G22" s="1111"/>
      <c r="H22" s="1111"/>
      <c r="I22" s="1111"/>
      <c r="J22" s="1111"/>
      <c r="K22" s="1111"/>
      <c r="L22" s="1111"/>
      <c r="M22" s="1111"/>
      <c r="N22" s="1111"/>
      <c r="O22" s="1111"/>
      <c r="P22" s="1111"/>
      <c r="Q22" s="1105"/>
      <c r="R22" s="1105"/>
      <c r="S22" s="1107"/>
      <c r="T22" s="1108"/>
      <c r="U22" s="1030"/>
      <c r="V22" s="1111"/>
      <c r="W22" s="1111"/>
      <c r="X22" s="1111"/>
      <c r="Y22" s="1111"/>
      <c r="Z22" s="1105"/>
      <c r="AA22" s="1105"/>
      <c r="AB22" s="1107"/>
      <c r="AC22" s="1120"/>
      <c r="AD22" s="1049"/>
      <c r="AE22" s="1135"/>
      <c r="AF22" s="1135"/>
      <c r="AG22" s="1136"/>
      <c r="AH22" s="1027" t="str">
        <f t="shared" ref="AH22" si="6">IF(OR(C22="",F22="",L22="",Q22="",S22="",U22="",Z22="",AB22="",AD22="",AF22=""),"",ROUND(AD22+AF22,2))</f>
        <v/>
      </c>
      <c r="AI22" s="1128"/>
      <c r="AJ22" s="1128"/>
      <c r="AK22" s="1131" t="str">
        <f t="shared" ref="AK22" si="7">IF(OR(C22="",F22="",L22="",Q22="",S22="",U22="",Z22="",AB22="",AD22="",AF22=""),"",IF(BC22&lt;&gt;"",BC22,IF(C22="New/Replace Failed Equip.",BA22,AZ22)))</f>
        <v/>
      </c>
      <c r="AL22" s="1131"/>
      <c r="AM22" s="1131"/>
      <c r="AN22" s="1131"/>
      <c r="AO22" s="1133" t="str">
        <f t="shared" ref="AO22" si="8">IF(OR(C22="",F22="",L22="",Q22="",S22="",U22="",Z22="",AB22="",AD22="",AF22=""),"",IF((Q22*S22)-(Z22*AB22)&lt;=0,0,ROUND((Q22*S22)-(Z22*AB22),0)))</f>
        <v/>
      </c>
      <c r="AP22" s="1133"/>
      <c r="AQ22" s="1133"/>
      <c r="AR22" s="135"/>
      <c r="AS22" s="145"/>
      <c r="AT22" s="145"/>
      <c r="AU22" s="1124" t="str">
        <f>IFERROR(IF(OR(C22="",F22="",L22="",Q22="",S22="",U22="",Z22="",AB22="",AD22="",AF22=""),"",((1+ELOSS)*PEAKTD*(1+INDEX(ELECCB[Capacity Reserve Margin],MATCH(AX22,ELECCB[Year Number],0)))*((AO22*INDEX(ELECCB[NPV AEC $/kWh],MATCH(AX22,ELECCB[Year Number],1)))+(AV22*INDEX(ELECCB[NPV ACC+T&amp;D $/kW],MATCH(AX22,ELECCB[Year Number],1))))/AH22)),0)</f>
        <v/>
      </c>
      <c r="AV22" s="1141" t="str">
        <f>IF(OR(C22="",F22="",L22="",Q22="",S22="",U22="",Z22="",AB22="",AD22="",AF22=""),"",ROUND(AO22*INDEX(ENDUSEALL[Factor],MATCH(AW22,ENDUSEALL[End Use to Coincident Peak Demand Factors],0)),4))</f>
        <v/>
      </c>
      <c r="AW22" s="987" t="str">
        <f>IF(OR(C22="",F22="",L22="",Q22="",S22="",U22="",Z22="",AB22="",AD22="",AF22=""),"",INDEX(CMECOOK[End Use Category],MATCH(F22,CMECOOK[Proj Desc 1],0)))</f>
        <v/>
      </c>
      <c r="AX22" s="1126" t="str">
        <f>IF(OR(C22="",F22="",L22="",Q22="",S22="",U22="",Z22="",AB22="",AD22="",AF22=""),"",INDEX(CMECOOK[EUL],MATCH(F22,CMECOOK[Proj Desc 1],0)))</f>
        <v/>
      </c>
      <c r="AY22" s="1122" t="str">
        <f>IF(OR(C22="",F22="",L22="",Q22="",S22="",U22="",Z22="",AB22="",AD22="",AF22=""),"",INDEX(CMECOOK[Measure Number],MATCH(F22,CMECOOK[Proj Desc 1],0)))</f>
        <v/>
      </c>
      <c r="AZ22" s="1118" t="str">
        <f>IFERROR(ROUND(MIN(AH22*0.5,AO22*INDEX(ENDUSEALL[Inc Rate],MATCH(AW22,ENDUSEALL[End Use to Coincident Peak Demand Factors],0))),2),"")</f>
        <v/>
      </c>
      <c r="BA22" s="1118" t="str">
        <f>IFERROR(ROUND(MIN(AH22,AO22*INDEX(ENDUSEALL[Inc Rate],MATCH(AW22,ENDUSEALL[End Use to Coincident Peak Demand Factors],0))),2),"")</f>
        <v/>
      </c>
      <c r="BB22" s="1118" t="str">
        <f>IFERROR(AH22/M02S02F35/AO22,"")</f>
        <v/>
      </c>
      <c r="BC22" s="1118" t="str">
        <f>IFERROR(IF((Q22*S22)-(Z22*AB22)&lt;=0,MEASURESAV,IF(M02S02F35="",MEASURERATE, IF(AH22/M02S02F35/AO22&lt;1,MEASUREPAY,IF(AU22&lt;1,MEASURECB,"")))),MEASURESUBMIT)</f>
        <v>Submit for Review</v>
      </c>
    </row>
    <row r="23" spans="2:55" ht="15.95" customHeight="1" x14ac:dyDescent="0.25">
      <c r="B23" s="1063"/>
      <c r="C23" s="1104"/>
      <c r="D23" s="1104"/>
      <c r="E23" s="1104"/>
      <c r="F23" s="1112"/>
      <c r="G23" s="1112"/>
      <c r="H23" s="1112"/>
      <c r="I23" s="1112"/>
      <c r="J23" s="1112"/>
      <c r="K23" s="1112"/>
      <c r="L23" s="1112"/>
      <c r="M23" s="1112"/>
      <c r="N23" s="1112"/>
      <c r="O23" s="1112"/>
      <c r="P23" s="1112"/>
      <c r="Q23" s="1106"/>
      <c r="R23" s="1106"/>
      <c r="S23" s="1109"/>
      <c r="T23" s="1110"/>
      <c r="U23" s="1033"/>
      <c r="V23" s="1112"/>
      <c r="W23" s="1112"/>
      <c r="X23" s="1112"/>
      <c r="Y23" s="1112"/>
      <c r="Z23" s="1106"/>
      <c r="AA23" s="1106"/>
      <c r="AB23" s="1109"/>
      <c r="AC23" s="1121"/>
      <c r="AD23" s="1051"/>
      <c r="AE23" s="1137"/>
      <c r="AF23" s="1137"/>
      <c r="AG23" s="1138"/>
      <c r="AH23" s="1129"/>
      <c r="AI23" s="1130"/>
      <c r="AJ23" s="1130"/>
      <c r="AK23" s="1132"/>
      <c r="AL23" s="1132"/>
      <c r="AM23" s="1132"/>
      <c r="AN23" s="1132"/>
      <c r="AO23" s="1134"/>
      <c r="AP23" s="1134"/>
      <c r="AQ23" s="1134"/>
      <c r="AR23" s="135"/>
      <c r="AS23" s="145"/>
      <c r="AT23" s="145"/>
      <c r="AU23" s="1125"/>
      <c r="AV23" s="1142"/>
      <c r="AW23" s="988"/>
      <c r="AX23" s="1127"/>
      <c r="AY23" s="1123"/>
      <c r="AZ23" s="1119"/>
      <c r="BA23" s="1119"/>
      <c r="BB23" s="1119"/>
      <c r="BC23" s="1119"/>
    </row>
    <row r="24" spans="2:55" ht="15.95" customHeight="1" x14ac:dyDescent="0.25">
      <c r="B24" s="1063">
        <v>5</v>
      </c>
      <c r="C24" s="1103"/>
      <c r="D24" s="1103"/>
      <c r="E24" s="1103"/>
      <c r="F24" s="1111"/>
      <c r="G24" s="1111"/>
      <c r="H24" s="1111"/>
      <c r="I24" s="1111"/>
      <c r="J24" s="1111"/>
      <c r="K24" s="1111"/>
      <c r="L24" s="1111"/>
      <c r="M24" s="1111"/>
      <c r="N24" s="1111"/>
      <c r="O24" s="1111"/>
      <c r="P24" s="1111"/>
      <c r="Q24" s="1105"/>
      <c r="R24" s="1105"/>
      <c r="S24" s="1107"/>
      <c r="T24" s="1108"/>
      <c r="U24" s="1030"/>
      <c r="V24" s="1111"/>
      <c r="W24" s="1111"/>
      <c r="X24" s="1111"/>
      <c r="Y24" s="1111"/>
      <c r="Z24" s="1105"/>
      <c r="AA24" s="1105"/>
      <c r="AB24" s="1107"/>
      <c r="AC24" s="1120"/>
      <c r="AD24" s="1049"/>
      <c r="AE24" s="1135"/>
      <c r="AF24" s="1135"/>
      <c r="AG24" s="1136"/>
      <c r="AH24" s="1027" t="str">
        <f t="shared" ref="AH24" si="9">IF(OR(C24="",F24="",L24="",Q24="",S24="",U24="",Z24="",AB24="",AD24="",AF24=""),"",ROUND(AD24+AF24,2))</f>
        <v/>
      </c>
      <c r="AI24" s="1128"/>
      <c r="AJ24" s="1128"/>
      <c r="AK24" s="1131" t="str">
        <f t="shared" ref="AK24" si="10">IF(OR(C24="",F24="",L24="",Q24="",S24="",U24="",Z24="",AB24="",AD24="",AF24=""),"",IF(BC24&lt;&gt;"",BC24,IF(C24="New/Replace Failed Equip.",BA24,AZ24)))</f>
        <v/>
      </c>
      <c r="AL24" s="1131"/>
      <c r="AM24" s="1131"/>
      <c r="AN24" s="1131"/>
      <c r="AO24" s="1133" t="str">
        <f t="shared" ref="AO24" si="11">IF(OR(C24="",F24="",L24="",Q24="",S24="",U24="",Z24="",AB24="",AD24="",AF24=""),"",IF((Q24*S24)-(Z24*AB24)&lt;=0,0,ROUND((Q24*S24)-(Z24*AB24),0)))</f>
        <v/>
      </c>
      <c r="AP24" s="1133"/>
      <c r="AQ24" s="1133"/>
      <c r="AR24" s="135"/>
      <c r="AS24" s="145"/>
      <c r="AT24" s="145"/>
      <c r="AU24" s="1124" t="str">
        <f>IFERROR(IF(OR(C24="",F24="",L24="",Q24="",S24="",U24="",Z24="",AB24="",AD24="",AF24=""),"",((1+ELOSS)*PEAKTD*(1+INDEX(ELECCB[Capacity Reserve Margin],MATCH(AX24,ELECCB[Year Number],0)))*((AO24*INDEX(ELECCB[NPV AEC $/kWh],MATCH(AX24,ELECCB[Year Number],1)))+(AV24*INDEX(ELECCB[NPV ACC+T&amp;D $/kW],MATCH(AX24,ELECCB[Year Number],1))))/AH24)),0)</f>
        <v/>
      </c>
      <c r="AV24" s="1141" t="str">
        <f>IF(OR(C24="",F24="",L24="",Q24="",S24="",U24="",Z24="",AB24="",AD24="",AF24=""),"",ROUND(AO24*INDEX(ENDUSEALL[Factor],MATCH(AW24,ENDUSEALL[End Use to Coincident Peak Demand Factors],0)),4))</f>
        <v/>
      </c>
      <c r="AW24" s="987" t="str">
        <f>IF(OR(C24="",F24="",L24="",Q24="",S24="",U24="",Z24="",AB24="",AD24="",AF24=""),"",INDEX(CMECOOK[End Use Category],MATCH(F24,CMECOOK[Proj Desc 1],0)))</f>
        <v/>
      </c>
      <c r="AX24" s="1126" t="str">
        <f>IF(OR(C24="",F24="",L24="",Q24="",S24="",U24="",Z24="",AB24="",AD24="",AF24=""),"",INDEX(CMECOOK[EUL],MATCH(F24,CMECOOK[Proj Desc 1],0)))</f>
        <v/>
      </c>
      <c r="AY24" s="1122" t="str">
        <f>IF(OR(C24="",F24="",L24="",Q24="",S24="",U24="",Z24="",AB24="",AD24="",AF24=""),"",INDEX(CMECOOK[Measure Number],MATCH(F24,CMECOOK[Proj Desc 1],0)))</f>
        <v/>
      </c>
      <c r="AZ24" s="1118" t="str">
        <f>IFERROR(ROUND(MIN(AH24*0.5,AO24*INDEX(ENDUSEALL[Inc Rate],MATCH(AW24,ENDUSEALL[End Use to Coincident Peak Demand Factors],0))),2),"")</f>
        <v/>
      </c>
      <c r="BA24" s="1118" t="str">
        <f>IFERROR(ROUND(MIN(AH24,AO24*INDEX(ENDUSEALL[Inc Rate],MATCH(AW24,ENDUSEALL[End Use to Coincident Peak Demand Factors],0))),2),"")</f>
        <v/>
      </c>
      <c r="BB24" s="1118" t="str">
        <f>IFERROR(AH24/M02S02F35/AO24,"")</f>
        <v/>
      </c>
      <c r="BC24" s="1118" t="str">
        <f>IFERROR(IF((Q24*S24)-(Z24*AB24)&lt;=0,MEASURESAV,IF(M02S02F35="",MEASURERATE, IF(AH24/M02S02F35/AO24&lt;1,MEASUREPAY,IF(AU24&lt;1,MEASURECB,"")))),MEASURESUBMIT)</f>
        <v>Submit for Review</v>
      </c>
    </row>
    <row r="25" spans="2:55" ht="15.95" customHeight="1" x14ac:dyDescent="0.25">
      <c r="B25" s="1063"/>
      <c r="C25" s="1104"/>
      <c r="D25" s="1104"/>
      <c r="E25" s="1104"/>
      <c r="F25" s="1112"/>
      <c r="G25" s="1112"/>
      <c r="H25" s="1112"/>
      <c r="I25" s="1112"/>
      <c r="J25" s="1112"/>
      <c r="K25" s="1112"/>
      <c r="L25" s="1112"/>
      <c r="M25" s="1112"/>
      <c r="N25" s="1112"/>
      <c r="O25" s="1112"/>
      <c r="P25" s="1112"/>
      <c r="Q25" s="1106"/>
      <c r="R25" s="1106"/>
      <c r="S25" s="1109"/>
      <c r="T25" s="1110"/>
      <c r="U25" s="1033"/>
      <c r="V25" s="1112"/>
      <c r="W25" s="1112"/>
      <c r="X25" s="1112"/>
      <c r="Y25" s="1112"/>
      <c r="Z25" s="1106"/>
      <c r="AA25" s="1106"/>
      <c r="AB25" s="1109"/>
      <c r="AC25" s="1121"/>
      <c r="AD25" s="1051"/>
      <c r="AE25" s="1137"/>
      <c r="AF25" s="1137"/>
      <c r="AG25" s="1138"/>
      <c r="AH25" s="1129"/>
      <c r="AI25" s="1130"/>
      <c r="AJ25" s="1130"/>
      <c r="AK25" s="1132"/>
      <c r="AL25" s="1132"/>
      <c r="AM25" s="1132"/>
      <c r="AN25" s="1132"/>
      <c r="AO25" s="1134"/>
      <c r="AP25" s="1134"/>
      <c r="AQ25" s="1134"/>
      <c r="AR25" s="135"/>
      <c r="AS25" s="145"/>
      <c r="AT25" s="145"/>
      <c r="AU25" s="1125"/>
      <c r="AV25" s="1142"/>
      <c r="AW25" s="988"/>
      <c r="AX25" s="1127"/>
      <c r="AY25" s="1123"/>
      <c r="AZ25" s="1119"/>
      <c r="BA25" s="1119"/>
      <c r="BB25" s="1119"/>
      <c r="BC25" s="1119"/>
    </row>
    <row r="26" spans="2:55" ht="15.95" customHeight="1" x14ac:dyDescent="0.25">
      <c r="B26" s="1063">
        <v>6</v>
      </c>
      <c r="C26" s="1103"/>
      <c r="D26" s="1103"/>
      <c r="E26" s="1103"/>
      <c r="F26" s="1111"/>
      <c r="G26" s="1111"/>
      <c r="H26" s="1111"/>
      <c r="I26" s="1111"/>
      <c r="J26" s="1111"/>
      <c r="K26" s="1111"/>
      <c r="L26" s="1111"/>
      <c r="M26" s="1111"/>
      <c r="N26" s="1111"/>
      <c r="O26" s="1111"/>
      <c r="P26" s="1111"/>
      <c r="Q26" s="1105"/>
      <c r="R26" s="1105"/>
      <c r="S26" s="1107"/>
      <c r="T26" s="1108"/>
      <c r="U26" s="1030"/>
      <c r="V26" s="1111"/>
      <c r="W26" s="1111"/>
      <c r="X26" s="1111"/>
      <c r="Y26" s="1111"/>
      <c r="Z26" s="1105"/>
      <c r="AA26" s="1105"/>
      <c r="AB26" s="1107"/>
      <c r="AC26" s="1120"/>
      <c r="AD26" s="1049"/>
      <c r="AE26" s="1135"/>
      <c r="AF26" s="1135"/>
      <c r="AG26" s="1136"/>
      <c r="AH26" s="1027" t="str">
        <f t="shared" ref="AH26" si="12">IF(OR(C26="",F26="",L26="",Q26="",S26="",U26="",Z26="",AB26="",AD26="",AF26=""),"",ROUND(AD26+AF26,2))</f>
        <v/>
      </c>
      <c r="AI26" s="1128"/>
      <c r="AJ26" s="1128"/>
      <c r="AK26" s="1131" t="str">
        <f t="shared" ref="AK26" si="13">IF(OR(C26="",F26="",L26="",Q26="",S26="",U26="",Z26="",AB26="",AD26="",AF26=""),"",IF(BC26&lt;&gt;"",BC26,IF(C26="New/Replace Failed Equip.",BA26,AZ26)))</f>
        <v/>
      </c>
      <c r="AL26" s="1131"/>
      <c r="AM26" s="1131"/>
      <c r="AN26" s="1131"/>
      <c r="AO26" s="1133" t="str">
        <f t="shared" ref="AO26" si="14">IF(OR(C26="",F26="",L26="",Q26="",S26="",U26="",Z26="",AB26="",AD26="",AF26=""),"",IF((Q26*S26)-(Z26*AB26)&lt;=0,0,ROUND((Q26*S26)-(Z26*AB26),0)))</f>
        <v/>
      </c>
      <c r="AP26" s="1133"/>
      <c r="AQ26" s="1133"/>
      <c r="AR26" s="135"/>
      <c r="AS26" s="145"/>
      <c r="AT26" s="145"/>
      <c r="AU26" s="1124" t="str">
        <f>IFERROR(IF(OR(C26="",F26="",L26="",Q26="",S26="",U26="",Z26="",AB26="",AD26="",AF26=""),"",((1+ELOSS)*PEAKTD*(1+INDEX(ELECCB[Capacity Reserve Margin],MATCH(AX26,ELECCB[Year Number],0)))*((AO26*INDEX(ELECCB[NPV AEC $/kWh],MATCH(AX26,ELECCB[Year Number],1)))+(AV26*INDEX(ELECCB[NPV ACC+T&amp;D $/kW],MATCH(AX26,ELECCB[Year Number],1))))/AH26)),0)</f>
        <v/>
      </c>
      <c r="AV26" s="1141" t="str">
        <f>IF(OR(C26="",F26="",L26="",Q26="",S26="",U26="",Z26="",AB26="",AD26="",AF26=""),"",ROUND(AO26*INDEX(ENDUSEALL[Factor],MATCH(AW26,ENDUSEALL[End Use to Coincident Peak Demand Factors],0)),4))</f>
        <v/>
      </c>
      <c r="AW26" s="987" t="str">
        <f>IF(OR(C26="",F26="",L26="",Q26="",S26="",U26="",Z26="",AB26="",AD26="",AF26=""),"",INDEX(CMECOOK[End Use Category],MATCH(F26,CMECOOK[Proj Desc 1],0)))</f>
        <v/>
      </c>
      <c r="AX26" s="1126" t="str">
        <f>IF(OR(C26="",F26="",L26="",Q26="",S26="",U26="",Z26="",AB26="",AD26="",AF26=""),"",INDEX(CMECOOK[EUL],MATCH(F26,CMECOOK[Proj Desc 1],0)))</f>
        <v/>
      </c>
      <c r="AY26" s="1122" t="str">
        <f>IF(OR(C26="",F26="",L26="",Q26="",S26="",U26="",Z26="",AB26="",AD26="",AF26=""),"",INDEX(CMECOOK[Measure Number],MATCH(F26,CMECOOK[Proj Desc 1],0)))</f>
        <v/>
      </c>
      <c r="AZ26" s="1118" t="str">
        <f>IFERROR(ROUND(MIN(AH26*0.5,AO26*INDEX(ENDUSEALL[Inc Rate],MATCH(AW26,ENDUSEALL[End Use to Coincident Peak Demand Factors],0))),2),"")</f>
        <v/>
      </c>
      <c r="BA26" s="1118" t="str">
        <f>IFERROR(ROUND(MIN(AH26,AO26*INDEX(ENDUSEALL[Inc Rate],MATCH(AW26,ENDUSEALL[End Use to Coincident Peak Demand Factors],0))),2),"")</f>
        <v/>
      </c>
      <c r="BB26" s="1118" t="str">
        <f>IFERROR(AH26/M02S02F35/AO26,"")</f>
        <v/>
      </c>
      <c r="BC26" s="1118" t="str">
        <f>IFERROR(IF((Q26*S26)-(Z26*AB26)&lt;=0,MEASURESAV,IF(M02S02F35="",MEASURERATE, IF(AH26/M02S02F35/AO26&lt;1,MEASUREPAY,IF(AU26&lt;1,MEASURECB,"")))),MEASURESUBMIT)</f>
        <v>Submit for Review</v>
      </c>
    </row>
    <row r="27" spans="2:55" ht="15.95" customHeight="1" x14ac:dyDescent="0.25">
      <c r="B27" s="1063"/>
      <c r="C27" s="1104"/>
      <c r="D27" s="1104"/>
      <c r="E27" s="1104"/>
      <c r="F27" s="1112"/>
      <c r="G27" s="1112"/>
      <c r="H27" s="1112"/>
      <c r="I27" s="1112"/>
      <c r="J27" s="1112"/>
      <c r="K27" s="1112"/>
      <c r="L27" s="1112"/>
      <c r="M27" s="1112"/>
      <c r="N27" s="1112"/>
      <c r="O27" s="1112"/>
      <c r="P27" s="1112"/>
      <c r="Q27" s="1106"/>
      <c r="R27" s="1106"/>
      <c r="S27" s="1109"/>
      <c r="T27" s="1110"/>
      <c r="U27" s="1033"/>
      <c r="V27" s="1112"/>
      <c r="W27" s="1112"/>
      <c r="X27" s="1112"/>
      <c r="Y27" s="1112"/>
      <c r="Z27" s="1106"/>
      <c r="AA27" s="1106"/>
      <c r="AB27" s="1109"/>
      <c r="AC27" s="1121"/>
      <c r="AD27" s="1051"/>
      <c r="AE27" s="1137"/>
      <c r="AF27" s="1137"/>
      <c r="AG27" s="1138"/>
      <c r="AH27" s="1129"/>
      <c r="AI27" s="1130"/>
      <c r="AJ27" s="1130"/>
      <c r="AK27" s="1132"/>
      <c r="AL27" s="1132"/>
      <c r="AM27" s="1132"/>
      <c r="AN27" s="1132"/>
      <c r="AO27" s="1134"/>
      <c r="AP27" s="1134"/>
      <c r="AQ27" s="1134"/>
      <c r="AR27" s="135"/>
      <c r="AS27" s="145"/>
      <c r="AT27" s="145"/>
      <c r="AU27" s="1125"/>
      <c r="AV27" s="1142"/>
      <c r="AW27" s="988"/>
      <c r="AX27" s="1127"/>
      <c r="AY27" s="1123"/>
      <c r="AZ27" s="1119"/>
      <c r="BA27" s="1119"/>
      <c r="BB27" s="1119"/>
      <c r="BC27" s="1119"/>
    </row>
    <row r="28" spans="2:55" ht="15.95" customHeight="1" x14ac:dyDescent="0.25">
      <c r="B28" s="1063">
        <v>7</v>
      </c>
      <c r="C28" s="1103"/>
      <c r="D28" s="1103"/>
      <c r="E28" s="1103"/>
      <c r="F28" s="1111"/>
      <c r="G28" s="1111"/>
      <c r="H28" s="1111"/>
      <c r="I28" s="1111"/>
      <c r="J28" s="1111"/>
      <c r="K28" s="1111"/>
      <c r="L28" s="1111"/>
      <c r="M28" s="1111"/>
      <c r="N28" s="1111"/>
      <c r="O28" s="1111"/>
      <c r="P28" s="1111"/>
      <c r="Q28" s="1105"/>
      <c r="R28" s="1105"/>
      <c r="S28" s="1107"/>
      <c r="T28" s="1108"/>
      <c r="U28" s="1030"/>
      <c r="V28" s="1111"/>
      <c r="W28" s="1111"/>
      <c r="X28" s="1111"/>
      <c r="Y28" s="1111"/>
      <c r="Z28" s="1105"/>
      <c r="AA28" s="1105"/>
      <c r="AB28" s="1107"/>
      <c r="AC28" s="1120"/>
      <c r="AD28" s="1049"/>
      <c r="AE28" s="1135"/>
      <c r="AF28" s="1135"/>
      <c r="AG28" s="1136"/>
      <c r="AH28" s="1027" t="str">
        <f t="shared" ref="AH28" si="15">IF(OR(C28="",F28="",L28="",Q28="",S28="",U28="",Z28="",AB28="",AD28="",AF28=""),"",ROUND(AD28+AF28,2))</f>
        <v/>
      </c>
      <c r="AI28" s="1128"/>
      <c r="AJ28" s="1128"/>
      <c r="AK28" s="1131" t="str">
        <f t="shared" ref="AK28" si="16">IF(OR(C28="",F28="",L28="",Q28="",S28="",U28="",Z28="",AB28="",AD28="",AF28=""),"",IF(BC28&lt;&gt;"",BC28,IF(C28="New/Replace Failed Equip.",BA28,AZ28)))</f>
        <v/>
      </c>
      <c r="AL28" s="1131"/>
      <c r="AM28" s="1131"/>
      <c r="AN28" s="1131"/>
      <c r="AO28" s="1133" t="str">
        <f t="shared" ref="AO28" si="17">IF(OR(C28="",F28="",L28="",Q28="",S28="",U28="",Z28="",AB28="",AD28="",AF28=""),"",IF((Q28*S28)-(Z28*AB28)&lt;=0,0,ROUND((Q28*S28)-(Z28*AB28),0)))</f>
        <v/>
      </c>
      <c r="AP28" s="1133"/>
      <c r="AQ28" s="1133"/>
      <c r="AR28" s="135"/>
      <c r="AS28" s="145"/>
      <c r="AT28" s="145"/>
      <c r="AU28" s="1124" t="str">
        <f>IFERROR(IF(OR(C28="",F28="",L28="",Q28="",S28="",U28="",Z28="",AB28="",AD28="",AF28=""),"",((1+ELOSS)*PEAKTD*(1+INDEX(ELECCB[Capacity Reserve Margin],MATCH(AX28,ELECCB[Year Number],0)))*((AO28*INDEX(ELECCB[NPV AEC $/kWh],MATCH(AX28,ELECCB[Year Number],1)))+(AV28*INDEX(ELECCB[NPV ACC+T&amp;D $/kW],MATCH(AX28,ELECCB[Year Number],1))))/AH28)),0)</f>
        <v/>
      </c>
      <c r="AV28" s="1141" t="str">
        <f>IF(OR(C28="",F28="",L28="",Q28="",S28="",U28="",Z28="",AB28="",AD28="",AF28=""),"",ROUND(AO28*INDEX(ENDUSEALL[Factor],MATCH(AW28,ENDUSEALL[End Use to Coincident Peak Demand Factors],0)),4))</f>
        <v/>
      </c>
      <c r="AW28" s="987" t="str">
        <f>IF(OR(C28="",F28="",L28="",Q28="",S28="",U28="",Z28="",AB28="",AD28="",AF28=""),"",INDEX(CMECOOK[End Use Category],MATCH(F28,CMECOOK[Proj Desc 1],0)))</f>
        <v/>
      </c>
      <c r="AX28" s="1126" t="str">
        <f>IF(OR(C28="",F28="",L28="",Q28="",S28="",U28="",Z28="",AB28="",AD28="",AF28=""),"",INDEX(CMECOOK[EUL],MATCH(F28,CMECOOK[Proj Desc 1],0)))</f>
        <v/>
      </c>
      <c r="AY28" s="1122" t="str">
        <f>IF(OR(C28="",F28="",L28="",Q28="",S28="",U28="",Z28="",AB28="",AD28="",AF28=""),"",INDEX(CMECOOK[Measure Number],MATCH(F28,CMECOOK[Proj Desc 1],0)))</f>
        <v/>
      </c>
      <c r="AZ28" s="1118" t="str">
        <f>IFERROR(ROUND(MIN(AH28*0.5,AO28*INDEX(ENDUSEALL[Inc Rate],MATCH(AW28,ENDUSEALL[End Use to Coincident Peak Demand Factors],0))),2),"")</f>
        <v/>
      </c>
      <c r="BA28" s="1118" t="str">
        <f>IFERROR(ROUND(MIN(AH28,AO28*INDEX(ENDUSEALL[Inc Rate],MATCH(AW28,ENDUSEALL[End Use to Coincident Peak Demand Factors],0))),2),"")</f>
        <v/>
      </c>
      <c r="BB28" s="1118" t="str">
        <f>IFERROR(AH28/M02S02F35/AO28,"")</f>
        <v/>
      </c>
      <c r="BC28" s="1118" t="str">
        <f>IFERROR(IF((Q28*S28)-(Z28*AB28)&lt;=0,MEASURESAV,IF(M02S02F35="",MEASURERATE, IF(AH28/M02S02F35/AO28&lt;1,MEASUREPAY,IF(AU28&lt;1,MEASURECB,"")))),MEASURESUBMIT)</f>
        <v>Submit for Review</v>
      </c>
    </row>
    <row r="29" spans="2:55" ht="15.95" customHeight="1" x14ac:dyDescent="0.25">
      <c r="B29" s="1063"/>
      <c r="C29" s="1104"/>
      <c r="D29" s="1104"/>
      <c r="E29" s="1104"/>
      <c r="F29" s="1112"/>
      <c r="G29" s="1112"/>
      <c r="H29" s="1112"/>
      <c r="I29" s="1112"/>
      <c r="J29" s="1112"/>
      <c r="K29" s="1112"/>
      <c r="L29" s="1112"/>
      <c r="M29" s="1112"/>
      <c r="N29" s="1112"/>
      <c r="O29" s="1112"/>
      <c r="P29" s="1112"/>
      <c r="Q29" s="1106"/>
      <c r="R29" s="1106"/>
      <c r="S29" s="1109"/>
      <c r="T29" s="1110"/>
      <c r="U29" s="1033"/>
      <c r="V29" s="1112"/>
      <c r="W29" s="1112"/>
      <c r="X29" s="1112"/>
      <c r="Y29" s="1112"/>
      <c r="Z29" s="1106"/>
      <c r="AA29" s="1106"/>
      <c r="AB29" s="1109"/>
      <c r="AC29" s="1121"/>
      <c r="AD29" s="1051"/>
      <c r="AE29" s="1137"/>
      <c r="AF29" s="1137"/>
      <c r="AG29" s="1138"/>
      <c r="AH29" s="1129"/>
      <c r="AI29" s="1130"/>
      <c r="AJ29" s="1130"/>
      <c r="AK29" s="1132"/>
      <c r="AL29" s="1132"/>
      <c r="AM29" s="1132"/>
      <c r="AN29" s="1132"/>
      <c r="AO29" s="1134"/>
      <c r="AP29" s="1134"/>
      <c r="AQ29" s="1134"/>
      <c r="AR29" s="135"/>
      <c r="AS29" s="145"/>
      <c r="AT29" s="145"/>
      <c r="AU29" s="1125"/>
      <c r="AV29" s="1142"/>
      <c r="AW29" s="988"/>
      <c r="AX29" s="1127"/>
      <c r="AY29" s="1123"/>
      <c r="AZ29" s="1119"/>
      <c r="BA29" s="1119"/>
      <c r="BB29" s="1119"/>
      <c r="BC29" s="1119"/>
    </row>
    <row r="30" spans="2:55" ht="15.95" customHeight="1" x14ac:dyDescent="0.25">
      <c r="B30" s="1063">
        <v>8</v>
      </c>
      <c r="C30" s="1103"/>
      <c r="D30" s="1103"/>
      <c r="E30" s="1103"/>
      <c r="F30" s="1111"/>
      <c r="G30" s="1111"/>
      <c r="H30" s="1111"/>
      <c r="I30" s="1111"/>
      <c r="J30" s="1111"/>
      <c r="K30" s="1111"/>
      <c r="L30" s="1111"/>
      <c r="M30" s="1111"/>
      <c r="N30" s="1111"/>
      <c r="O30" s="1111"/>
      <c r="P30" s="1111"/>
      <c r="Q30" s="1105"/>
      <c r="R30" s="1105"/>
      <c r="S30" s="1107"/>
      <c r="T30" s="1108"/>
      <c r="U30" s="1030"/>
      <c r="V30" s="1111"/>
      <c r="W30" s="1111"/>
      <c r="X30" s="1111"/>
      <c r="Y30" s="1111"/>
      <c r="Z30" s="1105"/>
      <c r="AA30" s="1105"/>
      <c r="AB30" s="1107"/>
      <c r="AC30" s="1120"/>
      <c r="AD30" s="1049"/>
      <c r="AE30" s="1135"/>
      <c r="AF30" s="1135"/>
      <c r="AG30" s="1136"/>
      <c r="AH30" s="1027" t="str">
        <f t="shared" ref="AH30" si="18">IF(OR(C30="",F30="",L30="",Q30="",S30="",U30="",Z30="",AB30="",AD30="",AF30=""),"",ROUND(AD30+AF30,2))</f>
        <v/>
      </c>
      <c r="AI30" s="1128"/>
      <c r="AJ30" s="1128"/>
      <c r="AK30" s="1131" t="str">
        <f t="shared" ref="AK30" si="19">IF(OR(C30="",F30="",L30="",Q30="",S30="",U30="",Z30="",AB30="",AD30="",AF30=""),"",IF(BC30&lt;&gt;"",BC30,IF(C30="New/Replace Failed Equip.",BA30,AZ30)))</f>
        <v/>
      </c>
      <c r="AL30" s="1131"/>
      <c r="AM30" s="1131"/>
      <c r="AN30" s="1131"/>
      <c r="AO30" s="1133" t="str">
        <f t="shared" ref="AO30" si="20">IF(OR(C30="",F30="",L30="",Q30="",S30="",U30="",Z30="",AB30="",AD30="",AF30=""),"",IF((Q30*S30)-(Z30*AB30)&lt;=0,0,ROUND((Q30*S30)-(Z30*AB30),0)))</f>
        <v/>
      </c>
      <c r="AP30" s="1133"/>
      <c r="AQ30" s="1133"/>
      <c r="AR30" s="135"/>
      <c r="AS30" s="145"/>
      <c r="AT30" s="145"/>
      <c r="AU30" s="1124" t="str">
        <f>IFERROR(IF(OR(C30="",F30="",L30="",Q30="",S30="",U30="",Z30="",AB30="",AD30="",AF30=""),"",((1+ELOSS)*PEAKTD*(1+INDEX(ELECCB[Capacity Reserve Margin],MATCH(AX30,ELECCB[Year Number],0)))*((AO30*INDEX(ELECCB[NPV AEC $/kWh],MATCH(AX30,ELECCB[Year Number],1)))+(AV30*INDEX(ELECCB[NPV ACC+T&amp;D $/kW],MATCH(AX30,ELECCB[Year Number],1))))/AH30)),0)</f>
        <v/>
      </c>
      <c r="AV30" s="1141" t="str">
        <f>IF(OR(C30="",F30="",L30="",Q30="",S30="",U30="",Z30="",AB30="",AD30="",AF30=""),"",ROUND(AO30*INDEX(ENDUSEALL[Factor],MATCH(AW30,ENDUSEALL[End Use to Coincident Peak Demand Factors],0)),4))</f>
        <v/>
      </c>
      <c r="AW30" s="987" t="str">
        <f>IF(OR(C30="",F30="",L30="",Q30="",S30="",U30="",Z30="",AB30="",AD30="",AF30=""),"",INDEX(CMECOOK[End Use Category],MATCH(F30,CMECOOK[Proj Desc 1],0)))</f>
        <v/>
      </c>
      <c r="AX30" s="1126" t="str">
        <f>IF(OR(C30="",F30="",L30="",Q30="",S30="",U30="",Z30="",AB30="",AD30="",AF30=""),"",INDEX(CMECOOK[EUL],MATCH(F30,CMECOOK[Proj Desc 1],0)))</f>
        <v/>
      </c>
      <c r="AY30" s="1122" t="str">
        <f>IF(OR(C30="",F30="",L30="",Q30="",S30="",U30="",Z30="",AB30="",AD30="",AF30=""),"",INDEX(CMECOOK[Measure Number],MATCH(F30,CMECOOK[Proj Desc 1],0)))</f>
        <v/>
      </c>
      <c r="AZ30" s="1118" t="str">
        <f>IFERROR(ROUND(MIN(AH30*0.5,AO30*INDEX(ENDUSEALL[Inc Rate],MATCH(AW30,ENDUSEALL[End Use to Coincident Peak Demand Factors],0))),2),"")</f>
        <v/>
      </c>
      <c r="BA30" s="1118" t="str">
        <f>IFERROR(ROUND(MIN(AH30,AO30*INDEX(ENDUSEALL[Inc Rate],MATCH(AW30,ENDUSEALL[End Use to Coincident Peak Demand Factors],0))),2),"")</f>
        <v/>
      </c>
      <c r="BB30" s="1118" t="str">
        <f>IFERROR(AH30/M02S02F35/AO30,"")</f>
        <v/>
      </c>
      <c r="BC30" s="1118" t="str">
        <f>IFERROR(IF((Q30*S30)-(Z30*AB30)&lt;=0,MEASURESAV,IF(M02S02F35="",MEASURERATE, IF(AH30/M02S02F35/AO30&lt;1,MEASUREPAY,IF(AU30&lt;1,MEASURECB,"")))),MEASURESUBMIT)</f>
        <v>Submit for Review</v>
      </c>
    </row>
    <row r="31" spans="2:55" ht="15.95" customHeight="1" x14ac:dyDescent="0.25">
      <c r="B31" s="1063"/>
      <c r="C31" s="1104"/>
      <c r="D31" s="1104"/>
      <c r="E31" s="1104"/>
      <c r="F31" s="1112"/>
      <c r="G31" s="1112"/>
      <c r="H31" s="1112"/>
      <c r="I31" s="1112"/>
      <c r="J31" s="1112"/>
      <c r="K31" s="1112"/>
      <c r="L31" s="1112"/>
      <c r="M31" s="1112"/>
      <c r="N31" s="1112"/>
      <c r="O31" s="1112"/>
      <c r="P31" s="1112"/>
      <c r="Q31" s="1106"/>
      <c r="R31" s="1106"/>
      <c r="S31" s="1109"/>
      <c r="T31" s="1110"/>
      <c r="U31" s="1033"/>
      <c r="V31" s="1112"/>
      <c r="W31" s="1112"/>
      <c r="X31" s="1112"/>
      <c r="Y31" s="1112"/>
      <c r="Z31" s="1106"/>
      <c r="AA31" s="1106"/>
      <c r="AB31" s="1109"/>
      <c r="AC31" s="1121"/>
      <c r="AD31" s="1051"/>
      <c r="AE31" s="1137"/>
      <c r="AF31" s="1137"/>
      <c r="AG31" s="1138"/>
      <c r="AH31" s="1129"/>
      <c r="AI31" s="1130"/>
      <c r="AJ31" s="1130"/>
      <c r="AK31" s="1132"/>
      <c r="AL31" s="1132"/>
      <c r="AM31" s="1132"/>
      <c r="AN31" s="1132"/>
      <c r="AO31" s="1134"/>
      <c r="AP31" s="1134"/>
      <c r="AQ31" s="1134"/>
      <c r="AR31" s="135"/>
      <c r="AS31" s="145"/>
      <c r="AT31" s="145"/>
      <c r="AU31" s="1125"/>
      <c r="AV31" s="1142"/>
      <c r="AW31" s="988"/>
      <c r="AX31" s="1127"/>
      <c r="AY31" s="1123"/>
      <c r="AZ31" s="1119"/>
      <c r="BA31" s="1119"/>
      <c r="BB31" s="1119"/>
      <c r="BC31" s="1119"/>
    </row>
    <row r="32" spans="2:55" ht="15.95" customHeight="1" x14ac:dyDescent="0.25">
      <c r="B32" s="1063">
        <v>9</v>
      </c>
      <c r="C32" s="1103"/>
      <c r="D32" s="1103"/>
      <c r="E32" s="1103"/>
      <c r="F32" s="1111"/>
      <c r="G32" s="1111"/>
      <c r="H32" s="1111"/>
      <c r="I32" s="1111"/>
      <c r="J32" s="1111"/>
      <c r="K32" s="1111"/>
      <c r="L32" s="1111"/>
      <c r="M32" s="1111"/>
      <c r="N32" s="1111"/>
      <c r="O32" s="1111"/>
      <c r="P32" s="1111"/>
      <c r="Q32" s="1105"/>
      <c r="R32" s="1105"/>
      <c r="S32" s="1107"/>
      <c r="T32" s="1108"/>
      <c r="U32" s="1030"/>
      <c r="V32" s="1111"/>
      <c r="W32" s="1111"/>
      <c r="X32" s="1111"/>
      <c r="Y32" s="1111"/>
      <c r="Z32" s="1105"/>
      <c r="AA32" s="1105"/>
      <c r="AB32" s="1107"/>
      <c r="AC32" s="1120"/>
      <c r="AD32" s="1049"/>
      <c r="AE32" s="1135"/>
      <c r="AF32" s="1135"/>
      <c r="AG32" s="1136"/>
      <c r="AH32" s="1027" t="str">
        <f t="shared" ref="AH32" si="21">IF(OR(C32="",F32="",L32="",Q32="",S32="",U32="",Z32="",AB32="",AD32="",AF32=""),"",ROUND(AD32+AF32,2))</f>
        <v/>
      </c>
      <c r="AI32" s="1128"/>
      <c r="AJ32" s="1128"/>
      <c r="AK32" s="1131" t="str">
        <f t="shared" ref="AK32" si="22">IF(OR(C32="",F32="",L32="",Q32="",S32="",U32="",Z32="",AB32="",AD32="",AF32=""),"",IF(BC32&lt;&gt;"",BC32,IF(C32="New/Replace Failed Equip.",BA32,AZ32)))</f>
        <v/>
      </c>
      <c r="AL32" s="1131"/>
      <c r="AM32" s="1131"/>
      <c r="AN32" s="1131"/>
      <c r="AO32" s="1133" t="str">
        <f t="shared" ref="AO32" si="23">IF(OR(C32="",F32="",L32="",Q32="",S32="",U32="",Z32="",AB32="",AD32="",AF32=""),"",IF((Q32*S32)-(Z32*AB32)&lt;=0,0,ROUND((Q32*S32)-(Z32*AB32),0)))</f>
        <v/>
      </c>
      <c r="AP32" s="1133"/>
      <c r="AQ32" s="1133"/>
      <c r="AR32" s="135"/>
      <c r="AS32" s="145"/>
      <c r="AT32" s="145"/>
      <c r="AU32" s="1124" t="str">
        <f>IFERROR(IF(OR(C32="",F32="",L32="",Q32="",S32="",U32="",Z32="",AB32="",AD32="",AF32=""),"",((1+ELOSS)*PEAKTD*(1+INDEX(ELECCB[Capacity Reserve Margin],MATCH(AX32,ELECCB[Year Number],0)))*((AO32*INDEX(ELECCB[NPV AEC $/kWh],MATCH(AX32,ELECCB[Year Number],1)))+(AV32*INDEX(ELECCB[NPV ACC+T&amp;D $/kW],MATCH(AX32,ELECCB[Year Number],1))))/AH32)),0)</f>
        <v/>
      </c>
      <c r="AV32" s="1141" t="str">
        <f>IF(OR(C32="",F32="",L32="",Q32="",S32="",U32="",Z32="",AB32="",AD32="",AF32=""),"",ROUND(AO32*INDEX(ENDUSEALL[Factor],MATCH(AW32,ENDUSEALL[End Use to Coincident Peak Demand Factors],0)),4))</f>
        <v/>
      </c>
      <c r="AW32" s="987" t="str">
        <f>IF(OR(C32="",F32="",L32="",Q32="",S32="",U32="",Z32="",AB32="",AD32="",AF32=""),"",INDEX(CMECOOK[End Use Category],MATCH(F32,CMECOOK[Proj Desc 1],0)))</f>
        <v/>
      </c>
      <c r="AX32" s="1126" t="str">
        <f>IF(OR(C32="",F32="",L32="",Q32="",S32="",U32="",Z32="",AB32="",AD32="",AF32=""),"",INDEX(CMECOOK[EUL],MATCH(F32,CMECOOK[Proj Desc 1],0)))</f>
        <v/>
      </c>
      <c r="AY32" s="1122" t="str">
        <f>IF(OR(C32="",F32="",L32="",Q32="",S32="",U32="",Z32="",AB32="",AD32="",AF32=""),"",INDEX(CMECOOK[Measure Number],MATCH(F32,CMECOOK[Proj Desc 1],0)))</f>
        <v/>
      </c>
      <c r="AZ32" s="1118" t="str">
        <f>IFERROR(ROUND(MIN(AH32*0.5,AO32*INDEX(ENDUSEALL[Inc Rate],MATCH(AW32,ENDUSEALL[End Use to Coincident Peak Demand Factors],0))),2),"")</f>
        <v/>
      </c>
      <c r="BA32" s="1118" t="str">
        <f>IFERROR(ROUND(MIN(AH32,AO32*INDEX(ENDUSEALL[Inc Rate],MATCH(AW32,ENDUSEALL[End Use to Coincident Peak Demand Factors],0))),2),"")</f>
        <v/>
      </c>
      <c r="BB32" s="1118" t="str">
        <f>IFERROR(AH32/M02S02F35/AO32,"")</f>
        <v/>
      </c>
      <c r="BC32" s="1118" t="str">
        <f>IFERROR(IF((Q32*S32)-(Z32*AB32)&lt;=0,MEASURESAV,IF(M02S02F35="",MEASURERATE, IF(AH32/M02S02F35/AO32&lt;1,MEASUREPAY,IF(AU32&lt;1,MEASURECB,"")))),MEASURESUBMIT)</f>
        <v>Submit for Review</v>
      </c>
    </row>
    <row r="33" spans="2:55" ht="15.95" customHeight="1" x14ac:dyDescent="0.25">
      <c r="B33" s="1063"/>
      <c r="C33" s="1104"/>
      <c r="D33" s="1104"/>
      <c r="E33" s="1104"/>
      <c r="F33" s="1112"/>
      <c r="G33" s="1112"/>
      <c r="H33" s="1112"/>
      <c r="I33" s="1112"/>
      <c r="J33" s="1112"/>
      <c r="K33" s="1112"/>
      <c r="L33" s="1112"/>
      <c r="M33" s="1112"/>
      <c r="N33" s="1112"/>
      <c r="O33" s="1112"/>
      <c r="P33" s="1112"/>
      <c r="Q33" s="1106"/>
      <c r="R33" s="1106"/>
      <c r="S33" s="1109"/>
      <c r="T33" s="1110"/>
      <c r="U33" s="1033"/>
      <c r="V33" s="1112"/>
      <c r="W33" s="1112"/>
      <c r="X33" s="1112"/>
      <c r="Y33" s="1112"/>
      <c r="Z33" s="1106"/>
      <c r="AA33" s="1106"/>
      <c r="AB33" s="1109"/>
      <c r="AC33" s="1121"/>
      <c r="AD33" s="1051"/>
      <c r="AE33" s="1137"/>
      <c r="AF33" s="1137"/>
      <c r="AG33" s="1138"/>
      <c r="AH33" s="1129"/>
      <c r="AI33" s="1130"/>
      <c r="AJ33" s="1130"/>
      <c r="AK33" s="1132"/>
      <c r="AL33" s="1132"/>
      <c r="AM33" s="1132"/>
      <c r="AN33" s="1132"/>
      <c r="AO33" s="1134"/>
      <c r="AP33" s="1134"/>
      <c r="AQ33" s="1134"/>
      <c r="AR33" s="135"/>
      <c r="AS33" s="145"/>
      <c r="AT33" s="145"/>
      <c r="AU33" s="1125"/>
      <c r="AV33" s="1142"/>
      <c r="AW33" s="988"/>
      <c r="AX33" s="1127"/>
      <c r="AY33" s="1123"/>
      <c r="AZ33" s="1119"/>
      <c r="BA33" s="1119"/>
      <c r="BB33" s="1119"/>
      <c r="BC33" s="1119"/>
    </row>
    <row r="34" spans="2:55" ht="15.95" customHeight="1" x14ac:dyDescent="0.25">
      <c r="B34" s="1063">
        <v>10</v>
      </c>
      <c r="C34" s="1103"/>
      <c r="D34" s="1103"/>
      <c r="E34" s="1103"/>
      <c r="F34" s="1111"/>
      <c r="G34" s="1111"/>
      <c r="H34" s="1111"/>
      <c r="I34" s="1111"/>
      <c r="J34" s="1111"/>
      <c r="K34" s="1111"/>
      <c r="L34" s="1111"/>
      <c r="M34" s="1111"/>
      <c r="N34" s="1111"/>
      <c r="O34" s="1111"/>
      <c r="P34" s="1111"/>
      <c r="Q34" s="1105"/>
      <c r="R34" s="1105"/>
      <c r="S34" s="1107"/>
      <c r="T34" s="1108"/>
      <c r="U34" s="1030"/>
      <c r="V34" s="1111"/>
      <c r="W34" s="1111"/>
      <c r="X34" s="1111"/>
      <c r="Y34" s="1111"/>
      <c r="Z34" s="1105"/>
      <c r="AA34" s="1105"/>
      <c r="AB34" s="1107"/>
      <c r="AC34" s="1120"/>
      <c r="AD34" s="1049"/>
      <c r="AE34" s="1135"/>
      <c r="AF34" s="1135"/>
      <c r="AG34" s="1136"/>
      <c r="AH34" s="1027" t="str">
        <f t="shared" ref="AH34" si="24">IF(OR(C34="",F34="",L34="",Q34="",S34="",U34="",Z34="",AB34="",AD34="",AF34=""),"",ROUND(AD34+AF34,2))</f>
        <v/>
      </c>
      <c r="AI34" s="1128"/>
      <c r="AJ34" s="1128"/>
      <c r="AK34" s="1131" t="str">
        <f t="shared" ref="AK34" si="25">IF(OR(C34="",F34="",L34="",Q34="",S34="",U34="",Z34="",AB34="",AD34="",AF34=""),"",IF(BC34&lt;&gt;"",BC34,IF(C34="New/Replace Failed Equip.",BA34,AZ34)))</f>
        <v/>
      </c>
      <c r="AL34" s="1131"/>
      <c r="AM34" s="1131"/>
      <c r="AN34" s="1131"/>
      <c r="AO34" s="1133" t="str">
        <f t="shared" ref="AO34" si="26">IF(OR(C34="",F34="",L34="",Q34="",S34="",U34="",Z34="",AB34="",AD34="",AF34=""),"",IF((Q34*S34)-(Z34*AB34)&lt;=0,0,ROUND((Q34*S34)-(Z34*AB34),0)))</f>
        <v/>
      </c>
      <c r="AP34" s="1133"/>
      <c r="AQ34" s="1133"/>
      <c r="AR34" s="135"/>
      <c r="AS34" s="145"/>
      <c r="AT34" s="145"/>
      <c r="AU34" s="1124" t="str">
        <f>IFERROR(IF(OR(C34="",F34="",L34="",Q34="",S34="",U34="",Z34="",AB34="",AD34="",AF34=""),"",((1+ELOSS)*PEAKTD*(1+INDEX(ELECCB[Capacity Reserve Margin],MATCH(AX34,ELECCB[Year Number],0)))*((AO34*INDEX(ELECCB[NPV AEC $/kWh],MATCH(AX34,ELECCB[Year Number],1)))+(AV34*INDEX(ELECCB[NPV ACC+T&amp;D $/kW],MATCH(AX34,ELECCB[Year Number],1))))/AH34)),0)</f>
        <v/>
      </c>
      <c r="AV34" s="1141" t="str">
        <f>IF(OR(C34="",F34="",L34="",Q34="",S34="",U34="",Z34="",AB34="",AD34="",AF34=""),"",ROUND(AO34*INDEX(ENDUSEALL[Factor],MATCH(AW34,ENDUSEALL[End Use to Coincident Peak Demand Factors],0)),4))</f>
        <v/>
      </c>
      <c r="AW34" s="987" t="str">
        <f>IF(OR(C34="",F34="",L34="",Q34="",S34="",U34="",Z34="",AB34="",AD34="",AF34=""),"",INDEX(CMECOOK[End Use Category],MATCH(F34,CMECOOK[Proj Desc 1],0)))</f>
        <v/>
      </c>
      <c r="AX34" s="1126" t="str">
        <f>IF(OR(C34="",F34="",L34="",Q34="",S34="",U34="",Z34="",AB34="",AD34="",AF34=""),"",INDEX(CMECOOK[EUL],MATCH(F34,CMECOOK[Proj Desc 1],0)))</f>
        <v/>
      </c>
      <c r="AY34" s="1122" t="str">
        <f>IF(OR(C34="",F34="",L34="",Q34="",S34="",U34="",Z34="",AB34="",AD34="",AF34=""),"",INDEX(CMECOOK[Measure Number],MATCH(F34,CMECOOK[Proj Desc 1],0)))</f>
        <v/>
      </c>
      <c r="AZ34" s="1118" t="str">
        <f>IFERROR(ROUND(MIN(AH34*0.5,AO34*INDEX(ENDUSEALL[Inc Rate],MATCH(AW34,ENDUSEALL[End Use to Coincident Peak Demand Factors],0))),2),"")</f>
        <v/>
      </c>
      <c r="BA34" s="1118" t="str">
        <f>IFERROR(ROUND(MIN(AH34,AO34*INDEX(ENDUSEALL[Inc Rate],MATCH(AW34,ENDUSEALL[End Use to Coincident Peak Demand Factors],0))),2),"")</f>
        <v/>
      </c>
      <c r="BB34" s="1118" t="str">
        <f>IFERROR(AH34/M02S02F35/AO34,"")</f>
        <v/>
      </c>
      <c r="BC34" s="1118" t="str">
        <f>IFERROR(IF((Q34*S34)-(Z34*AB34)&lt;=0,MEASURESAV,IF(M02S02F35="",MEASURERATE, IF(AH34/M02S02F35/AO34&lt;1,MEASUREPAY,IF(AU34&lt;1,MEASURECB,"")))),MEASURESUBMIT)</f>
        <v>Submit for Review</v>
      </c>
    </row>
    <row r="35" spans="2:55" ht="15.95" customHeight="1" x14ac:dyDescent="0.25">
      <c r="B35" s="1063"/>
      <c r="C35" s="1104"/>
      <c r="D35" s="1104"/>
      <c r="E35" s="1104"/>
      <c r="F35" s="1112"/>
      <c r="G35" s="1112"/>
      <c r="H35" s="1112"/>
      <c r="I35" s="1112"/>
      <c r="J35" s="1112"/>
      <c r="K35" s="1112"/>
      <c r="L35" s="1112"/>
      <c r="M35" s="1112"/>
      <c r="N35" s="1112"/>
      <c r="O35" s="1112"/>
      <c r="P35" s="1112"/>
      <c r="Q35" s="1106"/>
      <c r="R35" s="1106"/>
      <c r="S35" s="1109"/>
      <c r="T35" s="1110"/>
      <c r="U35" s="1033"/>
      <c r="V35" s="1112"/>
      <c r="W35" s="1112"/>
      <c r="X35" s="1112"/>
      <c r="Y35" s="1112"/>
      <c r="Z35" s="1106"/>
      <c r="AA35" s="1106"/>
      <c r="AB35" s="1109"/>
      <c r="AC35" s="1121"/>
      <c r="AD35" s="1051"/>
      <c r="AE35" s="1137"/>
      <c r="AF35" s="1137"/>
      <c r="AG35" s="1138"/>
      <c r="AH35" s="1129"/>
      <c r="AI35" s="1130"/>
      <c r="AJ35" s="1130"/>
      <c r="AK35" s="1132"/>
      <c r="AL35" s="1132"/>
      <c r="AM35" s="1132"/>
      <c r="AN35" s="1132"/>
      <c r="AO35" s="1134"/>
      <c r="AP35" s="1134"/>
      <c r="AQ35" s="1134"/>
      <c r="AR35" s="135"/>
      <c r="AS35" s="145"/>
      <c r="AT35" s="145"/>
      <c r="AU35" s="1125"/>
      <c r="AV35" s="1142"/>
      <c r="AW35" s="988"/>
      <c r="AX35" s="1127"/>
      <c r="AY35" s="1123"/>
      <c r="AZ35" s="1119"/>
      <c r="BA35" s="1119"/>
      <c r="BB35" s="1119"/>
      <c r="BC35" s="1119"/>
    </row>
    <row r="36" spans="2:55" ht="15.95" hidden="1" customHeight="1" x14ac:dyDescent="0.25">
      <c r="B36" s="1063">
        <v>11</v>
      </c>
      <c r="C36" s="135"/>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row>
    <row r="37" spans="2:55" ht="15.95" hidden="1" customHeight="1" x14ac:dyDescent="0.25">
      <c r="B37" s="1063"/>
      <c r="C37" s="135"/>
      <c r="D37" s="135"/>
      <c r="E37" s="135"/>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row>
    <row r="38" spans="2:55" ht="15.95" hidden="1" customHeight="1" x14ac:dyDescent="0.25">
      <c r="B38" s="1063">
        <v>12</v>
      </c>
      <c r="C38" s="148"/>
      <c r="D38" s="148"/>
      <c r="E38" s="148"/>
      <c r="F38" s="148"/>
      <c r="G38" s="148"/>
      <c r="H38" s="148"/>
      <c r="I38" s="148"/>
      <c r="J38" s="148"/>
      <c r="K38" s="148"/>
      <c r="L38" s="148"/>
      <c r="M38" s="148"/>
      <c r="N38" s="148"/>
      <c r="O38" s="148"/>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35"/>
    </row>
    <row r="39" spans="2:55" ht="15.95" hidden="1" customHeight="1" x14ac:dyDescent="0.25">
      <c r="B39" s="1063"/>
      <c r="C39" s="148"/>
      <c r="D39" s="148"/>
      <c r="E39" s="148"/>
      <c r="F39" s="148"/>
      <c r="G39" s="148"/>
      <c r="H39" s="148"/>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35"/>
    </row>
    <row r="40" spans="2:55" ht="15.95" hidden="1" customHeight="1" x14ac:dyDescent="0.25">
      <c r="B40" s="1062">
        <v>13</v>
      </c>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row>
    <row r="41" spans="2:55" ht="15.95" hidden="1" customHeight="1" x14ac:dyDescent="0.25">
      <c r="B41" s="1062"/>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row>
    <row r="42" spans="2:55" ht="15.95" hidden="1" customHeight="1" x14ac:dyDescent="0.25">
      <c r="B42" s="1062">
        <v>14</v>
      </c>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row>
    <row r="43" spans="2:55" ht="15.95" hidden="1" customHeight="1" x14ac:dyDescent="0.25">
      <c r="B43" s="1062"/>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row>
    <row r="44" spans="2:55" ht="15.95" hidden="1" customHeight="1" x14ac:dyDescent="0.25">
      <c r="B44" s="1062">
        <v>15</v>
      </c>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row>
    <row r="45" spans="2:55" ht="15.95" hidden="1" customHeight="1" x14ac:dyDescent="0.25">
      <c r="B45" s="1062"/>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row>
    <row r="46" spans="2:55" ht="15.95" hidden="1" customHeight="1" x14ac:dyDescent="0.25">
      <c r="B46" s="1062">
        <v>16</v>
      </c>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row>
    <row r="47" spans="2:55" ht="15.95" hidden="1" customHeight="1" x14ac:dyDescent="0.25">
      <c r="B47" s="1062"/>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row>
    <row r="48" spans="2:55" ht="15.95" hidden="1" customHeight="1" x14ac:dyDescent="0.25">
      <c r="B48" s="1062">
        <v>17</v>
      </c>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row>
    <row r="49" spans="2:43" ht="15.95" hidden="1" customHeight="1" x14ac:dyDescent="0.25">
      <c r="B49" s="1062"/>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row>
    <row r="50" spans="2:43" ht="15.95" hidden="1" customHeight="1" x14ac:dyDescent="0.25">
      <c r="B50" s="1062">
        <v>18</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row>
    <row r="51" spans="2:43" ht="15.95" hidden="1" customHeight="1" x14ac:dyDescent="0.25">
      <c r="B51" s="1062"/>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row>
    <row r="52" spans="2:43" ht="15.95" hidden="1" customHeight="1" x14ac:dyDescent="0.25">
      <c r="B52" s="1062">
        <v>19</v>
      </c>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row>
    <row r="53" spans="2:43" ht="15.95" hidden="1" customHeight="1" x14ac:dyDescent="0.25">
      <c r="B53" s="1062"/>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row>
    <row r="54" spans="2:43" ht="15.95" hidden="1" customHeight="1" x14ac:dyDescent="0.25">
      <c r="B54" s="1062">
        <v>20</v>
      </c>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row>
    <row r="55" spans="2:43" ht="15.95" hidden="1" customHeight="1" x14ac:dyDescent="0.25">
      <c r="B55" s="1062"/>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row>
    <row r="56" spans="2:43" ht="15.95" hidden="1" customHeight="1" x14ac:dyDescent="0.25">
      <c r="B56" s="1062">
        <v>21</v>
      </c>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row>
    <row r="57" spans="2:43" ht="15.95" hidden="1" customHeight="1" x14ac:dyDescent="0.25">
      <c r="B57" s="1062"/>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row>
    <row r="58" spans="2:43" ht="15.95" hidden="1" customHeight="1" x14ac:dyDescent="0.25">
      <c r="B58" s="1062">
        <v>22</v>
      </c>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row>
    <row r="59" spans="2:43" ht="15.95" hidden="1" customHeight="1" x14ac:dyDescent="0.25">
      <c r="B59" s="1062"/>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row>
    <row r="60" spans="2:43" ht="15.95" hidden="1" customHeight="1" x14ac:dyDescent="0.25">
      <c r="B60" s="1062">
        <v>23</v>
      </c>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row>
    <row r="61" spans="2:43" ht="15.95" hidden="1" customHeight="1" x14ac:dyDescent="0.25">
      <c r="B61" s="1062"/>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row>
    <row r="62" spans="2:43" ht="15.95" hidden="1" customHeight="1" x14ac:dyDescent="0.25">
      <c r="B62" s="1062">
        <v>24</v>
      </c>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row>
    <row r="63" spans="2:43" ht="15.95" hidden="1" customHeight="1" x14ac:dyDescent="0.25">
      <c r="B63" s="1062"/>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row>
    <row r="64" spans="2:43" ht="15.95" hidden="1" customHeight="1" x14ac:dyDescent="0.25">
      <c r="B64" s="1062">
        <v>25</v>
      </c>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row>
    <row r="65" spans="2:43" ht="15.95" hidden="1" customHeight="1" x14ac:dyDescent="0.25">
      <c r="B65" s="1062"/>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row>
    <row r="66" spans="2:43" ht="15.95" hidden="1" customHeight="1" x14ac:dyDescent="0.25">
      <c r="B66" s="1062">
        <v>26</v>
      </c>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row>
    <row r="67" spans="2:43" ht="15.95" hidden="1" customHeight="1" x14ac:dyDescent="0.25">
      <c r="B67" s="1062"/>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row>
    <row r="68" spans="2:43" ht="15.95" hidden="1" customHeight="1" x14ac:dyDescent="0.25">
      <c r="B68" s="1062">
        <v>27</v>
      </c>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row>
    <row r="69" spans="2:43" ht="15.95" hidden="1" customHeight="1" x14ac:dyDescent="0.25">
      <c r="B69" s="1062"/>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row>
    <row r="70" spans="2:43" ht="15.95" hidden="1" customHeight="1" x14ac:dyDescent="0.25">
      <c r="B70" s="1062">
        <v>28</v>
      </c>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row>
    <row r="71" spans="2:43" ht="15.95" hidden="1" customHeight="1" x14ac:dyDescent="0.25">
      <c r="B71" s="1062"/>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row>
    <row r="72" spans="2:43" ht="15.95" hidden="1" customHeight="1" x14ac:dyDescent="0.25">
      <c r="B72" s="1062">
        <v>29</v>
      </c>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row>
    <row r="73" spans="2:43" ht="15.95" hidden="1" customHeight="1" x14ac:dyDescent="0.25">
      <c r="B73" s="1062"/>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row>
    <row r="74" spans="2:43" ht="15.95" hidden="1" customHeight="1" x14ac:dyDescent="0.25">
      <c r="B74" s="1062">
        <v>30</v>
      </c>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row>
    <row r="75" spans="2:43" ht="15.95" hidden="1" customHeight="1" x14ac:dyDescent="0.25">
      <c r="B75" s="1062"/>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row>
    <row r="76" spans="2:43" ht="15.95" hidden="1" customHeight="1" x14ac:dyDescent="0.25">
      <c r="B76" s="1062">
        <v>31</v>
      </c>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row>
    <row r="77" spans="2:43" ht="15.95" hidden="1" customHeight="1" x14ac:dyDescent="0.25">
      <c r="B77" s="1062"/>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row>
    <row r="78" spans="2:43" ht="15.95" hidden="1" customHeight="1" x14ac:dyDescent="0.25">
      <c r="B78" s="1062">
        <v>32</v>
      </c>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row>
    <row r="79" spans="2:43" ht="15.95" hidden="1" customHeight="1" x14ac:dyDescent="0.25">
      <c r="B79" s="1062"/>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row>
    <row r="80" spans="2:43" ht="15.95" hidden="1" customHeight="1" x14ac:dyDescent="0.25">
      <c r="B80" s="1062">
        <v>33</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row>
    <row r="81" spans="2:43" ht="15.95" hidden="1" customHeight="1" x14ac:dyDescent="0.25">
      <c r="B81" s="1062"/>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row>
    <row r="82" spans="2:43" ht="15.95" hidden="1" customHeight="1" x14ac:dyDescent="0.25">
      <c r="B82" s="1062">
        <v>34</v>
      </c>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row>
    <row r="83" spans="2:43" ht="15.95" hidden="1" customHeight="1" x14ac:dyDescent="0.25">
      <c r="B83" s="1062"/>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row>
    <row r="84" spans="2:43" ht="15.95" hidden="1" customHeight="1" x14ac:dyDescent="0.25">
      <c r="B84" s="1062">
        <v>35</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row>
    <row r="85" spans="2:43" ht="15.95" hidden="1" customHeight="1" x14ac:dyDescent="0.25">
      <c r="B85" s="1062"/>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row>
    <row r="86" spans="2:43" ht="15.95" hidden="1" customHeight="1" x14ac:dyDescent="0.25">
      <c r="B86" s="1062">
        <v>36</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row>
    <row r="87" spans="2:43" ht="15.95" hidden="1" customHeight="1" x14ac:dyDescent="0.25">
      <c r="B87" s="1062"/>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row>
    <row r="88" spans="2:43" ht="15.95" hidden="1" customHeight="1" x14ac:dyDescent="0.25">
      <c r="B88" s="1062">
        <v>37</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row>
    <row r="89" spans="2:43" ht="15.95" hidden="1" customHeight="1" x14ac:dyDescent="0.25">
      <c r="B89" s="1062"/>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row>
    <row r="90" spans="2:43" ht="15.95" hidden="1" customHeight="1" x14ac:dyDescent="0.25">
      <c r="B90" s="1062">
        <v>38</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row>
    <row r="91" spans="2:43" ht="15.95" hidden="1" customHeight="1" x14ac:dyDescent="0.25">
      <c r="B91" s="1062"/>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row>
    <row r="92" spans="2:43" ht="15.95" hidden="1" customHeight="1" x14ac:dyDescent="0.25">
      <c r="B92" s="1062">
        <v>39</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row>
    <row r="93" spans="2:43" ht="15.95" hidden="1" customHeight="1" x14ac:dyDescent="0.25">
      <c r="B93" s="1062"/>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row>
    <row r="94" spans="2:43" ht="15.95" hidden="1" customHeight="1" x14ac:dyDescent="0.25">
      <c r="B94" s="1062">
        <v>40</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row>
    <row r="95" spans="2:43" ht="15.95" hidden="1" customHeight="1" x14ac:dyDescent="0.25">
      <c r="B95" s="1062"/>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row>
    <row r="96" spans="2:43" ht="15.95" hidden="1" customHeight="1" x14ac:dyDescent="0.25">
      <c r="B96" s="1062">
        <v>41</v>
      </c>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row>
    <row r="97" spans="2:43" ht="15.95" hidden="1" customHeight="1" x14ac:dyDescent="0.25">
      <c r="B97" s="1062"/>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row>
    <row r="98" spans="2:43" ht="15.95" hidden="1" customHeight="1" x14ac:dyDescent="0.25">
      <c r="B98" s="1062">
        <v>42</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row>
    <row r="99" spans="2:43" ht="15.95" hidden="1" customHeight="1" x14ac:dyDescent="0.25">
      <c r="B99" s="1062"/>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row>
    <row r="100" spans="2:43" ht="15.95" hidden="1" customHeight="1" x14ac:dyDescent="0.25">
      <c r="B100" s="1062">
        <v>43</v>
      </c>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row>
    <row r="101" spans="2:43" ht="15.95" hidden="1" customHeight="1" x14ac:dyDescent="0.25">
      <c r="B101" s="1062"/>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row>
    <row r="102" spans="2:43" ht="15.95" hidden="1" customHeight="1" x14ac:dyDescent="0.25">
      <c r="B102" s="1062">
        <v>44</v>
      </c>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row>
    <row r="103" spans="2:43" ht="15.95" hidden="1" customHeight="1" x14ac:dyDescent="0.25">
      <c r="B103" s="1062"/>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row>
    <row r="104" spans="2:43" ht="15.95" hidden="1" customHeight="1" x14ac:dyDescent="0.25">
      <c r="B104" s="1062">
        <v>45</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row>
    <row r="105" spans="2:43" ht="15.95" hidden="1" customHeight="1" x14ac:dyDescent="0.25">
      <c r="B105" s="1062"/>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row>
    <row r="106" spans="2:43" ht="15.95" hidden="1" customHeight="1" x14ac:dyDescent="0.25">
      <c r="B106" s="1062">
        <v>46</v>
      </c>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row>
    <row r="107" spans="2:43" ht="15.95" hidden="1" customHeight="1" x14ac:dyDescent="0.25">
      <c r="B107" s="1062"/>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row>
    <row r="108" spans="2:43" ht="15.95" hidden="1" customHeight="1" x14ac:dyDescent="0.25">
      <c r="B108" s="1062">
        <v>47</v>
      </c>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row>
    <row r="109" spans="2:43" ht="15.95" hidden="1" customHeight="1" x14ac:dyDescent="0.25">
      <c r="B109" s="1062"/>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row>
    <row r="110" spans="2:43" ht="15.95" hidden="1" customHeight="1" x14ac:dyDescent="0.25">
      <c r="B110" s="1062">
        <v>48</v>
      </c>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row>
    <row r="111" spans="2:43" ht="15.95" hidden="1" customHeight="1" x14ac:dyDescent="0.25">
      <c r="B111" s="1062"/>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row>
    <row r="112" spans="2:43" ht="15.95" hidden="1" customHeight="1" x14ac:dyDescent="0.25">
      <c r="B112" s="1062">
        <v>49</v>
      </c>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row>
    <row r="113" spans="2:43" ht="15.95" hidden="1" customHeight="1" x14ac:dyDescent="0.25">
      <c r="B113" s="1062"/>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row>
    <row r="114" spans="2:43" ht="15.95" hidden="1" customHeight="1" x14ac:dyDescent="0.25">
      <c r="B114" s="1062">
        <v>50</v>
      </c>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row>
    <row r="115" spans="2:43" ht="15.95" hidden="1" customHeight="1" x14ac:dyDescent="0.25">
      <c r="B115" s="1062"/>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row>
    <row r="116" spans="2:43" ht="15.95" hidden="1" customHeight="1" x14ac:dyDescent="0.25">
      <c r="B116" s="1062">
        <v>51</v>
      </c>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row>
    <row r="117" spans="2:43" ht="15.95" hidden="1" customHeight="1" x14ac:dyDescent="0.25">
      <c r="B117" s="1062"/>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row>
    <row r="118" spans="2:43" ht="15.95" hidden="1" customHeight="1" x14ac:dyDescent="0.25">
      <c r="B118" s="1062">
        <v>52</v>
      </c>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row>
    <row r="119" spans="2:43" ht="15.95" hidden="1" customHeight="1" x14ac:dyDescent="0.25">
      <c r="B119" s="1062"/>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row>
    <row r="120" spans="2:43" ht="15.95" hidden="1" customHeight="1" x14ac:dyDescent="0.25">
      <c r="B120" s="1062">
        <v>53</v>
      </c>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row>
    <row r="121" spans="2:43" ht="15.95" hidden="1" customHeight="1" x14ac:dyDescent="0.25">
      <c r="B121" s="1062"/>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row>
    <row r="122" spans="2:43" ht="15.95" hidden="1" customHeight="1" x14ac:dyDescent="0.25">
      <c r="B122" s="1062">
        <v>54</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row>
    <row r="123" spans="2:43" ht="15.95" hidden="1" customHeight="1" x14ac:dyDescent="0.25">
      <c r="B123" s="1062"/>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row>
    <row r="124" spans="2:43" ht="15.95" hidden="1" customHeight="1" x14ac:dyDescent="0.25">
      <c r="B124" s="1062">
        <v>55</v>
      </c>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row>
    <row r="125" spans="2:43" ht="15.95" hidden="1" customHeight="1" x14ac:dyDescent="0.25">
      <c r="B125" s="1062"/>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row>
    <row r="126" spans="2:43" ht="15.95" hidden="1" customHeight="1" x14ac:dyDescent="0.25">
      <c r="B126" s="1062">
        <v>56</v>
      </c>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row>
    <row r="127" spans="2:43" ht="15.95" hidden="1" customHeight="1" x14ac:dyDescent="0.25">
      <c r="B127" s="1062"/>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row>
    <row r="128" spans="2:43" ht="15.95" hidden="1" customHeight="1" x14ac:dyDescent="0.25">
      <c r="B128" s="1062">
        <v>57</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row>
    <row r="129" spans="2:43" ht="15.95" hidden="1" customHeight="1" x14ac:dyDescent="0.25">
      <c r="B129" s="1062"/>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row>
    <row r="130" spans="2:43" ht="15.95" hidden="1" customHeight="1" x14ac:dyDescent="0.25">
      <c r="B130" s="1062">
        <v>58</v>
      </c>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row>
    <row r="131" spans="2:43" ht="15.95" hidden="1" customHeight="1" x14ac:dyDescent="0.25">
      <c r="B131" s="1062"/>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row>
    <row r="132" spans="2:43" ht="15.95" hidden="1" customHeight="1" x14ac:dyDescent="0.25">
      <c r="B132" s="1062">
        <v>59</v>
      </c>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row>
    <row r="133" spans="2:43" ht="15.95" hidden="1" customHeight="1" x14ac:dyDescent="0.25">
      <c r="B133" s="1062"/>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row>
    <row r="134" spans="2:43" ht="15.95" hidden="1" customHeight="1" x14ac:dyDescent="0.25">
      <c r="B134" s="1062">
        <v>60</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row>
    <row r="135" spans="2:43" ht="15.95" hidden="1" customHeight="1" x14ac:dyDescent="0.25">
      <c r="B135" s="1062"/>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row>
    <row r="136" spans="2:43" ht="15.95" hidden="1" customHeight="1" x14ac:dyDescent="0.25">
      <c r="B136" s="1062">
        <v>61</v>
      </c>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row>
    <row r="137" spans="2:43" ht="15.95" hidden="1" customHeight="1" x14ac:dyDescent="0.25">
      <c r="B137" s="1062"/>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row>
    <row r="138" spans="2:43" ht="15.95" hidden="1" customHeight="1" x14ac:dyDescent="0.25">
      <c r="B138" s="1062">
        <v>62</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row>
    <row r="139" spans="2:43" ht="15.95" hidden="1" customHeight="1" x14ac:dyDescent="0.25">
      <c r="B139" s="1062"/>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row>
    <row r="140" spans="2:43" ht="15.95" hidden="1" customHeight="1" x14ac:dyDescent="0.25">
      <c r="B140" s="1062">
        <v>63</v>
      </c>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row>
    <row r="141" spans="2:43" ht="15.95" hidden="1" customHeight="1" x14ac:dyDescent="0.25">
      <c r="B141" s="1062"/>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row>
    <row r="142" spans="2:43" ht="15.95" hidden="1" customHeight="1" x14ac:dyDescent="0.25">
      <c r="B142" s="1062">
        <v>64</v>
      </c>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row>
    <row r="143" spans="2:43" ht="15.95" hidden="1" customHeight="1" x14ac:dyDescent="0.25">
      <c r="B143" s="1062"/>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row>
    <row r="144" spans="2:43" ht="15.95" hidden="1" customHeight="1" x14ac:dyDescent="0.25">
      <c r="B144" s="1062">
        <v>65</v>
      </c>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row>
    <row r="145" spans="2:43" ht="15.95" hidden="1" customHeight="1" x14ac:dyDescent="0.25">
      <c r="B145" s="1062"/>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row>
    <row r="146" spans="2:43" ht="15.95" hidden="1" customHeight="1" x14ac:dyDescent="0.25">
      <c r="B146" s="1062">
        <v>66</v>
      </c>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row>
    <row r="147" spans="2:43" ht="15.95" hidden="1" customHeight="1" x14ac:dyDescent="0.25">
      <c r="B147" s="1062"/>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row>
    <row r="148" spans="2:43" ht="15.95" hidden="1" customHeight="1" x14ac:dyDescent="0.25">
      <c r="B148" s="1062">
        <v>67</v>
      </c>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row>
    <row r="149" spans="2:43" ht="15.95" hidden="1" customHeight="1" x14ac:dyDescent="0.25">
      <c r="B149" s="1062"/>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row>
    <row r="150" spans="2:43" ht="15.95" hidden="1" customHeight="1" x14ac:dyDescent="0.25">
      <c r="B150" s="1062">
        <v>68</v>
      </c>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row>
    <row r="151" spans="2:43" ht="15.95" hidden="1" customHeight="1" x14ac:dyDescent="0.25">
      <c r="B151" s="1062"/>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row>
    <row r="152" spans="2:43" ht="15.95" hidden="1" customHeight="1" x14ac:dyDescent="0.25">
      <c r="B152" s="1062">
        <v>69</v>
      </c>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row>
    <row r="153" spans="2:43" ht="15.95" hidden="1" customHeight="1" x14ac:dyDescent="0.25">
      <c r="B153" s="1062"/>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row>
    <row r="154" spans="2:43" ht="15.95" hidden="1" customHeight="1" x14ac:dyDescent="0.25">
      <c r="B154" s="1062">
        <v>70</v>
      </c>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row>
    <row r="155" spans="2:43" ht="15.95" hidden="1" customHeight="1" x14ac:dyDescent="0.25">
      <c r="B155" s="1062"/>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row>
    <row r="156" spans="2:43" ht="15.95" hidden="1" customHeight="1" x14ac:dyDescent="0.25">
      <c r="B156" s="1062">
        <v>71</v>
      </c>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row>
    <row r="157" spans="2:43" ht="15.95" hidden="1" customHeight="1" x14ac:dyDescent="0.25">
      <c r="B157" s="1062"/>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row>
    <row r="158" spans="2:43" ht="15.95" hidden="1" customHeight="1" x14ac:dyDescent="0.25">
      <c r="B158" s="1062">
        <v>72</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3" ht="15.95" hidden="1" customHeight="1" x14ac:dyDescent="0.25">
      <c r="B159" s="1062"/>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3" ht="15.95" hidden="1" customHeight="1" x14ac:dyDescent="0.25">
      <c r="B160" s="1062">
        <v>73</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hidden="1" customHeight="1" x14ac:dyDescent="0.25">
      <c r="B161" s="1062"/>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hidden="1" customHeight="1" x14ac:dyDescent="0.25">
      <c r="B162" s="1062">
        <v>74</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hidden="1" customHeight="1" x14ac:dyDescent="0.25">
      <c r="B163" s="1062"/>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hidden="1" customHeight="1" x14ac:dyDescent="0.25">
      <c r="B164" s="1062">
        <v>75</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hidden="1" customHeight="1" x14ac:dyDescent="0.25">
      <c r="B165" s="1062"/>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hidden="1" customHeight="1" x14ac:dyDescent="0.25">
      <c r="B166" s="1062">
        <v>76</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hidden="1" customHeight="1" x14ac:dyDescent="0.25">
      <c r="B167" s="1062"/>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hidden="1" customHeight="1" x14ac:dyDescent="0.25">
      <c r="B168" s="1062">
        <v>77</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hidden="1" customHeight="1" x14ac:dyDescent="0.25">
      <c r="B169" s="1062"/>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hidden="1" customHeight="1" x14ac:dyDescent="0.25">
      <c r="B170" s="1062">
        <v>78</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hidden="1" customHeight="1" x14ac:dyDescent="0.25">
      <c r="B171" s="1062"/>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hidden="1" customHeight="1" x14ac:dyDescent="0.25">
      <c r="B172" s="1062">
        <v>79</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hidden="1" customHeight="1" x14ac:dyDescent="0.25">
      <c r="B173" s="1062"/>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hidden="1" customHeight="1" x14ac:dyDescent="0.25">
      <c r="B174" s="1062">
        <v>80</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hidden="1" customHeight="1" x14ac:dyDescent="0.25">
      <c r="B175" s="1062"/>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hidden="1" customHeight="1" x14ac:dyDescent="0.25">
      <c r="B176" s="1062">
        <v>81</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hidden="1" customHeight="1" x14ac:dyDescent="0.25">
      <c r="B177" s="1062"/>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hidden="1" customHeight="1" x14ac:dyDescent="0.25">
      <c r="B178" s="1062">
        <v>82</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hidden="1" customHeight="1" x14ac:dyDescent="0.25">
      <c r="B179" s="1062"/>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hidden="1" customHeight="1" x14ac:dyDescent="0.25">
      <c r="B180" s="1062">
        <v>83</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hidden="1" customHeight="1" x14ac:dyDescent="0.25">
      <c r="B181" s="1062"/>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hidden="1" customHeight="1" x14ac:dyDescent="0.25">
      <c r="B182" s="1062">
        <v>84</v>
      </c>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hidden="1" customHeight="1" x14ac:dyDescent="0.25">
      <c r="B183" s="1062"/>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hidden="1" customHeight="1" x14ac:dyDescent="0.25">
      <c r="B184" s="1062">
        <v>85</v>
      </c>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hidden="1" customHeight="1" x14ac:dyDescent="0.25">
      <c r="B185" s="1062"/>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hidden="1" customHeight="1" x14ac:dyDescent="0.25">
      <c r="B186" s="1062">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hidden="1" customHeight="1" x14ac:dyDescent="0.25">
      <c r="B187" s="1062"/>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hidden="1" customHeight="1" x14ac:dyDescent="0.25">
      <c r="B188" s="1062">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hidden="1" customHeight="1" x14ac:dyDescent="0.25">
      <c r="B189" s="1062"/>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hidden="1" customHeight="1" x14ac:dyDescent="0.25">
      <c r="B190" s="1062">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hidden="1" customHeight="1" x14ac:dyDescent="0.25">
      <c r="B191" s="1062"/>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hidden="1" customHeight="1" x14ac:dyDescent="0.25">
      <c r="B192" s="1062">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4" ht="15.95" hidden="1" customHeight="1" x14ac:dyDescent="0.25">
      <c r="B193" s="1062"/>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4" ht="15.95" hidden="1" customHeight="1" x14ac:dyDescent="0.25">
      <c r="B194" s="1062">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4" ht="15.95" hidden="1" customHeight="1" x14ac:dyDescent="0.25">
      <c r="B195" s="1062"/>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4" ht="15.95" hidden="1" customHeight="1" x14ac:dyDescent="0.25">
      <c r="B196" s="1062">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4" ht="15.95" hidden="1" customHeight="1" x14ac:dyDescent="0.25">
      <c r="B197" s="1062"/>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4" ht="15.95" hidden="1" customHeight="1" x14ac:dyDescent="0.25">
      <c r="B198" s="1062">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4" ht="15.95" hidden="1" customHeight="1" x14ac:dyDescent="0.25">
      <c r="B199" s="1062"/>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4" ht="15.95" customHeight="1" x14ac:dyDescent="0.25">
      <c r="B200" s="136" t="str">
        <f>FOOT1</f>
        <v>Ameren Missouri BizSavers program</v>
      </c>
      <c r="C200" s="136"/>
      <c r="D200" s="136"/>
      <c r="E200" s="136"/>
      <c r="F200" s="136"/>
      <c r="G200" s="136"/>
      <c r="H200" s="136"/>
      <c r="I200" s="136"/>
      <c r="J200" s="136"/>
      <c r="K200" s="136"/>
      <c r="L200" s="136"/>
      <c r="M200" s="729" t="str">
        <f>FOOTDISCLAIM</f>
        <v/>
      </c>
      <c r="N200" s="729"/>
      <c r="O200" s="729"/>
      <c r="P200" s="729"/>
      <c r="Q200" s="729"/>
      <c r="R200" s="729"/>
      <c r="S200" s="729"/>
      <c r="T200" s="729"/>
      <c r="U200" s="729"/>
      <c r="V200" s="729"/>
      <c r="W200" s="729"/>
      <c r="X200" s="729"/>
      <c r="Y200" s="729"/>
      <c r="Z200" s="729"/>
      <c r="AA200" s="729"/>
      <c r="AB200" s="729"/>
      <c r="AC200" s="729"/>
      <c r="AD200" s="729"/>
      <c r="AE200" s="729"/>
      <c r="AF200" s="729"/>
      <c r="AG200" s="729"/>
      <c r="AH200" s="136"/>
      <c r="AI200" s="136"/>
      <c r="AJ200" s="136"/>
      <c r="AK200" s="136"/>
      <c r="AL200" s="136"/>
      <c r="AM200" s="136"/>
      <c r="AN200" s="136"/>
      <c r="AO200" s="136"/>
      <c r="AP200" s="136"/>
      <c r="AQ200" s="136"/>
      <c r="AR200" s="300" t="str">
        <f>FOOT4</f>
        <v/>
      </c>
    </row>
    <row r="201" spans="2:44" ht="15.95" customHeight="1" x14ac:dyDescent="0.25">
      <c r="B201" s="136" t="str">
        <f>FOOT2</f>
        <v>Toll-Free 866-941-7299</v>
      </c>
      <c r="C201" s="136"/>
      <c r="D201" s="136"/>
      <c r="E201" s="136"/>
      <c r="F201" s="136"/>
      <c r="G201" s="136"/>
      <c r="H201" s="136"/>
      <c r="I201" s="136"/>
      <c r="J201" s="136"/>
      <c r="K201" s="136"/>
      <c r="L201" s="136"/>
      <c r="M201" s="729"/>
      <c r="N201" s="729"/>
      <c r="O201" s="729"/>
      <c r="P201" s="729"/>
      <c r="Q201" s="729"/>
      <c r="R201" s="729"/>
      <c r="S201" s="729"/>
      <c r="T201" s="729"/>
      <c r="U201" s="729"/>
      <c r="V201" s="729"/>
      <c r="W201" s="729"/>
      <c r="X201" s="729"/>
      <c r="Y201" s="729"/>
      <c r="Z201" s="729"/>
      <c r="AA201" s="729"/>
      <c r="AB201" s="729"/>
      <c r="AC201" s="729"/>
      <c r="AD201" s="729"/>
      <c r="AE201" s="729"/>
      <c r="AF201" s="729"/>
      <c r="AG201" s="729"/>
      <c r="AH201" s="136"/>
      <c r="AI201" s="136"/>
      <c r="AJ201" s="136"/>
      <c r="AK201" s="136"/>
      <c r="AL201" s="136"/>
      <c r="AM201" s="136"/>
      <c r="AN201" s="136"/>
      <c r="AO201" s="136"/>
      <c r="AP201" s="136"/>
      <c r="AQ201" s="136"/>
      <c r="AR201" s="300" t="str">
        <f>FOOT5</f>
        <v/>
      </c>
    </row>
    <row r="202" spans="2:44" ht="15.95" customHeight="1" x14ac:dyDescent="0.25">
      <c r="B202" s="138" t="str">
        <f>FOOT3</f>
        <v>BizSavers@ameren.com</v>
      </c>
      <c r="C202" s="136"/>
      <c r="D202" s="136"/>
      <c r="E202" s="136"/>
      <c r="F202" s="136"/>
      <c r="G202" s="136"/>
      <c r="H202" s="136"/>
      <c r="I202" s="136"/>
      <c r="J202" s="136"/>
      <c r="K202" s="136"/>
      <c r="L202" s="136"/>
      <c r="M202" s="139"/>
      <c r="N202" s="136"/>
      <c r="O202" s="136"/>
      <c r="P202" s="139"/>
      <c r="Q202" s="139"/>
      <c r="R202" s="139"/>
      <c r="S202" s="139"/>
      <c r="T202" s="139"/>
      <c r="U202" s="139"/>
      <c r="V202" s="139"/>
      <c r="W202" s="140" t="str">
        <f>VERSION</f>
        <v>New Construction v3.8.0</v>
      </c>
      <c r="X202" s="139"/>
      <c r="Y202" s="139"/>
      <c r="Z202" s="139"/>
      <c r="AA202" s="139"/>
      <c r="AB202" s="139"/>
      <c r="AC202" s="139"/>
      <c r="AD202" s="139"/>
      <c r="AE202" s="136"/>
      <c r="AF202" s="136"/>
      <c r="AG202" s="136"/>
      <c r="AH202" s="136"/>
      <c r="AI202" s="136"/>
      <c r="AJ202" s="136"/>
      <c r="AK202" s="136"/>
      <c r="AL202" s="136"/>
      <c r="AM202" s="136"/>
      <c r="AN202" s="136"/>
      <c r="AO202" s="136"/>
      <c r="AP202" s="136"/>
      <c r="AQ202" s="136"/>
      <c r="AR202" s="300" t="str">
        <f>FOOT6</f>
        <v>Product of TRC Companies</v>
      </c>
    </row>
    <row r="203" spans="2:44" ht="15" hidden="1" customHeight="1" x14ac:dyDescent="0.25"/>
  </sheetData>
  <sheetProtection algorithmName="SHA-512" hashValue="0QnPd3/r/Z0Lg5Qf1iQNKRA1Q7OIUNrJQ1y38Ae7vCELFj2hZMOGr08kZtcJe51HYq0E+3WpKc04Wc4RCzrcGg==" saltValue="0m2wk42wtCdR/N6j9GOpig==" spinCount="100000" sheet="1" objects="1" scenarios="1" selectLockedCells="1"/>
  <mergeCells count="350">
    <mergeCell ref="BB34:BB35"/>
    <mergeCell ref="BC34:BC35"/>
    <mergeCell ref="BB24:BB25"/>
    <mergeCell ref="BC24:BC25"/>
    <mergeCell ref="BB26:BB27"/>
    <mergeCell ref="BC26:BC27"/>
    <mergeCell ref="BB28:BB29"/>
    <mergeCell ref="BC28:BC29"/>
    <mergeCell ref="BB30:BB31"/>
    <mergeCell ref="BC30:BC31"/>
    <mergeCell ref="BB32:BB33"/>
    <mergeCell ref="BC32:BC33"/>
    <mergeCell ref="BB14:BB15"/>
    <mergeCell ref="BC14:BC15"/>
    <mergeCell ref="BB16:BB17"/>
    <mergeCell ref="BC16:BC17"/>
    <mergeCell ref="BB18:BB19"/>
    <mergeCell ref="BC18:BC19"/>
    <mergeCell ref="BB20:BB21"/>
    <mergeCell ref="BC20:BC21"/>
    <mergeCell ref="BB22:BB23"/>
    <mergeCell ref="BC22:BC23"/>
    <mergeCell ref="AZ34:AZ35"/>
    <mergeCell ref="BA34:BA35"/>
    <mergeCell ref="AF34:AG35"/>
    <mergeCell ref="AH34:AJ35"/>
    <mergeCell ref="AK34:AN35"/>
    <mergeCell ref="AO34:AQ35"/>
    <mergeCell ref="AU34:AU35"/>
    <mergeCell ref="AV34:AV35"/>
    <mergeCell ref="AW34:AW35"/>
    <mergeCell ref="AX34:AX35"/>
    <mergeCell ref="AY34:AY35"/>
    <mergeCell ref="C34:E35"/>
    <mergeCell ref="F34:K35"/>
    <mergeCell ref="L34:P35"/>
    <mergeCell ref="Q34:R35"/>
    <mergeCell ref="S34:T35"/>
    <mergeCell ref="U34:Y35"/>
    <mergeCell ref="Z34:AA35"/>
    <mergeCell ref="AB34:AC35"/>
    <mergeCell ref="AD34:AE35"/>
    <mergeCell ref="AZ30:AZ31"/>
    <mergeCell ref="BA30:BA31"/>
    <mergeCell ref="C32:E33"/>
    <mergeCell ref="F32:K33"/>
    <mergeCell ref="L32:P33"/>
    <mergeCell ref="Q32:R33"/>
    <mergeCell ref="S32:T33"/>
    <mergeCell ref="U32:Y33"/>
    <mergeCell ref="Z32:AA33"/>
    <mergeCell ref="AB32:AC33"/>
    <mergeCell ref="AD32:AE33"/>
    <mergeCell ref="AF32:AG33"/>
    <mergeCell ref="AH32:AJ33"/>
    <mergeCell ref="AK32:AN33"/>
    <mergeCell ref="AO32:AQ33"/>
    <mergeCell ref="AU32:AU33"/>
    <mergeCell ref="AV32:AV33"/>
    <mergeCell ref="AW32:AW33"/>
    <mergeCell ref="AX32:AX33"/>
    <mergeCell ref="AY32:AY33"/>
    <mergeCell ref="AZ32:AZ33"/>
    <mergeCell ref="BA32:BA33"/>
    <mergeCell ref="AF30:AG31"/>
    <mergeCell ref="AH30:AJ31"/>
    <mergeCell ref="AK30:AN31"/>
    <mergeCell ref="AO30:AQ31"/>
    <mergeCell ref="AU30:AU31"/>
    <mergeCell ref="AV30:AV31"/>
    <mergeCell ref="AW30:AW31"/>
    <mergeCell ref="AX30:AX31"/>
    <mergeCell ref="AY30:AY31"/>
    <mergeCell ref="C30:E31"/>
    <mergeCell ref="F30:K31"/>
    <mergeCell ref="L30:P31"/>
    <mergeCell ref="Q30:R31"/>
    <mergeCell ref="S30:T31"/>
    <mergeCell ref="U30:Y31"/>
    <mergeCell ref="Z30:AA31"/>
    <mergeCell ref="AB30:AC31"/>
    <mergeCell ref="AD30:AE31"/>
    <mergeCell ref="AZ26:AZ27"/>
    <mergeCell ref="BA26:BA27"/>
    <mergeCell ref="C28:E29"/>
    <mergeCell ref="F28:K29"/>
    <mergeCell ref="L28:P29"/>
    <mergeCell ref="Q28:R29"/>
    <mergeCell ref="S28:T29"/>
    <mergeCell ref="U28:Y29"/>
    <mergeCell ref="Z28:AA29"/>
    <mergeCell ref="AB28:AC29"/>
    <mergeCell ref="AD28:AE29"/>
    <mergeCell ref="AF28:AG29"/>
    <mergeCell ref="AH28:AJ29"/>
    <mergeCell ref="AK28:AN29"/>
    <mergeCell ref="AO28:AQ29"/>
    <mergeCell ref="AU28:AU29"/>
    <mergeCell ref="AV28:AV29"/>
    <mergeCell ref="AW28:AW29"/>
    <mergeCell ref="AX28:AX29"/>
    <mergeCell ref="AY28:AY29"/>
    <mergeCell ref="AZ28:AZ29"/>
    <mergeCell ref="BA28:BA29"/>
    <mergeCell ref="AF26:AG27"/>
    <mergeCell ref="AH26:AJ27"/>
    <mergeCell ref="AK26:AN27"/>
    <mergeCell ref="AO26:AQ27"/>
    <mergeCell ref="AU26:AU27"/>
    <mergeCell ref="AV26:AV27"/>
    <mergeCell ref="AW26:AW27"/>
    <mergeCell ref="AX26:AX27"/>
    <mergeCell ref="AY26:AY27"/>
    <mergeCell ref="C26:E27"/>
    <mergeCell ref="F26:K27"/>
    <mergeCell ref="L26:P27"/>
    <mergeCell ref="Q26:R27"/>
    <mergeCell ref="S26:T27"/>
    <mergeCell ref="U26:Y27"/>
    <mergeCell ref="Z26:AA27"/>
    <mergeCell ref="AB26:AC27"/>
    <mergeCell ref="AD26:AE27"/>
    <mergeCell ref="C24:E25"/>
    <mergeCell ref="Z24:AA25"/>
    <mergeCell ref="AX24:AX25"/>
    <mergeCell ref="AY24:AY25"/>
    <mergeCell ref="AB24:AC25"/>
    <mergeCell ref="AD24:AE25"/>
    <mergeCell ref="AW20:AW21"/>
    <mergeCell ref="C20:E21"/>
    <mergeCell ref="Z20:AA21"/>
    <mergeCell ref="AX20:AX21"/>
    <mergeCell ref="AY20:AY21"/>
    <mergeCell ref="C22:E23"/>
    <mergeCell ref="Z22:AA23"/>
    <mergeCell ref="AB22:AC23"/>
    <mergeCell ref="AD22:AE23"/>
    <mergeCell ref="AF22:AG23"/>
    <mergeCell ref="AH22:AJ23"/>
    <mergeCell ref="AK22:AN23"/>
    <mergeCell ref="AO22:AQ23"/>
    <mergeCell ref="AU22:AU23"/>
    <mergeCell ref="AV22:AV23"/>
    <mergeCell ref="AW22:AW23"/>
    <mergeCell ref="AX22:AX23"/>
    <mergeCell ref="AY22:AY23"/>
    <mergeCell ref="AB20:AC21"/>
    <mergeCell ref="AD20:AE21"/>
    <mergeCell ref="C18:E19"/>
    <mergeCell ref="Z18:AA19"/>
    <mergeCell ref="AB18:AC19"/>
    <mergeCell ref="AD18:AE19"/>
    <mergeCell ref="AF18:AG19"/>
    <mergeCell ref="AH18:AJ19"/>
    <mergeCell ref="AK18:AN19"/>
    <mergeCell ref="AO18:AQ19"/>
    <mergeCell ref="AU18:AU19"/>
    <mergeCell ref="B16:B17"/>
    <mergeCell ref="R11:U11"/>
    <mergeCell ref="V11:Y11"/>
    <mergeCell ref="Z11:AC11"/>
    <mergeCell ref="C14:E15"/>
    <mergeCell ref="Z14:AA15"/>
    <mergeCell ref="AB14:AC15"/>
    <mergeCell ref="AD12:AG12"/>
    <mergeCell ref="AD14:AG14"/>
    <mergeCell ref="C16:E17"/>
    <mergeCell ref="Z16:AA17"/>
    <mergeCell ref="AB16:AC17"/>
    <mergeCell ref="AD16:AE17"/>
    <mergeCell ref="AF16:AG17"/>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80:B181"/>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62:B163"/>
    <mergeCell ref="B164:B165"/>
    <mergeCell ref="B166:B167"/>
    <mergeCell ref="B168:B169"/>
    <mergeCell ref="B170:B171"/>
    <mergeCell ref="B172:B173"/>
    <mergeCell ref="B174:B175"/>
    <mergeCell ref="B176:B177"/>
    <mergeCell ref="B178:B179"/>
    <mergeCell ref="M200:AG201"/>
    <mergeCell ref="B198:B199"/>
    <mergeCell ref="B186:B187"/>
    <mergeCell ref="B188:B189"/>
    <mergeCell ref="B190:B191"/>
    <mergeCell ref="B192:B193"/>
    <mergeCell ref="B194:B195"/>
    <mergeCell ref="B196:B197"/>
    <mergeCell ref="B184:B185"/>
    <mergeCell ref="AQ1:AR1"/>
    <mergeCell ref="AQ2:AR3"/>
    <mergeCell ref="F14:K15"/>
    <mergeCell ref="L14:P15"/>
    <mergeCell ref="Q14:R15"/>
    <mergeCell ref="S14:T15"/>
    <mergeCell ref="U14:Y15"/>
    <mergeCell ref="AH14:AJ15"/>
    <mergeCell ref="AK14:AN15"/>
    <mergeCell ref="AO14:AQ15"/>
    <mergeCell ref="AD15:AE15"/>
    <mergeCell ref="AF15:AG15"/>
    <mergeCell ref="R12:U13"/>
    <mergeCell ref="V12:Y13"/>
    <mergeCell ref="Z12:AC13"/>
    <mergeCell ref="AH1:AK1"/>
    <mergeCell ref="AL1:AP1"/>
    <mergeCell ref="AH2:AK3"/>
    <mergeCell ref="AL2:AP3"/>
    <mergeCell ref="Q9:AD10"/>
    <mergeCell ref="AZ14:AZ15"/>
    <mergeCell ref="BA14:BA15"/>
    <mergeCell ref="F16:K17"/>
    <mergeCell ref="L16:P17"/>
    <mergeCell ref="Q16:R17"/>
    <mergeCell ref="S16:T17"/>
    <mergeCell ref="U16:Y17"/>
    <mergeCell ref="AZ16:AZ17"/>
    <mergeCell ref="BA16:BA17"/>
    <mergeCell ref="AU14:AU15"/>
    <mergeCell ref="AV14:AV15"/>
    <mergeCell ref="AW14:AW15"/>
    <mergeCell ref="AX14:AX15"/>
    <mergeCell ref="AY14:AY15"/>
    <mergeCell ref="AH16:AJ17"/>
    <mergeCell ref="AK16:AN17"/>
    <mergeCell ref="AO16:AQ17"/>
    <mergeCell ref="AU16:AU17"/>
    <mergeCell ref="AV16:AV17"/>
    <mergeCell ref="AW16:AW17"/>
    <mergeCell ref="AX16:AX17"/>
    <mergeCell ref="AY16:AY17"/>
    <mergeCell ref="AZ18:AZ19"/>
    <mergeCell ref="BA18:BA19"/>
    <mergeCell ref="F20:K21"/>
    <mergeCell ref="L20:P21"/>
    <mergeCell ref="Q20:R21"/>
    <mergeCell ref="S20:T21"/>
    <mergeCell ref="U20:Y21"/>
    <mergeCell ref="AZ20:AZ21"/>
    <mergeCell ref="BA20:BA21"/>
    <mergeCell ref="AF20:AG21"/>
    <mergeCell ref="F18:K19"/>
    <mergeCell ref="L18:P19"/>
    <mergeCell ref="Q18:R19"/>
    <mergeCell ref="S18:T19"/>
    <mergeCell ref="U18:Y19"/>
    <mergeCell ref="AV18:AV19"/>
    <mergeCell ref="AW18:AW19"/>
    <mergeCell ref="AX18:AX19"/>
    <mergeCell ref="AY18:AY19"/>
    <mergeCell ref="AH20:AJ21"/>
    <mergeCell ref="AK20:AN21"/>
    <mergeCell ref="AO20:AQ21"/>
    <mergeCell ref="AU20:AU21"/>
    <mergeCell ref="AV20:AV21"/>
    <mergeCell ref="F22:K23"/>
    <mergeCell ref="L22:P23"/>
    <mergeCell ref="Q22:R23"/>
    <mergeCell ref="S22:T23"/>
    <mergeCell ref="U22:Y23"/>
    <mergeCell ref="AZ22:AZ23"/>
    <mergeCell ref="BA22:BA23"/>
    <mergeCell ref="F24:K25"/>
    <mergeCell ref="L24:P25"/>
    <mergeCell ref="Q24:R25"/>
    <mergeCell ref="S24:T25"/>
    <mergeCell ref="U24:Y25"/>
    <mergeCell ref="AZ24:AZ25"/>
    <mergeCell ref="BA24:BA25"/>
    <mergeCell ref="AF24:AG25"/>
    <mergeCell ref="AH24:AJ25"/>
    <mergeCell ref="AK24:AN25"/>
    <mergeCell ref="AO24:AQ25"/>
    <mergeCell ref="AU24:AU25"/>
    <mergeCell ref="AV24:AV25"/>
    <mergeCell ref="AW24:AW25"/>
  </mergeCells>
  <conditionalFormatting sqref="AK16 AK18 AK20 AK22 AK24 AK26 AK28 AK30 AK32 AK34">
    <cfRule type="expression" dxfId="143" priority="20">
      <formula>ISNUMBER(AK16)=FALSE</formula>
    </cfRule>
  </conditionalFormatting>
  <conditionalFormatting sqref="Q16:AG17 Q20:AG35 U18:AG19">
    <cfRule type="expression" dxfId="142" priority="19">
      <formula>AND(ISBLANK($F16)=FALSE,ISBLANK(Q16)=TRUE)</formula>
    </cfRule>
  </conditionalFormatting>
  <conditionalFormatting sqref="Q18:T19">
    <cfRule type="expression" dxfId="141" priority="18">
      <formula>AND(ISBLANK($F18)=FALSE,ISBLANK(Q18)=TRUE)</formula>
    </cfRule>
  </conditionalFormatting>
  <conditionalFormatting sqref="L16:P17 L20:P35">
    <cfRule type="expression" dxfId="140" priority="17">
      <formula>AND(ISBLANK($F16)=FALSE,ISBLANK(L16)=TRUE)</formula>
    </cfRule>
  </conditionalFormatting>
  <conditionalFormatting sqref="L18:P19">
    <cfRule type="expression" dxfId="139" priority="16">
      <formula>AND(ISBLANK($F18)=FALSE,ISBLANK(L18)=TRUE)</formula>
    </cfRule>
  </conditionalFormatting>
  <conditionalFormatting sqref="AQ2:AR3">
    <cfRule type="cellIs" dxfId="138" priority="3" operator="equal">
      <formula>1</formula>
    </cfRule>
    <cfRule type="cellIs" dxfId="137" priority="4" operator="between">
      <formula>0.51</formula>
      <formula>0.99</formula>
    </cfRule>
    <cfRule type="cellIs" dxfId="136" priority="5" operator="lessThanOrEqual">
      <formula>0.5</formula>
    </cfRule>
  </conditionalFormatting>
  <conditionalFormatting sqref="AH2 AL2">
    <cfRule type="expression" dxfId="135" priority="1">
      <formula>OR(PROJSTATUS=PROJSTATELI,PROJSTATUS=PROJSTATEXP,PROJSTATUS=PROJSTATUNDER)</formula>
    </cfRule>
    <cfRule type="expression" dxfId="134" priority="2">
      <formula>PROJSTATUS=PROJSTATFILLINITIAL</formula>
    </cfRule>
    <cfRule type="expression" dxfId="133" priority="6">
      <formula>PROJSTATUS=PROJSTATPREAPPROVE</formula>
    </cfRule>
    <cfRule type="expression" dxfId="132" priority="7">
      <formula>OR(PROJSTATUS=PROJSTATSSUBMITINITIAL,PROJSTATUS=PROJSTATREVIEW)</formula>
    </cfRule>
  </conditionalFormatting>
  <dataValidations xWindow="1238" yWindow="273" count="7">
    <dataValidation type="decimal" allowBlank="1" showInputMessage="1" showErrorMessage="1" prompt="Enter the kWh use per unit of equipment in one year." sqref="AB16 S16 AB34 S20 S22 S24 S26 S28 S30 S32 S34 S18 AB20 AB22 AB24 AB26 AB28 AB30 AB32 AB18" xr:uid="{00000000-0002-0000-2000-000000000000}">
      <formula1>0</formula1>
      <formula2>999999999</formula2>
    </dataValidation>
    <dataValidation type="decimal" allowBlank="1" showInputMessage="1" showErrorMessage="1" error="Please enter a numerical value" sqref="Z16 Q16 Z34 Q20 Q22 Q24 Q26 Q28 Q30 Q32 Q34 Q18 Z20 Z22 Z24 Z26 Z28 Z30 Z32 Z18" xr:uid="{00000000-0002-0000-2000-000001000000}">
      <formula1>0</formula1>
      <formula2>999999</formula2>
    </dataValidation>
    <dataValidation type="list" allowBlank="1" showInputMessage="1" showErrorMessage="1" sqref="AW16:AW35" xr:uid="{00000000-0002-0000-2000-000002000000}">
      <formula1>ENDUSECAT</formula1>
    </dataValidation>
    <dataValidation type="decimal" allowBlank="1" showInputMessage="1" showErrorMessage="1" error="Please enter a numerical value" prompt="NOTE: This is the TOTAL Masterial or Labor COST of the measure, not a per UNIT basis._x000a__x000a_For New or Failed Replacement, this is the total cost difference between purchasing the baseline equipment vs. what is being installed." sqref="AF16 AD16 AF32 AD20 AD22 AD24 AD26 AD28 AD30 AD32 AD34 AF34 AF20 AF22 AF24 AF26 AF28 AF30 AF18 AD18" xr:uid="{00000000-0002-0000-2000-000003000000}">
      <formula1>0</formula1>
      <formula2>999999999</formula2>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xr:uid="{00000000-0002-0000-2000-000004000000}">
      <formula1>IF(ISBLANK(F16),NONPRESCPROGRAM,"")</formula1>
    </dataValidation>
    <dataValidation allowBlank="1" showInputMessage="1" showErrorMessage="1" prompt="Baseline Detail is the equipment currently present that is being replaced._x000a__x000a_For New or Failed Replacement, this is the code-minimum equipment or control strategy that could be installed in lieu of the more efficient option." sqref="L16 L18 L34 L20 L22 L24 L26 L28 L30 L32" xr:uid="{00000000-0002-0000-2000-000005000000}"/>
    <dataValidation type="list" allowBlank="1" showInputMessage="1" showErrorMessage="1" prompt="Select the measure type that is closest to the selections in this list. If not listed, select &quot;Others&quot;" sqref="F16:K35" xr:uid="{00000000-0002-0000-2000-000006000000}">
      <formula1>CMECOOKDESC</formula1>
    </dataValidation>
  </dataValidations>
  <hyperlinks>
    <hyperlink ref="B202" r:id="rId1" display="NIPSCO.Savings@LMCO.com" xr:uid="{00000000-0004-0000-2000-000000000000}"/>
  </hyperlinks>
  <pageMargins left="0.25" right="0.25" top="0.25" bottom="0.25" header="0.25" footer="0.25"/>
  <pageSetup scale="62" fitToHeight="0" orientation="landscape"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pageSetUpPr fitToPage="1"/>
  </sheetPr>
  <dimension ref="A1:BZ203"/>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135" customWidth="1"/>
    <col min="46" max="46" width="4.7109375" style="135" hidden="1" customWidth="1"/>
    <col min="47" max="78" width="9.140625" style="135" hidden="1" customWidth="1"/>
    <col min="79" max="16384" width="9.140625" hidden="1"/>
  </cols>
  <sheetData>
    <row r="1" spans="2:78" ht="15.95" customHeight="1" x14ac:dyDescent="0.3">
      <c r="AH1" s="711" t="s">
        <v>494</v>
      </c>
      <c r="AI1" s="712"/>
      <c r="AJ1" s="712"/>
      <c r="AK1" s="712"/>
      <c r="AL1" s="723" t="s">
        <v>911</v>
      </c>
      <c r="AM1" s="723"/>
      <c r="AN1" s="723"/>
      <c r="AO1" s="723"/>
      <c r="AP1" s="723"/>
      <c r="AQ1" s="717" t="s">
        <v>499</v>
      </c>
      <c r="AR1" s="718"/>
    </row>
    <row r="2" spans="2:78" ht="15.95" customHeight="1" x14ac:dyDescent="0.25">
      <c r="AH2" s="713" t="str">
        <f ca="1">INCENSTATUS</f>
        <v>---</v>
      </c>
      <c r="AI2" s="714"/>
      <c r="AJ2" s="714"/>
      <c r="AK2" s="714"/>
      <c r="AL2" s="724" t="str">
        <f ca="1">PROJSTATUS</f>
        <v>Please Complete Initial Application</v>
      </c>
      <c r="AM2" s="724"/>
      <c r="AN2" s="724"/>
      <c r="AO2" s="724"/>
      <c r="AP2" s="724"/>
      <c r="AQ2" s="719">
        <f ca="1">PROGRESSSTATUS</f>
        <v>0</v>
      </c>
      <c r="AR2" s="720"/>
    </row>
    <row r="3" spans="2:78" ht="15.95" customHeight="1" x14ac:dyDescent="0.25">
      <c r="AH3" s="715"/>
      <c r="AI3" s="716"/>
      <c r="AJ3" s="716"/>
      <c r="AK3" s="716"/>
      <c r="AL3" s="725"/>
      <c r="AM3" s="725"/>
      <c r="AN3" s="725"/>
      <c r="AO3" s="725"/>
      <c r="AP3" s="725"/>
      <c r="AQ3" s="721"/>
      <c r="AR3" s="722"/>
    </row>
    <row r="4" spans="2:78" ht="15.95" customHeight="1" x14ac:dyDescent="0.25"/>
    <row r="5" spans="2:78" ht="15.95" customHeight="1" x14ac:dyDescent="0.25"/>
    <row r="6" spans="2:78" ht="15.95" customHeight="1" x14ac:dyDescent="0.25">
      <c r="AU6" s="145" t="s">
        <v>1372</v>
      </c>
      <c r="AV6" s="145">
        <f>PROJID</f>
        <v>0</v>
      </c>
    </row>
    <row r="7" spans="2:78" ht="15.95" customHeight="1" x14ac:dyDescent="0.25">
      <c r="AU7" s="219"/>
      <c r="AV7" s="219" t="s">
        <v>1184</v>
      </c>
      <c r="AW7" s="219" t="s">
        <v>249</v>
      </c>
      <c r="AX7" s="219" t="s">
        <v>1336</v>
      </c>
      <c r="AY7" s="219"/>
    </row>
    <row r="8" spans="2:78" ht="15.95" customHeight="1" x14ac:dyDescent="0.25">
      <c r="AU8" s="219" t="s">
        <v>237</v>
      </c>
      <c r="AV8" s="219" t="str">
        <f>CBPRESE</f>
        <v>NA</v>
      </c>
      <c r="AW8" s="219" t="str">
        <f>CBCUSE</f>
        <v>NA</v>
      </c>
      <c r="AX8" s="219" t="str">
        <f>CBALL</f>
        <v>NA</v>
      </c>
      <c r="AY8" s="219"/>
    </row>
    <row r="9" spans="2:78" s="63" customFormat="1" ht="15.95" customHeight="1" x14ac:dyDescent="0.25">
      <c r="B9" s="135"/>
      <c r="C9" s="135"/>
      <c r="D9" s="135"/>
      <c r="E9" s="135"/>
      <c r="F9" s="135"/>
      <c r="G9" s="135"/>
      <c r="H9" s="135"/>
      <c r="I9" s="135"/>
      <c r="J9" s="135"/>
      <c r="K9" s="135"/>
      <c r="L9" s="135"/>
      <c r="M9" s="135"/>
      <c r="N9" s="135"/>
      <c r="O9" s="135"/>
      <c r="P9" s="135"/>
      <c r="Q9" s="971" t="str">
        <f>CONCATENATE(M4S4," ","Summary")</f>
        <v>Motor / VFD / Pump Summary</v>
      </c>
      <c r="R9" s="971"/>
      <c r="S9" s="971"/>
      <c r="T9" s="971"/>
      <c r="U9" s="971"/>
      <c r="V9" s="971"/>
      <c r="W9" s="971"/>
      <c r="X9" s="971"/>
      <c r="Y9" s="971"/>
      <c r="Z9" s="971"/>
      <c r="AA9" s="971"/>
      <c r="AB9" s="971"/>
      <c r="AC9" s="971"/>
      <c r="AD9" s="971"/>
      <c r="AE9" s="135"/>
      <c r="AF9" s="135"/>
      <c r="AG9" s="135"/>
      <c r="AH9" s="135"/>
      <c r="AI9" s="135"/>
      <c r="AJ9" s="135"/>
      <c r="AK9" s="135"/>
      <c r="AL9" s="135"/>
      <c r="AM9" s="135"/>
      <c r="AN9" s="135"/>
      <c r="AO9" s="135"/>
      <c r="AP9" s="135"/>
      <c r="AQ9" s="135"/>
      <c r="AR9" s="135"/>
      <c r="AS9" s="135"/>
      <c r="AT9" s="135"/>
      <c r="AU9" s="219"/>
      <c r="AV9" s="219"/>
      <c r="AW9" s="219"/>
      <c r="AX9" s="219"/>
      <c r="AY9" s="219"/>
      <c r="AZ9" s="135"/>
      <c r="BA9" s="135"/>
      <c r="BB9" s="135"/>
      <c r="BC9" s="135"/>
      <c r="BD9" s="135"/>
      <c r="BE9" s="135"/>
      <c r="BF9" s="135"/>
      <c r="BG9" s="135"/>
      <c r="BH9" s="135"/>
      <c r="BI9" s="135"/>
      <c r="BJ9" s="135"/>
      <c r="BK9" s="135"/>
      <c r="BL9" s="135"/>
      <c r="BM9" s="135"/>
      <c r="BN9" s="135"/>
      <c r="BO9" s="135"/>
      <c r="BP9" s="135"/>
      <c r="BQ9" s="135"/>
      <c r="BR9" s="135"/>
      <c r="BS9" s="135"/>
      <c r="BT9" s="135"/>
      <c r="BU9" s="135"/>
      <c r="BV9" s="135"/>
      <c r="BW9" s="135"/>
      <c r="BX9" s="135"/>
      <c r="BY9" s="135"/>
      <c r="BZ9" s="135"/>
    </row>
    <row r="10" spans="2:78" ht="15.95" customHeight="1" x14ac:dyDescent="0.25">
      <c r="B10" s="135"/>
      <c r="C10" s="135"/>
      <c r="D10" s="135"/>
      <c r="E10" s="135"/>
      <c r="F10" s="135"/>
      <c r="G10" s="135"/>
      <c r="H10" s="135"/>
      <c r="I10" s="135"/>
      <c r="J10" s="135"/>
      <c r="K10" s="135"/>
      <c r="L10" s="135"/>
      <c r="M10" s="135"/>
      <c r="N10" s="135"/>
      <c r="O10" s="135"/>
      <c r="P10" s="147"/>
      <c r="Q10" s="971"/>
      <c r="R10" s="971"/>
      <c r="S10" s="971"/>
      <c r="T10" s="971"/>
      <c r="U10" s="971"/>
      <c r="V10" s="971"/>
      <c r="W10" s="971"/>
      <c r="X10" s="971"/>
      <c r="Y10" s="971"/>
      <c r="Z10" s="971"/>
      <c r="AA10" s="971"/>
      <c r="AB10" s="971"/>
      <c r="AC10" s="971"/>
      <c r="AD10" s="971"/>
      <c r="AE10" s="147"/>
      <c r="AF10" s="147"/>
      <c r="AG10" s="135"/>
      <c r="AH10" s="135"/>
      <c r="AI10" s="135"/>
      <c r="AJ10" s="135"/>
      <c r="AK10" s="135"/>
      <c r="AL10" s="135"/>
      <c r="AM10" s="135"/>
      <c r="AN10" s="135"/>
      <c r="AO10" s="135"/>
      <c r="AP10" s="135"/>
      <c r="AQ10" s="135"/>
      <c r="AR10" s="135"/>
      <c r="AU10" s="219" t="s">
        <v>642</v>
      </c>
      <c r="AV10" s="219" t="str">
        <f>PAYPRESE</f>
        <v>NA</v>
      </c>
      <c r="AW10" s="219" t="str">
        <f>PAYCUSE</f>
        <v>NA</v>
      </c>
      <c r="AX10" s="219" t="str">
        <f>PAYALL</f>
        <v>NA</v>
      </c>
      <c r="AY10" s="219"/>
    </row>
    <row r="11" spans="2:78" ht="15.95" customHeight="1" x14ac:dyDescent="0.3">
      <c r="B11" s="135"/>
      <c r="C11" s="135"/>
      <c r="D11" s="135"/>
      <c r="E11" s="135"/>
      <c r="F11" s="135"/>
      <c r="G11" s="135"/>
      <c r="H11" s="135"/>
      <c r="I11" s="135"/>
      <c r="J11" s="135"/>
      <c r="K11" s="135"/>
      <c r="L11" s="135"/>
      <c r="M11" s="135"/>
      <c r="N11" s="135"/>
      <c r="O11" s="135"/>
      <c r="P11" s="135"/>
      <c r="Q11" s="135"/>
      <c r="R11" s="974" t="s">
        <v>69</v>
      </c>
      <c r="S11" s="974"/>
      <c r="T11" s="974"/>
      <c r="U11" s="974"/>
      <c r="V11" s="974" t="s">
        <v>70</v>
      </c>
      <c r="W11" s="974"/>
      <c r="X11" s="974"/>
      <c r="Y11" s="974"/>
      <c r="Z11" s="974" t="s">
        <v>71</v>
      </c>
      <c r="AA11" s="974"/>
      <c r="AB11" s="974"/>
      <c r="AC11" s="974"/>
      <c r="AD11" s="135"/>
      <c r="AE11" s="135"/>
      <c r="AF11" s="135"/>
      <c r="AG11" s="135"/>
      <c r="AH11" s="135"/>
      <c r="AI11" s="135"/>
      <c r="AJ11" s="135"/>
      <c r="AK11" s="135"/>
      <c r="AL11" s="135"/>
      <c r="AM11" s="135"/>
      <c r="AN11" s="135"/>
      <c r="AO11" s="135"/>
      <c r="AP11" s="135"/>
      <c r="AQ11" s="135"/>
      <c r="AR11" s="135"/>
      <c r="AU11" s="220" t="s">
        <v>1324</v>
      </c>
      <c r="AV11" s="145"/>
      <c r="AW11" s="145"/>
      <c r="AX11" s="145"/>
      <c r="AY11" s="145"/>
    </row>
    <row r="12" spans="2:78" ht="15.95" customHeight="1" x14ac:dyDescent="0.25">
      <c r="B12" s="135"/>
      <c r="C12" s="135"/>
      <c r="D12" s="135"/>
      <c r="E12" s="135"/>
      <c r="F12" s="135"/>
      <c r="G12" s="135"/>
      <c r="H12" s="135"/>
      <c r="I12" s="135"/>
      <c r="J12" s="135"/>
      <c r="K12" s="135"/>
      <c r="L12" s="135"/>
      <c r="M12" s="135"/>
      <c r="N12" s="135"/>
      <c r="O12" s="135"/>
      <c r="P12" s="135"/>
      <c r="Q12" s="135"/>
      <c r="R12" s="1113">
        <f>SUM(AK16:AN199)</f>
        <v>0</v>
      </c>
      <c r="S12" s="1113"/>
      <c r="T12" s="1113"/>
      <c r="U12" s="1113"/>
      <c r="V12" s="1113">
        <f>SUM(AH16:AJ199)</f>
        <v>0</v>
      </c>
      <c r="W12" s="1113"/>
      <c r="X12" s="1113"/>
      <c r="Y12" s="1113"/>
      <c r="Z12" s="1114">
        <f>SUM(AO16:AQ199)</f>
        <v>0</v>
      </c>
      <c r="AA12" s="1114"/>
      <c r="AB12" s="1114"/>
      <c r="AC12" s="1114"/>
      <c r="AD12" s="1337"/>
      <c r="AE12" s="1337"/>
      <c r="AF12" s="1337"/>
      <c r="AG12" s="1337"/>
      <c r="AH12" s="135"/>
      <c r="AI12" s="135"/>
      <c r="AJ12" s="135"/>
      <c r="AK12" s="135"/>
      <c r="AL12" s="135"/>
      <c r="AM12" s="135"/>
      <c r="AN12" s="135"/>
      <c r="AO12" s="135"/>
      <c r="AP12" s="135"/>
      <c r="AQ12" s="135"/>
      <c r="AR12" s="135"/>
    </row>
    <row r="13" spans="2:78" s="63" customFormat="1" ht="15.95" customHeight="1" x14ac:dyDescent="0.25">
      <c r="B13" s="135"/>
      <c r="C13" s="135"/>
      <c r="D13" s="135"/>
      <c r="E13" s="135"/>
      <c r="F13" s="135"/>
      <c r="G13" s="135"/>
      <c r="H13" s="135"/>
      <c r="I13" s="135"/>
      <c r="J13" s="135"/>
      <c r="K13" s="135"/>
      <c r="L13" s="135"/>
      <c r="M13" s="135"/>
      <c r="N13" s="135"/>
      <c r="O13" s="135"/>
      <c r="P13" s="135"/>
      <c r="Q13" s="135"/>
      <c r="R13" s="1113"/>
      <c r="S13" s="1113"/>
      <c r="T13" s="1113"/>
      <c r="U13" s="1113"/>
      <c r="V13" s="1113"/>
      <c r="W13" s="1113"/>
      <c r="X13" s="1113"/>
      <c r="Y13" s="1113"/>
      <c r="Z13" s="1114"/>
      <c r="AA13" s="1114"/>
      <c r="AB13" s="1114"/>
      <c r="AC13" s="1114"/>
      <c r="AD13" s="187"/>
      <c r="AE13" s="187"/>
      <c r="AF13" s="187"/>
      <c r="AG13" s="187"/>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row>
    <row r="14" spans="2:78" ht="15.95" customHeight="1" x14ac:dyDescent="0.25">
      <c r="B14" s="135"/>
      <c r="C14" s="1060" t="s">
        <v>1005</v>
      </c>
      <c r="D14" s="1060"/>
      <c r="E14" s="1060"/>
      <c r="F14" s="1060" t="s">
        <v>912</v>
      </c>
      <c r="G14" s="1060"/>
      <c r="H14" s="1060"/>
      <c r="I14" s="1060"/>
      <c r="J14" s="1060"/>
      <c r="K14" s="1060"/>
      <c r="L14" s="1060" t="s">
        <v>909</v>
      </c>
      <c r="M14" s="1060"/>
      <c r="N14" s="1060"/>
      <c r="O14" s="1060"/>
      <c r="P14" s="1060"/>
      <c r="Q14" s="1060" t="s">
        <v>91</v>
      </c>
      <c r="R14" s="1060"/>
      <c r="S14" s="1115" t="s">
        <v>107</v>
      </c>
      <c r="T14" s="1115"/>
      <c r="U14" s="1060" t="s">
        <v>252</v>
      </c>
      <c r="V14" s="1060"/>
      <c r="W14" s="1060"/>
      <c r="X14" s="1060"/>
      <c r="Y14" s="1060"/>
      <c r="Z14" s="1060" t="s">
        <v>91</v>
      </c>
      <c r="AA14" s="1060"/>
      <c r="AB14" s="1115" t="s">
        <v>107</v>
      </c>
      <c r="AC14" s="1115"/>
      <c r="AD14" s="1060" t="s">
        <v>103</v>
      </c>
      <c r="AE14" s="1060"/>
      <c r="AF14" s="1060"/>
      <c r="AG14" s="1060"/>
      <c r="AH14" s="1060" t="s">
        <v>103</v>
      </c>
      <c r="AI14" s="1060"/>
      <c r="AJ14" s="1060"/>
      <c r="AK14" s="1060" t="s">
        <v>102</v>
      </c>
      <c r="AL14" s="1060"/>
      <c r="AM14" s="1060"/>
      <c r="AN14" s="1060"/>
      <c r="AO14" s="1060" t="s">
        <v>109</v>
      </c>
      <c r="AP14" s="1060"/>
      <c r="AQ14" s="1060"/>
      <c r="AR14" s="135"/>
      <c r="AS14" s="145"/>
      <c r="AT14" s="145"/>
      <c r="AU14" s="1012" t="s">
        <v>237</v>
      </c>
      <c r="AV14" s="1012" t="s">
        <v>643</v>
      </c>
      <c r="AW14" s="1012" t="s">
        <v>637</v>
      </c>
      <c r="AX14" s="1012" t="s">
        <v>152</v>
      </c>
      <c r="AY14" s="1012" t="s">
        <v>141</v>
      </c>
      <c r="AZ14" s="1012" t="s">
        <v>249</v>
      </c>
      <c r="BA14" s="1012" t="s">
        <v>910</v>
      </c>
      <c r="BB14" s="1012" t="s">
        <v>642</v>
      </c>
      <c r="BC14" s="1012" t="s">
        <v>521</v>
      </c>
    </row>
    <row r="15" spans="2:78" ht="15.95" customHeight="1" thickBot="1" x14ac:dyDescent="0.3">
      <c r="B15" s="135"/>
      <c r="C15" s="1061"/>
      <c r="D15" s="1061"/>
      <c r="E15" s="1061"/>
      <c r="F15" s="1061"/>
      <c r="G15" s="1061"/>
      <c r="H15" s="1061"/>
      <c r="I15" s="1061"/>
      <c r="J15" s="1061"/>
      <c r="K15" s="1061"/>
      <c r="L15" s="1061"/>
      <c r="M15" s="1061"/>
      <c r="N15" s="1061"/>
      <c r="O15" s="1061"/>
      <c r="P15" s="1061"/>
      <c r="Q15" s="1061"/>
      <c r="R15" s="1061"/>
      <c r="S15" s="1116"/>
      <c r="T15" s="1116"/>
      <c r="U15" s="1061"/>
      <c r="V15" s="1061"/>
      <c r="W15" s="1061"/>
      <c r="X15" s="1061"/>
      <c r="Y15" s="1061"/>
      <c r="Z15" s="1061"/>
      <c r="AA15" s="1061"/>
      <c r="AB15" s="1116"/>
      <c r="AC15" s="1116"/>
      <c r="AD15" s="1061" t="s">
        <v>104</v>
      </c>
      <c r="AE15" s="1061"/>
      <c r="AF15" s="1061" t="s">
        <v>105</v>
      </c>
      <c r="AG15" s="1061"/>
      <c r="AH15" s="1061"/>
      <c r="AI15" s="1061"/>
      <c r="AJ15" s="1061"/>
      <c r="AK15" s="1061"/>
      <c r="AL15" s="1061"/>
      <c r="AM15" s="1061"/>
      <c r="AN15" s="1061"/>
      <c r="AO15" s="1061"/>
      <c r="AP15" s="1061"/>
      <c r="AQ15" s="1061"/>
      <c r="AR15" s="135"/>
      <c r="AS15" s="145"/>
      <c r="AT15" s="145"/>
      <c r="AU15" s="1013"/>
      <c r="AV15" s="1013"/>
      <c r="AW15" s="1013"/>
      <c r="AX15" s="1013"/>
      <c r="AY15" s="1013"/>
      <c r="AZ15" s="1013"/>
      <c r="BA15" s="1013"/>
      <c r="BB15" s="1013"/>
      <c r="BC15" s="1013"/>
    </row>
    <row r="16" spans="2:78" ht="15.95" customHeight="1" x14ac:dyDescent="0.25">
      <c r="B16" s="1064">
        <v>1</v>
      </c>
      <c r="C16" s="1103"/>
      <c r="D16" s="1103"/>
      <c r="E16" s="1103"/>
      <c r="F16" s="1111"/>
      <c r="G16" s="1111"/>
      <c r="H16" s="1111"/>
      <c r="I16" s="1111"/>
      <c r="J16" s="1111"/>
      <c r="K16" s="1111"/>
      <c r="L16" s="1111"/>
      <c r="M16" s="1111"/>
      <c r="N16" s="1111"/>
      <c r="O16" s="1111"/>
      <c r="P16" s="1111"/>
      <c r="Q16" s="1105"/>
      <c r="R16" s="1105"/>
      <c r="S16" s="1107"/>
      <c r="T16" s="1108"/>
      <c r="U16" s="1030"/>
      <c r="V16" s="1111"/>
      <c r="W16" s="1111"/>
      <c r="X16" s="1111"/>
      <c r="Y16" s="1111"/>
      <c r="Z16" s="1105"/>
      <c r="AA16" s="1105"/>
      <c r="AB16" s="1107"/>
      <c r="AC16" s="1120"/>
      <c r="AD16" s="1049"/>
      <c r="AE16" s="1135"/>
      <c r="AF16" s="1135"/>
      <c r="AG16" s="1136"/>
      <c r="AH16" s="1027" t="str">
        <f>IF(OR(C16="",F16="",L16="",Q16="",S16="",U16="",Z16="",AB16="",AD16="",AF16=""),"",ROUND(AD16+AF16,2))</f>
        <v/>
      </c>
      <c r="AI16" s="1128"/>
      <c r="AJ16" s="1128"/>
      <c r="AK16" s="1131" t="str">
        <f>IF(OR(C16="",F16="",L16="",Q16="",S16="",U16="",Z16="",AB16="",AD16="",AF16=""),"",IF(BC16&lt;&gt;"",BC16,IF(C16="New/Replace Failed Equip.",BA16,AZ16)))</f>
        <v/>
      </c>
      <c r="AL16" s="1131"/>
      <c r="AM16" s="1131"/>
      <c r="AN16" s="1131"/>
      <c r="AO16" s="1133" t="str">
        <f>IF(OR(C16="",F16="",L16="",Q16="",S16="",U16="",Z16="",AB16="",AD16="",AF16=""),"",IF((Q16*S16)-(Z16*AB16)&lt;=0,0,ROUND((Q16*S16)-(Z16*AB16),0)))</f>
        <v/>
      </c>
      <c r="AP16" s="1133"/>
      <c r="AQ16" s="1133"/>
      <c r="AR16" s="135"/>
      <c r="AS16" s="145"/>
      <c r="AT16" s="145"/>
      <c r="AU16" s="1124" t="str">
        <f>IFERROR(IF(OR(C16="",F16="",L16="",Q16="",S16="",U16="",Z16="",AB16="",AD16="",AF16=""),"",((1+ELOSS)*PEAKTD*(1+INDEX(ELECCB[Capacity Reserve Margin],MATCH(AX16,ELECCB[Year Number],0)))*((AO16*INDEX(ELECCB[NPV AEC $/kWh],MATCH(AX16,ELECCB[Year Number],1)))+(AV16*INDEX(ELECCB[NPV ACC+T&amp;D $/kW],MATCH(AX16,ELECCB[Year Number],1))))/AH16)),0)</f>
        <v/>
      </c>
      <c r="AV16" s="1141" t="str">
        <f>IF(OR(C16="",F16="",L16="",Q16="",S16="",U16="",Z16="",AB16="",AD16="",AF16=""),"",ROUND(AO16*INDEX(ENDUSEALL[Factor],MATCH(AW16,ENDUSEALL[End Use to Coincident Peak Demand Factors],0)),4))</f>
        <v/>
      </c>
      <c r="AW16" s="987" t="str">
        <f>IF(OR(C16="",F16="",L16="",Q16="",S16="",U16="",Z16="",AB16="",AD16="",AF16=""),"",INDEX(CMEMOTOR[End Use Category],MATCH(F16,CMEMOTOR[Proj Desc 1],0)))</f>
        <v/>
      </c>
      <c r="AX16" s="1126" t="str">
        <f>IF(OR(C16="",F16="",L16="",Q16="",S16="",U16="",Z16="",AB16="",AD16="",AF16=""),"",INDEX(CMEMOTOR[EUL],MATCH(F16,CMEMOTOR[Proj Desc 1],0)))</f>
        <v/>
      </c>
      <c r="AY16" s="1122" t="str">
        <f>IF(OR(C16="",F16="",L16="",Q16="",S16="",U16="",Z16="",AB16="",AD16="",AF16=""),"",INDEX(CMEMOTOR[Measure Number],MATCH(F16,CMEMOTOR[Proj Desc 1],0)))</f>
        <v/>
      </c>
      <c r="AZ16" s="1118" t="str">
        <f>IFERROR(ROUND(MIN(AH16*0.5,AO16*INDEX(ENDUSEALL[Inc Rate],MATCH(AW16,ENDUSEALL[End Use to Coincident Peak Demand Factors],0))),2),"")</f>
        <v/>
      </c>
      <c r="BA16" s="1118" t="str">
        <f>IFERROR(ROUND(MIN(AH16,AO16*INDEX(ENDUSEALL[Inc Rate],MATCH(AW16,ENDUSEALL[End Use to Coincident Peak Demand Factors],0))),2),"")</f>
        <v/>
      </c>
      <c r="BB16" s="1118" t="str">
        <f>IFERROR(AH16/M02S02F35/AO16,"")</f>
        <v/>
      </c>
      <c r="BC16" s="1118" t="str">
        <f>IFERROR(IF((Q16*S16)-(Z16*AB16)&lt;=0,MEASURESAV,IF(M02S02F35="",MEASURERATE, IF(AH16/M02S02F35/AO16&lt;1,MEASUREPAY,IF(AU16&lt;1,MEASURECB,"")))),MEASURESUBMIT)</f>
        <v>Submit for Review</v>
      </c>
    </row>
    <row r="17" spans="2:55" ht="15.95" customHeight="1" x14ac:dyDescent="0.25">
      <c r="B17" s="1064"/>
      <c r="C17" s="1104"/>
      <c r="D17" s="1104"/>
      <c r="E17" s="1104"/>
      <c r="F17" s="1112"/>
      <c r="G17" s="1112"/>
      <c r="H17" s="1112"/>
      <c r="I17" s="1112"/>
      <c r="J17" s="1112"/>
      <c r="K17" s="1112"/>
      <c r="L17" s="1112"/>
      <c r="M17" s="1112"/>
      <c r="N17" s="1112"/>
      <c r="O17" s="1112"/>
      <c r="P17" s="1112"/>
      <c r="Q17" s="1106"/>
      <c r="R17" s="1106"/>
      <c r="S17" s="1109"/>
      <c r="T17" s="1110"/>
      <c r="U17" s="1033"/>
      <c r="V17" s="1112"/>
      <c r="W17" s="1112"/>
      <c r="X17" s="1112"/>
      <c r="Y17" s="1112"/>
      <c r="Z17" s="1106"/>
      <c r="AA17" s="1106"/>
      <c r="AB17" s="1109"/>
      <c r="AC17" s="1121"/>
      <c r="AD17" s="1051"/>
      <c r="AE17" s="1137"/>
      <c r="AF17" s="1137"/>
      <c r="AG17" s="1138"/>
      <c r="AH17" s="1129"/>
      <c r="AI17" s="1130"/>
      <c r="AJ17" s="1130"/>
      <c r="AK17" s="1132"/>
      <c r="AL17" s="1132"/>
      <c r="AM17" s="1132"/>
      <c r="AN17" s="1132"/>
      <c r="AO17" s="1134"/>
      <c r="AP17" s="1134"/>
      <c r="AQ17" s="1134"/>
      <c r="AR17" s="135"/>
      <c r="AS17" s="145"/>
      <c r="AT17" s="145"/>
      <c r="AU17" s="1125"/>
      <c r="AV17" s="1142"/>
      <c r="AW17" s="988"/>
      <c r="AX17" s="1127"/>
      <c r="AY17" s="1123"/>
      <c r="AZ17" s="1119"/>
      <c r="BA17" s="1119"/>
      <c r="BB17" s="1119"/>
      <c r="BC17" s="1119"/>
    </row>
    <row r="18" spans="2:55" ht="15.95" customHeight="1" x14ac:dyDescent="0.25">
      <c r="B18" s="1063">
        <v>2</v>
      </c>
      <c r="C18" s="1103"/>
      <c r="D18" s="1103"/>
      <c r="E18" s="1103"/>
      <c r="F18" s="1111"/>
      <c r="G18" s="1111"/>
      <c r="H18" s="1111"/>
      <c r="I18" s="1111"/>
      <c r="J18" s="1111"/>
      <c r="K18" s="1111"/>
      <c r="L18" s="1111"/>
      <c r="M18" s="1111"/>
      <c r="N18" s="1111"/>
      <c r="O18" s="1111"/>
      <c r="P18" s="1111"/>
      <c r="Q18" s="1105"/>
      <c r="R18" s="1105"/>
      <c r="S18" s="1107"/>
      <c r="T18" s="1108"/>
      <c r="U18" s="1030"/>
      <c r="V18" s="1111"/>
      <c r="W18" s="1111"/>
      <c r="X18" s="1111"/>
      <c r="Y18" s="1111"/>
      <c r="Z18" s="1105"/>
      <c r="AA18" s="1105"/>
      <c r="AB18" s="1107"/>
      <c r="AC18" s="1120"/>
      <c r="AD18" s="1049"/>
      <c r="AE18" s="1135"/>
      <c r="AF18" s="1135"/>
      <c r="AG18" s="1136"/>
      <c r="AH18" s="1027" t="str">
        <f t="shared" ref="AH18" si="0">IF(OR(C18="",F18="",L18="",Q18="",S18="",U18="",Z18="",AB18="",AD18="",AF18=""),"",ROUND(AD18+AF18,2))</f>
        <v/>
      </c>
      <c r="AI18" s="1128"/>
      <c r="AJ18" s="1128"/>
      <c r="AK18" s="1131" t="str">
        <f t="shared" ref="AK18" si="1">IF(OR(C18="",F18="",L18="",Q18="",S18="",U18="",Z18="",AB18="",AD18="",AF18=""),"",IF(BC18&lt;&gt;"",BC18,IF(C18="New/Replace Failed Equip.",BA18,AZ18)))</f>
        <v/>
      </c>
      <c r="AL18" s="1131"/>
      <c r="AM18" s="1131"/>
      <c r="AN18" s="1131"/>
      <c r="AO18" s="1133" t="str">
        <f t="shared" ref="AO18" si="2">IF(OR(C18="",F18="",L18="",Q18="",S18="",U18="",Z18="",AB18="",AD18="",AF18=""),"",IF((Q18*S18)-(Z18*AB18)&lt;=0,0,ROUND((Q18*S18)-(Z18*AB18),0)))</f>
        <v/>
      </c>
      <c r="AP18" s="1133"/>
      <c r="AQ18" s="1133"/>
      <c r="AR18" s="135"/>
      <c r="AS18" s="145"/>
      <c r="AT18" s="145"/>
      <c r="AU18" s="1124" t="str">
        <f>IFERROR(IF(OR(C18="",F18="",L18="",Q18="",S18="",U18="",Z18="",AB18="",AD18="",AF18=""),"",((1+ELOSS)*PEAKTD*(1+INDEX(ELECCB[Capacity Reserve Margin],MATCH(AX18,ELECCB[Year Number],0)))*((AO18*INDEX(ELECCB[NPV AEC $/kWh],MATCH(AX18,ELECCB[Year Number],1)))+(AV18*INDEX(ELECCB[NPV ACC+T&amp;D $/kW],MATCH(AX18,ELECCB[Year Number],1))))/AH18)),0)</f>
        <v/>
      </c>
      <c r="AV18" s="1141" t="str">
        <f>IF(OR(C18="",F18="",L18="",Q18="",S18="",U18="",Z18="",AB18="",AD18="",AF18=""),"",ROUND(AO18*INDEX(ENDUSEALL[Factor],MATCH(AW18,ENDUSEALL[End Use to Coincident Peak Demand Factors],0)),4))</f>
        <v/>
      </c>
      <c r="AW18" s="987" t="str">
        <f>IF(OR(C18="",F18="",L18="",Q18="",S18="",U18="",Z18="",AB18="",AD18="",AF18=""),"",INDEX(CMEMOTOR[End Use Category],MATCH(F18,CMEMOTOR[Proj Desc 1],0)))</f>
        <v/>
      </c>
      <c r="AX18" s="1126" t="str">
        <f>IF(OR(C18="",F18="",L18="",Q18="",S18="",U18="",Z18="",AB18="",AD18="",AF18=""),"",INDEX(CMEMOTOR[EUL],MATCH(F18,CMEMOTOR[Proj Desc 1],0)))</f>
        <v/>
      </c>
      <c r="AY18" s="1122" t="str">
        <f>IF(OR(C18="",F18="",L18="",Q18="",S18="",U18="",Z18="",AB18="",AD18="",AF18=""),"",INDEX(CMEMOTOR[Measure Number],MATCH(F18,CMEMOTOR[Proj Desc 1],0)))</f>
        <v/>
      </c>
      <c r="AZ18" s="1118" t="str">
        <f>IFERROR(ROUND(MIN(AH18*0.5,AO18*INDEX(ENDUSEALL[Inc Rate],MATCH(AW18,ENDUSEALL[End Use to Coincident Peak Demand Factors],0))),2),"")</f>
        <v/>
      </c>
      <c r="BA18" s="1118" t="str">
        <f>IFERROR(ROUND(MIN(AH18,AO18*INDEX(ENDUSEALL[Inc Rate],MATCH(AW18,ENDUSEALL[End Use to Coincident Peak Demand Factors],0))),2),"")</f>
        <v/>
      </c>
      <c r="BB18" s="1118" t="str">
        <f>IFERROR(AH18/M02S02F35/AO18,"")</f>
        <v/>
      </c>
      <c r="BC18" s="1118" t="str">
        <f>IFERROR(IF((Q18*S18)-(Z18*AB18)&lt;=0,MEASURESAV,IF(M02S02F35="",MEASURERATE, IF(AH18/M02S02F35/AO18&lt;1,MEASUREPAY,IF(AU18&lt;1,MEASURECB,"")))),MEASURESUBMIT)</f>
        <v>Submit for Review</v>
      </c>
    </row>
    <row r="19" spans="2:55" ht="15.95" customHeight="1" x14ac:dyDescent="0.25">
      <c r="B19" s="1063"/>
      <c r="C19" s="1104"/>
      <c r="D19" s="1104"/>
      <c r="E19" s="1104"/>
      <c r="F19" s="1112"/>
      <c r="G19" s="1112"/>
      <c r="H19" s="1112"/>
      <c r="I19" s="1112"/>
      <c r="J19" s="1112"/>
      <c r="K19" s="1112"/>
      <c r="L19" s="1112"/>
      <c r="M19" s="1112"/>
      <c r="N19" s="1112"/>
      <c r="O19" s="1112"/>
      <c r="P19" s="1112"/>
      <c r="Q19" s="1106"/>
      <c r="R19" s="1106"/>
      <c r="S19" s="1109"/>
      <c r="T19" s="1110"/>
      <c r="U19" s="1033"/>
      <c r="V19" s="1112"/>
      <c r="W19" s="1112"/>
      <c r="X19" s="1112"/>
      <c r="Y19" s="1112"/>
      <c r="Z19" s="1106"/>
      <c r="AA19" s="1106"/>
      <c r="AB19" s="1109"/>
      <c r="AC19" s="1121"/>
      <c r="AD19" s="1051"/>
      <c r="AE19" s="1137"/>
      <c r="AF19" s="1137"/>
      <c r="AG19" s="1138"/>
      <c r="AH19" s="1129"/>
      <c r="AI19" s="1130"/>
      <c r="AJ19" s="1130"/>
      <c r="AK19" s="1132"/>
      <c r="AL19" s="1132"/>
      <c r="AM19" s="1132"/>
      <c r="AN19" s="1132"/>
      <c r="AO19" s="1134"/>
      <c r="AP19" s="1134"/>
      <c r="AQ19" s="1134"/>
      <c r="AR19" s="135"/>
      <c r="AS19" s="145"/>
      <c r="AT19" s="145"/>
      <c r="AU19" s="1125"/>
      <c r="AV19" s="1142"/>
      <c r="AW19" s="988"/>
      <c r="AX19" s="1127"/>
      <c r="AY19" s="1123"/>
      <c r="AZ19" s="1119"/>
      <c r="BA19" s="1119"/>
      <c r="BB19" s="1119"/>
      <c r="BC19" s="1119"/>
    </row>
    <row r="20" spans="2:55" ht="15.95" customHeight="1" x14ac:dyDescent="0.25">
      <c r="B20" s="1063">
        <v>3</v>
      </c>
      <c r="C20" s="1103"/>
      <c r="D20" s="1103"/>
      <c r="E20" s="1103"/>
      <c r="F20" s="1111"/>
      <c r="G20" s="1111"/>
      <c r="H20" s="1111"/>
      <c r="I20" s="1111"/>
      <c r="J20" s="1111"/>
      <c r="K20" s="1111"/>
      <c r="L20" s="1111"/>
      <c r="M20" s="1111"/>
      <c r="N20" s="1111"/>
      <c r="O20" s="1111"/>
      <c r="P20" s="1111"/>
      <c r="Q20" s="1105"/>
      <c r="R20" s="1105"/>
      <c r="S20" s="1107"/>
      <c r="T20" s="1108"/>
      <c r="U20" s="1030"/>
      <c r="V20" s="1111"/>
      <c r="W20" s="1111"/>
      <c r="X20" s="1111"/>
      <c r="Y20" s="1111"/>
      <c r="Z20" s="1105"/>
      <c r="AA20" s="1105"/>
      <c r="AB20" s="1107"/>
      <c r="AC20" s="1120"/>
      <c r="AD20" s="1049"/>
      <c r="AE20" s="1135"/>
      <c r="AF20" s="1135"/>
      <c r="AG20" s="1136"/>
      <c r="AH20" s="1027" t="str">
        <f t="shared" ref="AH20" si="3">IF(OR(C20="",F20="",L20="",Q20="",S20="",U20="",Z20="",AB20="",AD20="",AF20=""),"",ROUND(AD20+AF20,2))</f>
        <v/>
      </c>
      <c r="AI20" s="1128"/>
      <c r="AJ20" s="1128"/>
      <c r="AK20" s="1131" t="str">
        <f t="shared" ref="AK20" si="4">IF(OR(C20="",F20="",L20="",Q20="",S20="",U20="",Z20="",AB20="",AD20="",AF20=""),"",IF(BC20&lt;&gt;"",BC20,IF(C20="New/Replace Failed Equip.",BA20,AZ20)))</f>
        <v/>
      </c>
      <c r="AL20" s="1131"/>
      <c r="AM20" s="1131"/>
      <c r="AN20" s="1131"/>
      <c r="AO20" s="1133" t="str">
        <f t="shared" ref="AO20" si="5">IF(OR(C20="",F20="",L20="",Q20="",S20="",U20="",Z20="",AB20="",AD20="",AF20=""),"",IF((Q20*S20)-(Z20*AB20)&lt;=0,0,ROUND((Q20*S20)-(Z20*AB20),0)))</f>
        <v/>
      </c>
      <c r="AP20" s="1133"/>
      <c r="AQ20" s="1133"/>
      <c r="AR20" s="135"/>
      <c r="AS20" s="145"/>
      <c r="AT20" s="145"/>
      <c r="AU20" s="1124" t="str">
        <f>IFERROR(IF(OR(C20="",F20="",L20="",Q20="",S20="",U20="",Z20="",AB20="",AD20="",AF20=""),"",((1+ELOSS)*PEAKTD*(1+INDEX(ELECCB[Capacity Reserve Margin],MATCH(AX20,ELECCB[Year Number],0)))*((AO20*INDEX(ELECCB[NPV AEC $/kWh],MATCH(AX20,ELECCB[Year Number],1)))+(AV20*INDEX(ELECCB[NPV ACC+T&amp;D $/kW],MATCH(AX20,ELECCB[Year Number],1))))/AH20)),0)</f>
        <v/>
      </c>
      <c r="AV20" s="1141" t="str">
        <f>IF(OR(C20="",F20="",L20="",Q20="",S20="",U20="",Z20="",AB20="",AD20="",AF20=""),"",ROUND(AO20*INDEX(ENDUSEALL[Factor],MATCH(AW20,ENDUSEALL[End Use to Coincident Peak Demand Factors],0)),4))</f>
        <v/>
      </c>
      <c r="AW20" s="987" t="str">
        <f>IF(OR(C20="",F20="",L20="",Q20="",S20="",U20="",Z20="",AB20="",AD20="",AF20=""),"",INDEX(CMEMOTOR[End Use Category],MATCH(F20,CMEMOTOR[Proj Desc 1],0)))</f>
        <v/>
      </c>
      <c r="AX20" s="1126" t="str">
        <f>IF(OR(C20="",F20="",L20="",Q20="",S20="",U20="",Z20="",AB20="",AD20="",AF20=""),"",INDEX(CMEMOTOR[EUL],MATCH(F20,CMEMOTOR[Proj Desc 1],0)))</f>
        <v/>
      </c>
      <c r="AY20" s="1122" t="str">
        <f>IF(OR(C20="",F20="",L20="",Q20="",S20="",U20="",Z20="",AB20="",AD20="",AF20=""),"",INDEX(CMEMOTOR[Measure Number],MATCH(F20,CMEMOTOR[Proj Desc 1],0)))</f>
        <v/>
      </c>
      <c r="AZ20" s="1118" t="str">
        <f>IFERROR(ROUND(MIN(AH20*0.5,AO20*INDEX(ENDUSEALL[Inc Rate],MATCH(AW20,ENDUSEALL[End Use to Coincident Peak Demand Factors],0))),2),"")</f>
        <v/>
      </c>
      <c r="BA20" s="1118" t="str">
        <f>IFERROR(ROUND(MIN(AH20,AO20*INDEX(ENDUSEALL[Inc Rate],MATCH(AW20,ENDUSEALL[End Use to Coincident Peak Demand Factors],0))),2),"")</f>
        <v/>
      </c>
      <c r="BB20" s="1118" t="str">
        <f>IFERROR(AH20/M02S02F35/AO20,"")</f>
        <v/>
      </c>
      <c r="BC20" s="1118" t="str">
        <f>IFERROR(IF((Q20*S20)-(Z20*AB20)&lt;=0,MEASURESAV,IF(M02S02F35="",MEASURERATE, IF(AH20/M02S02F35/AO20&lt;1,MEASUREPAY,IF(AU20&lt;1,MEASURECB,"")))),MEASURESUBMIT)</f>
        <v>Submit for Review</v>
      </c>
    </row>
    <row r="21" spans="2:55" ht="15.95" customHeight="1" x14ac:dyDescent="0.25">
      <c r="B21" s="1063"/>
      <c r="C21" s="1104"/>
      <c r="D21" s="1104"/>
      <c r="E21" s="1104"/>
      <c r="F21" s="1112"/>
      <c r="G21" s="1112"/>
      <c r="H21" s="1112"/>
      <c r="I21" s="1112"/>
      <c r="J21" s="1112"/>
      <c r="K21" s="1112"/>
      <c r="L21" s="1112"/>
      <c r="M21" s="1112"/>
      <c r="N21" s="1112"/>
      <c r="O21" s="1112"/>
      <c r="P21" s="1112"/>
      <c r="Q21" s="1106"/>
      <c r="R21" s="1106"/>
      <c r="S21" s="1109"/>
      <c r="T21" s="1110"/>
      <c r="U21" s="1033"/>
      <c r="V21" s="1112"/>
      <c r="W21" s="1112"/>
      <c r="X21" s="1112"/>
      <c r="Y21" s="1112"/>
      <c r="Z21" s="1106"/>
      <c r="AA21" s="1106"/>
      <c r="AB21" s="1109"/>
      <c r="AC21" s="1121"/>
      <c r="AD21" s="1051"/>
      <c r="AE21" s="1137"/>
      <c r="AF21" s="1137"/>
      <c r="AG21" s="1138"/>
      <c r="AH21" s="1129"/>
      <c r="AI21" s="1130"/>
      <c r="AJ21" s="1130"/>
      <c r="AK21" s="1132"/>
      <c r="AL21" s="1132"/>
      <c r="AM21" s="1132"/>
      <c r="AN21" s="1132"/>
      <c r="AO21" s="1134"/>
      <c r="AP21" s="1134"/>
      <c r="AQ21" s="1134"/>
      <c r="AR21" s="135"/>
      <c r="AS21" s="145"/>
      <c r="AT21" s="145"/>
      <c r="AU21" s="1125"/>
      <c r="AV21" s="1142"/>
      <c r="AW21" s="988"/>
      <c r="AX21" s="1127"/>
      <c r="AY21" s="1123"/>
      <c r="AZ21" s="1119"/>
      <c r="BA21" s="1119"/>
      <c r="BB21" s="1119"/>
      <c r="BC21" s="1119"/>
    </row>
    <row r="22" spans="2:55" ht="15.95" customHeight="1" x14ac:dyDescent="0.25">
      <c r="B22" s="1063">
        <v>4</v>
      </c>
      <c r="C22" s="1103"/>
      <c r="D22" s="1103"/>
      <c r="E22" s="1103"/>
      <c r="F22" s="1111"/>
      <c r="G22" s="1111"/>
      <c r="H22" s="1111"/>
      <c r="I22" s="1111"/>
      <c r="J22" s="1111"/>
      <c r="K22" s="1111"/>
      <c r="L22" s="1111"/>
      <c r="M22" s="1111"/>
      <c r="N22" s="1111"/>
      <c r="O22" s="1111"/>
      <c r="P22" s="1111"/>
      <c r="Q22" s="1105"/>
      <c r="R22" s="1105"/>
      <c r="S22" s="1107"/>
      <c r="T22" s="1108"/>
      <c r="U22" s="1030"/>
      <c r="V22" s="1111"/>
      <c r="W22" s="1111"/>
      <c r="X22" s="1111"/>
      <c r="Y22" s="1111"/>
      <c r="Z22" s="1105"/>
      <c r="AA22" s="1105"/>
      <c r="AB22" s="1107"/>
      <c r="AC22" s="1120"/>
      <c r="AD22" s="1049"/>
      <c r="AE22" s="1135"/>
      <c r="AF22" s="1135"/>
      <c r="AG22" s="1136"/>
      <c r="AH22" s="1027" t="str">
        <f t="shared" ref="AH22" si="6">IF(OR(C22="",F22="",L22="",Q22="",S22="",U22="",Z22="",AB22="",AD22="",AF22=""),"",ROUND(AD22+AF22,2))</f>
        <v/>
      </c>
      <c r="AI22" s="1128"/>
      <c r="AJ22" s="1128"/>
      <c r="AK22" s="1131" t="str">
        <f t="shared" ref="AK22" si="7">IF(OR(C22="",F22="",L22="",Q22="",S22="",U22="",Z22="",AB22="",AD22="",AF22=""),"",IF(BC22&lt;&gt;"",BC22,IF(C22="New/Replace Failed Equip.",BA22,AZ22)))</f>
        <v/>
      </c>
      <c r="AL22" s="1131"/>
      <c r="AM22" s="1131"/>
      <c r="AN22" s="1131"/>
      <c r="AO22" s="1133" t="str">
        <f t="shared" ref="AO22" si="8">IF(OR(C22="",F22="",L22="",Q22="",S22="",U22="",Z22="",AB22="",AD22="",AF22=""),"",IF((Q22*S22)-(Z22*AB22)&lt;=0,0,ROUND((Q22*S22)-(Z22*AB22),0)))</f>
        <v/>
      </c>
      <c r="AP22" s="1133"/>
      <c r="AQ22" s="1133"/>
      <c r="AR22" s="135"/>
      <c r="AS22" s="145"/>
      <c r="AT22" s="145"/>
      <c r="AU22" s="1124" t="str">
        <f>IFERROR(IF(OR(C22="",F22="",L22="",Q22="",S22="",U22="",Z22="",AB22="",AD22="",AF22=""),"",((1+ELOSS)*PEAKTD*(1+INDEX(ELECCB[Capacity Reserve Margin],MATCH(AX22,ELECCB[Year Number],0)))*((AO22*INDEX(ELECCB[NPV AEC $/kWh],MATCH(AX22,ELECCB[Year Number],1)))+(AV22*INDEX(ELECCB[NPV ACC+T&amp;D $/kW],MATCH(AX22,ELECCB[Year Number],1))))/AH22)),0)</f>
        <v/>
      </c>
      <c r="AV22" s="1141" t="str">
        <f>IF(OR(C22="",F22="",L22="",Q22="",S22="",U22="",Z22="",AB22="",AD22="",AF22=""),"",ROUND(AO22*INDEX(ENDUSEALL[Factor],MATCH(AW22,ENDUSEALL[End Use to Coincident Peak Demand Factors],0)),4))</f>
        <v/>
      </c>
      <c r="AW22" s="987" t="str">
        <f>IF(OR(C22="",F22="",L22="",Q22="",S22="",U22="",Z22="",AB22="",AD22="",AF22=""),"",INDEX(CMEMOTOR[End Use Category],MATCH(F22,CMEMOTOR[Proj Desc 1],0)))</f>
        <v/>
      </c>
      <c r="AX22" s="1126" t="str">
        <f>IF(OR(C22="",F22="",L22="",Q22="",S22="",U22="",Z22="",AB22="",AD22="",AF22=""),"",INDEX(CMEMOTOR[EUL],MATCH(F22,CMEMOTOR[Proj Desc 1],0)))</f>
        <v/>
      </c>
      <c r="AY22" s="1122" t="str">
        <f>IF(OR(C22="",F22="",L22="",Q22="",S22="",U22="",Z22="",AB22="",AD22="",AF22=""),"",INDEX(CMEMOTOR[Measure Number],MATCH(F22,CMEMOTOR[Proj Desc 1],0)))</f>
        <v/>
      </c>
      <c r="AZ22" s="1118" t="str">
        <f>IFERROR(ROUND(MIN(AH22*0.5,AO22*INDEX(ENDUSEALL[Inc Rate],MATCH(AW22,ENDUSEALL[End Use to Coincident Peak Demand Factors],0))),2),"")</f>
        <v/>
      </c>
      <c r="BA22" s="1118" t="str">
        <f>IFERROR(ROUND(MIN(AH22,AO22*INDEX(ENDUSEALL[Inc Rate],MATCH(AW22,ENDUSEALL[End Use to Coincident Peak Demand Factors],0))),2),"")</f>
        <v/>
      </c>
      <c r="BB22" s="1118" t="str">
        <f>IFERROR(AH22/M02S02F35/AO22,"")</f>
        <v/>
      </c>
      <c r="BC22" s="1118" t="str">
        <f>IFERROR(IF((Q22*S22)-(Z22*AB22)&lt;=0,MEASURESAV,IF(M02S02F35="",MEASURERATE, IF(AH22/M02S02F35/AO22&lt;1,MEASUREPAY,IF(AU22&lt;1,MEASURECB,"")))),MEASURESUBMIT)</f>
        <v>Submit for Review</v>
      </c>
    </row>
    <row r="23" spans="2:55" ht="15.95" customHeight="1" x14ac:dyDescent="0.25">
      <c r="B23" s="1063"/>
      <c r="C23" s="1104"/>
      <c r="D23" s="1104"/>
      <c r="E23" s="1104"/>
      <c r="F23" s="1112"/>
      <c r="G23" s="1112"/>
      <c r="H23" s="1112"/>
      <c r="I23" s="1112"/>
      <c r="J23" s="1112"/>
      <c r="K23" s="1112"/>
      <c r="L23" s="1112"/>
      <c r="M23" s="1112"/>
      <c r="N23" s="1112"/>
      <c r="O23" s="1112"/>
      <c r="P23" s="1112"/>
      <c r="Q23" s="1106"/>
      <c r="R23" s="1106"/>
      <c r="S23" s="1109"/>
      <c r="T23" s="1110"/>
      <c r="U23" s="1033"/>
      <c r="V23" s="1112"/>
      <c r="W23" s="1112"/>
      <c r="X23" s="1112"/>
      <c r="Y23" s="1112"/>
      <c r="Z23" s="1106"/>
      <c r="AA23" s="1106"/>
      <c r="AB23" s="1109"/>
      <c r="AC23" s="1121"/>
      <c r="AD23" s="1051"/>
      <c r="AE23" s="1137"/>
      <c r="AF23" s="1137"/>
      <c r="AG23" s="1138"/>
      <c r="AH23" s="1129"/>
      <c r="AI23" s="1130"/>
      <c r="AJ23" s="1130"/>
      <c r="AK23" s="1132"/>
      <c r="AL23" s="1132"/>
      <c r="AM23" s="1132"/>
      <c r="AN23" s="1132"/>
      <c r="AO23" s="1134"/>
      <c r="AP23" s="1134"/>
      <c r="AQ23" s="1134"/>
      <c r="AR23" s="135"/>
      <c r="AS23" s="145"/>
      <c r="AT23" s="145"/>
      <c r="AU23" s="1125"/>
      <c r="AV23" s="1142"/>
      <c r="AW23" s="988"/>
      <c r="AX23" s="1127"/>
      <c r="AY23" s="1123"/>
      <c r="AZ23" s="1119"/>
      <c r="BA23" s="1119"/>
      <c r="BB23" s="1119"/>
      <c r="BC23" s="1119"/>
    </row>
    <row r="24" spans="2:55" ht="15.95" customHeight="1" x14ac:dyDescent="0.25">
      <c r="B24" s="1063">
        <v>5</v>
      </c>
      <c r="C24" s="1103"/>
      <c r="D24" s="1103"/>
      <c r="E24" s="1103"/>
      <c r="F24" s="1111"/>
      <c r="G24" s="1111"/>
      <c r="H24" s="1111"/>
      <c r="I24" s="1111"/>
      <c r="J24" s="1111"/>
      <c r="K24" s="1111"/>
      <c r="L24" s="1111"/>
      <c r="M24" s="1111"/>
      <c r="N24" s="1111"/>
      <c r="O24" s="1111"/>
      <c r="P24" s="1111"/>
      <c r="Q24" s="1105"/>
      <c r="R24" s="1105"/>
      <c r="S24" s="1107"/>
      <c r="T24" s="1108"/>
      <c r="U24" s="1030"/>
      <c r="V24" s="1111"/>
      <c r="W24" s="1111"/>
      <c r="X24" s="1111"/>
      <c r="Y24" s="1111"/>
      <c r="Z24" s="1105"/>
      <c r="AA24" s="1105"/>
      <c r="AB24" s="1107"/>
      <c r="AC24" s="1120"/>
      <c r="AD24" s="1049"/>
      <c r="AE24" s="1135"/>
      <c r="AF24" s="1135"/>
      <c r="AG24" s="1136"/>
      <c r="AH24" s="1027" t="str">
        <f t="shared" ref="AH24" si="9">IF(OR(C24="",F24="",L24="",Q24="",S24="",U24="",Z24="",AB24="",AD24="",AF24=""),"",ROUND(AD24+AF24,2))</f>
        <v/>
      </c>
      <c r="AI24" s="1128"/>
      <c r="AJ24" s="1128"/>
      <c r="AK24" s="1131" t="str">
        <f t="shared" ref="AK24" si="10">IF(OR(C24="",F24="",L24="",Q24="",S24="",U24="",Z24="",AB24="",AD24="",AF24=""),"",IF(BC24&lt;&gt;"",BC24,IF(C24="New/Replace Failed Equip.",BA24,AZ24)))</f>
        <v/>
      </c>
      <c r="AL24" s="1131"/>
      <c r="AM24" s="1131"/>
      <c r="AN24" s="1131"/>
      <c r="AO24" s="1133" t="str">
        <f t="shared" ref="AO24" si="11">IF(OR(C24="",F24="",L24="",Q24="",S24="",U24="",Z24="",AB24="",AD24="",AF24=""),"",IF((Q24*S24)-(Z24*AB24)&lt;=0,0,ROUND((Q24*S24)-(Z24*AB24),0)))</f>
        <v/>
      </c>
      <c r="AP24" s="1133"/>
      <c r="AQ24" s="1133"/>
      <c r="AR24" s="135"/>
      <c r="AS24" s="145"/>
      <c r="AT24" s="145"/>
      <c r="AU24" s="1124" t="str">
        <f>IFERROR(IF(OR(C24="",F24="",L24="",Q24="",S24="",U24="",Z24="",AB24="",AD24="",AF24=""),"",((1+ELOSS)*PEAKTD*(1+INDEX(ELECCB[Capacity Reserve Margin],MATCH(AX24,ELECCB[Year Number],0)))*((AO24*INDEX(ELECCB[NPV AEC $/kWh],MATCH(AX24,ELECCB[Year Number],1)))+(AV24*INDEX(ELECCB[NPV ACC+T&amp;D $/kW],MATCH(AX24,ELECCB[Year Number],1))))/AH24)),0)</f>
        <v/>
      </c>
      <c r="AV24" s="1141" t="str">
        <f>IF(OR(C24="",F24="",L24="",Q24="",S24="",U24="",Z24="",AB24="",AD24="",AF24=""),"",ROUND(AO24*INDEX(ENDUSEALL[Factor],MATCH(AW24,ENDUSEALL[End Use to Coincident Peak Demand Factors],0)),4))</f>
        <v/>
      </c>
      <c r="AW24" s="987" t="str">
        <f>IF(OR(C24="",F24="",L24="",Q24="",S24="",U24="",Z24="",AB24="",AD24="",AF24=""),"",INDEX(CMEMOTOR[End Use Category],MATCH(F24,CMEMOTOR[Proj Desc 1],0)))</f>
        <v/>
      </c>
      <c r="AX24" s="1126" t="str">
        <f>IF(OR(C24="",F24="",L24="",Q24="",S24="",U24="",Z24="",AB24="",AD24="",AF24=""),"",INDEX(CMEMOTOR[EUL],MATCH(F24,CMEMOTOR[Proj Desc 1],0)))</f>
        <v/>
      </c>
      <c r="AY24" s="1122" t="str">
        <f>IF(OR(C24="",F24="",L24="",Q24="",S24="",U24="",Z24="",AB24="",AD24="",AF24=""),"",INDEX(CMEMOTOR[Measure Number],MATCH(F24,CMEMOTOR[Proj Desc 1],0)))</f>
        <v/>
      </c>
      <c r="AZ24" s="1118" t="str">
        <f>IFERROR(ROUND(MIN(AH24*0.5,AO24*INDEX(ENDUSEALL[Inc Rate],MATCH(AW24,ENDUSEALL[End Use to Coincident Peak Demand Factors],0))),2),"")</f>
        <v/>
      </c>
      <c r="BA24" s="1118" t="str">
        <f>IFERROR(ROUND(MIN(AH24,AO24*INDEX(ENDUSEALL[Inc Rate],MATCH(AW24,ENDUSEALL[End Use to Coincident Peak Demand Factors],0))),2),"")</f>
        <v/>
      </c>
      <c r="BB24" s="1118" t="str">
        <f>IFERROR(AH24/M02S02F35/AO24,"")</f>
        <v/>
      </c>
      <c r="BC24" s="1118" t="str">
        <f>IFERROR(IF((Q24*S24)-(Z24*AB24)&lt;=0,MEASURESAV,IF(M02S02F35="",MEASURERATE, IF(AH24/M02S02F35/AO24&lt;1,MEASUREPAY,IF(AU24&lt;1,MEASURECB,"")))),MEASURESUBMIT)</f>
        <v>Submit for Review</v>
      </c>
    </row>
    <row r="25" spans="2:55" ht="15.95" customHeight="1" x14ac:dyDescent="0.25">
      <c r="B25" s="1063"/>
      <c r="C25" s="1104"/>
      <c r="D25" s="1104"/>
      <c r="E25" s="1104"/>
      <c r="F25" s="1112"/>
      <c r="G25" s="1112"/>
      <c r="H25" s="1112"/>
      <c r="I25" s="1112"/>
      <c r="J25" s="1112"/>
      <c r="K25" s="1112"/>
      <c r="L25" s="1112"/>
      <c r="M25" s="1112"/>
      <c r="N25" s="1112"/>
      <c r="O25" s="1112"/>
      <c r="P25" s="1112"/>
      <c r="Q25" s="1106"/>
      <c r="R25" s="1106"/>
      <c r="S25" s="1109"/>
      <c r="T25" s="1110"/>
      <c r="U25" s="1033"/>
      <c r="V25" s="1112"/>
      <c r="W25" s="1112"/>
      <c r="X25" s="1112"/>
      <c r="Y25" s="1112"/>
      <c r="Z25" s="1106"/>
      <c r="AA25" s="1106"/>
      <c r="AB25" s="1109"/>
      <c r="AC25" s="1121"/>
      <c r="AD25" s="1051"/>
      <c r="AE25" s="1137"/>
      <c r="AF25" s="1137"/>
      <c r="AG25" s="1138"/>
      <c r="AH25" s="1129"/>
      <c r="AI25" s="1130"/>
      <c r="AJ25" s="1130"/>
      <c r="AK25" s="1132"/>
      <c r="AL25" s="1132"/>
      <c r="AM25" s="1132"/>
      <c r="AN25" s="1132"/>
      <c r="AO25" s="1134"/>
      <c r="AP25" s="1134"/>
      <c r="AQ25" s="1134"/>
      <c r="AR25" s="135"/>
      <c r="AS25" s="145"/>
      <c r="AT25" s="145"/>
      <c r="AU25" s="1125"/>
      <c r="AV25" s="1142"/>
      <c r="AW25" s="988"/>
      <c r="AX25" s="1127"/>
      <c r="AY25" s="1123"/>
      <c r="AZ25" s="1119"/>
      <c r="BA25" s="1119"/>
      <c r="BB25" s="1119"/>
      <c r="BC25" s="1119"/>
    </row>
    <row r="26" spans="2:55" ht="15.95" customHeight="1" x14ac:dyDescent="0.25">
      <c r="B26" s="1063">
        <v>6</v>
      </c>
      <c r="C26" s="1103"/>
      <c r="D26" s="1103"/>
      <c r="E26" s="1103"/>
      <c r="F26" s="1111"/>
      <c r="G26" s="1111"/>
      <c r="H26" s="1111"/>
      <c r="I26" s="1111"/>
      <c r="J26" s="1111"/>
      <c r="K26" s="1111"/>
      <c r="L26" s="1111"/>
      <c r="M26" s="1111"/>
      <c r="N26" s="1111"/>
      <c r="O26" s="1111"/>
      <c r="P26" s="1111"/>
      <c r="Q26" s="1105"/>
      <c r="R26" s="1105"/>
      <c r="S26" s="1107"/>
      <c r="T26" s="1108"/>
      <c r="U26" s="1030"/>
      <c r="V26" s="1111"/>
      <c r="W26" s="1111"/>
      <c r="X26" s="1111"/>
      <c r="Y26" s="1111"/>
      <c r="Z26" s="1105"/>
      <c r="AA26" s="1105"/>
      <c r="AB26" s="1107"/>
      <c r="AC26" s="1120"/>
      <c r="AD26" s="1049"/>
      <c r="AE26" s="1135"/>
      <c r="AF26" s="1135"/>
      <c r="AG26" s="1136"/>
      <c r="AH26" s="1027" t="str">
        <f t="shared" ref="AH26" si="12">IF(OR(C26="",F26="",L26="",Q26="",S26="",U26="",Z26="",AB26="",AD26="",AF26=""),"",ROUND(AD26+AF26,2))</f>
        <v/>
      </c>
      <c r="AI26" s="1128"/>
      <c r="AJ26" s="1128"/>
      <c r="AK26" s="1131" t="str">
        <f t="shared" ref="AK26" si="13">IF(OR(C26="",F26="",L26="",Q26="",S26="",U26="",Z26="",AB26="",AD26="",AF26=""),"",IF(BC26&lt;&gt;"",BC26,IF(C26="New/Replace Failed Equip.",BA26,AZ26)))</f>
        <v/>
      </c>
      <c r="AL26" s="1131"/>
      <c r="AM26" s="1131"/>
      <c r="AN26" s="1131"/>
      <c r="AO26" s="1133" t="str">
        <f t="shared" ref="AO26" si="14">IF(OR(C26="",F26="",L26="",Q26="",S26="",U26="",Z26="",AB26="",AD26="",AF26=""),"",IF((Q26*S26)-(Z26*AB26)&lt;=0,0,ROUND((Q26*S26)-(Z26*AB26),0)))</f>
        <v/>
      </c>
      <c r="AP26" s="1133"/>
      <c r="AQ26" s="1133"/>
      <c r="AR26" s="135"/>
      <c r="AS26" s="145"/>
      <c r="AT26" s="145"/>
      <c r="AU26" s="1124" t="str">
        <f>IFERROR(IF(OR(C26="",F26="",L26="",Q26="",S26="",U26="",Z26="",AB26="",AD26="",AF26=""),"",((1+ELOSS)*PEAKTD*(1+INDEX(ELECCB[Capacity Reserve Margin],MATCH(AX26,ELECCB[Year Number],0)))*((AO26*INDEX(ELECCB[NPV AEC $/kWh],MATCH(AX26,ELECCB[Year Number],1)))+(AV26*INDEX(ELECCB[NPV ACC+T&amp;D $/kW],MATCH(AX26,ELECCB[Year Number],1))))/AH26)),0)</f>
        <v/>
      </c>
      <c r="AV26" s="1141" t="str">
        <f>IF(OR(C26="",F26="",L26="",Q26="",S26="",U26="",Z26="",AB26="",AD26="",AF26=""),"",ROUND(AO26*INDEX(ENDUSEALL[Factor],MATCH(AW26,ENDUSEALL[End Use to Coincident Peak Demand Factors],0)),4))</f>
        <v/>
      </c>
      <c r="AW26" s="987" t="str">
        <f>IF(OR(C26="",F26="",L26="",Q26="",S26="",U26="",Z26="",AB26="",AD26="",AF26=""),"",INDEX(CMEMOTOR[End Use Category],MATCH(F26,CMEMOTOR[Proj Desc 1],0)))</f>
        <v/>
      </c>
      <c r="AX26" s="1126" t="str">
        <f>IF(OR(C26="",F26="",L26="",Q26="",S26="",U26="",Z26="",AB26="",AD26="",AF26=""),"",INDEX(CMEMOTOR[EUL],MATCH(F26,CMEMOTOR[Proj Desc 1],0)))</f>
        <v/>
      </c>
      <c r="AY26" s="1122" t="str">
        <f>IF(OR(C26="",F26="",L26="",Q26="",S26="",U26="",Z26="",AB26="",AD26="",AF26=""),"",INDEX(CMEMOTOR[Measure Number],MATCH(F26,CMEMOTOR[Proj Desc 1],0)))</f>
        <v/>
      </c>
      <c r="AZ26" s="1118" t="str">
        <f>IFERROR(ROUND(MIN(AH26*0.5,AO26*INDEX(ENDUSEALL[Inc Rate],MATCH(AW26,ENDUSEALL[End Use to Coincident Peak Demand Factors],0))),2),"")</f>
        <v/>
      </c>
      <c r="BA26" s="1118" t="str">
        <f>IFERROR(ROUND(MIN(AH26,AO26*INDEX(ENDUSEALL[Inc Rate],MATCH(AW26,ENDUSEALL[End Use to Coincident Peak Demand Factors],0))),2),"")</f>
        <v/>
      </c>
      <c r="BB26" s="1118" t="str">
        <f>IFERROR(AH26/M02S02F35/AO26,"")</f>
        <v/>
      </c>
      <c r="BC26" s="1118" t="str">
        <f>IFERROR(IF((Q26*S26)-(Z26*AB26)&lt;=0,MEASURESAV,IF(M02S02F35="",MEASURERATE, IF(AH26/M02S02F35/AO26&lt;1,MEASUREPAY,IF(AU26&lt;1,MEASURECB,"")))),MEASURESUBMIT)</f>
        <v>Submit for Review</v>
      </c>
    </row>
    <row r="27" spans="2:55" ht="15.95" customHeight="1" x14ac:dyDescent="0.25">
      <c r="B27" s="1063"/>
      <c r="C27" s="1104"/>
      <c r="D27" s="1104"/>
      <c r="E27" s="1104"/>
      <c r="F27" s="1112"/>
      <c r="G27" s="1112"/>
      <c r="H27" s="1112"/>
      <c r="I27" s="1112"/>
      <c r="J27" s="1112"/>
      <c r="K27" s="1112"/>
      <c r="L27" s="1112"/>
      <c r="M27" s="1112"/>
      <c r="N27" s="1112"/>
      <c r="O27" s="1112"/>
      <c r="P27" s="1112"/>
      <c r="Q27" s="1106"/>
      <c r="R27" s="1106"/>
      <c r="S27" s="1109"/>
      <c r="T27" s="1110"/>
      <c r="U27" s="1033"/>
      <c r="V27" s="1112"/>
      <c r="W27" s="1112"/>
      <c r="X27" s="1112"/>
      <c r="Y27" s="1112"/>
      <c r="Z27" s="1106"/>
      <c r="AA27" s="1106"/>
      <c r="AB27" s="1109"/>
      <c r="AC27" s="1121"/>
      <c r="AD27" s="1051"/>
      <c r="AE27" s="1137"/>
      <c r="AF27" s="1137"/>
      <c r="AG27" s="1138"/>
      <c r="AH27" s="1129"/>
      <c r="AI27" s="1130"/>
      <c r="AJ27" s="1130"/>
      <c r="AK27" s="1132"/>
      <c r="AL27" s="1132"/>
      <c r="AM27" s="1132"/>
      <c r="AN27" s="1132"/>
      <c r="AO27" s="1134"/>
      <c r="AP27" s="1134"/>
      <c r="AQ27" s="1134"/>
      <c r="AR27" s="135"/>
      <c r="AS27" s="145"/>
      <c r="AT27" s="145"/>
      <c r="AU27" s="1125"/>
      <c r="AV27" s="1142"/>
      <c r="AW27" s="988"/>
      <c r="AX27" s="1127"/>
      <c r="AY27" s="1123"/>
      <c r="AZ27" s="1119"/>
      <c r="BA27" s="1119"/>
      <c r="BB27" s="1119"/>
      <c r="BC27" s="1119"/>
    </row>
    <row r="28" spans="2:55" ht="15.95" customHeight="1" x14ac:dyDescent="0.25">
      <c r="B28" s="1063">
        <v>7</v>
      </c>
      <c r="C28" s="1103"/>
      <c r="D28" s="1103"/>
      <c r="E28" s="1103"/>
      <c r="F28" s="1111"/>
      <c r="G28" s="1111"/>
      <c r="H28" s="1111"/>
      <c r="I28" s="1111"/>
      <c r="J28" s="1111"/>
      <c r="K28" s="1111"/>
      <c r="L28" s="1111"/>
      <c r="M28" s="1111"/>
      <c r="N28" s="1111"/>
      <c r="O28" s="1111"/>
      <c r="P28" s="1111"/>
      <c r="Q28" s="1105"/>
      <c r="R28" s="1105"/>
      <c r="S28" s="1107"/>
      <c r="T28" s="1108"/>
      <c r="U28" s="1030"/>
      <c r="V28" s="1111"/>
      <c r="W28" s="1111"/>
      <c r="X28" s="1111"/>
      <c r="Y28" s="1111"/>
      <c r="Z28" s="1105"/>
      <c r="AA28" s="1105"/>
      <c r="AB28" s="1107"/>
      <c r="AC28" s="1120"/>
      <c r="AD28" s="1049"/>
      <c r="AE28" s="1135"/>
      <c r="AF28" s="1135"/>
      <c r="AG28" s="1136"/>
      <c r="AH28" s="1027" t="str">
        <f t="shared" ref="AH28" si="15">IF(OR(C28="",F28="",L28="",Q28="",S28="",U28="",Z28="",AB28="",AD28="",AF28=""),"",ROUND(AD28+AF28,2))</f>
        <v/>
      </c>
      <c r="AI28" s="1128"/>
      <c r="AJ28" s="1128"/>
      <c r="AK28" s="1131" t="str">
        <f t="shared" ref="AK28" si="16">IF(OR(C28="",F28="",L28="",Q28="",S28="",U28="",Z28="",AB28="",AD28="",AF28=""),"",IF(BC28&lt;&gt;"",BC28,IF(C28="New/Replace Failed Equip.",BA28,AZ28)))</f>
        <v/>
      </c>
      <c r="AL28" s="1131"/>
      <c r="AM28" s="1131"/>
      <c r="AN28" s="1131"/>
      <c r="AO28" s="1133" t="str">
        <f t="shared" ref="AO28" si="17">IF(OR(C28="",F28="",L28="",Q28="",S28="",U28="",Z28="",AB28="",AD28="",AF28=""),"",IF((Q28*S28)-(Z28*AB28)&lt;=0,0,ROUND((Q28*S28)-(Z28*AB28),0)))</f>
        <v/>
      </c>
      <c r="AP28" s="1133"/>
      <c r="AQ28" s="1133"/>
      <c r="AR28" s="135"/>
      <c r="AS28" s="145"/>
      <c r="AT28" s="145"/>
      <c r="AU28" s="1124" t="str">
        <f>IFERROR(IF(OR(C28="",F28="",L28="",Q28="",S28="",U28="",Z28="",AB28="",AD28="",AF28=""),"",((1+ELOSS)*PEAKTD*(1+INDEX(ELECCB[Capacity Reserve Margin],MATCH(AX28,ELECCB[Year Number],0)))*((AO28*INDEX(ELECCB[NPV AEC $/kWh],MATCH(AX28,ELECCB[Year Number],1)))+(AV28*INDEX(ELECCB[NPV ACC+T&amp;D $/kW],MATCH(AX28,ELECCB[Year Number],1))))/AH28)),0)</f>
        <v/>
      </c>
      <c r="AV28" s="1141" t="str">
        <f>IF(OR(C28="",F28="",L28="",Q28="",S28="",U28="",Z28="",AB28="",AD28="",AF28=""),"",ROUND(AO28*INDEX(ENDUSEALL[Factor],MATCH(AW28,ENDUSEALL[End Use to Coincident Peak Demand Factors],0)),4))</f>
        <v/>
      </c>
      <c r="AW28" s="987" t="str">
        <f>IF(OR(C28="",F28="",L28="",Q28="",S28="",U28="",Z28="",AB28="",AD28="",AF28=""),"",INDEX(CMEMOTOR[End Use Category],MATCH(F28,CMEMOTOR[Proj Desc 1],0)))</f>
        <v/>
      </c>
      <c r="AX28" s="1126" t="str">
        <f>IF(OR(C28="",F28="",L28="",Q28="",S28="",U28="",Z28="",AB28="",AD28="",AF28=""),"",INDEX(CMEMOTOR[EUL],MATCH(F28,CMEMOTOR[Proj Desc 1],0)))</f>
        <v/>
      </c>
      <c r="AY28" s="1122" t="str">
        <f>IF(OR(C28="",F28="",L28="",Q28="",S28="",U28="",Z28="",AB28="",AD28="",AF28=""),"",INDEX(CMEMOTOR[Measure Number],MATCH(F28,CMEMOTOR[Proj Desc 1],0)))</f>
        <v/>
      </c>
      <c r="AZ28" s="1118" t="str">
        <f>IFERROR(ROUND(MIN(AH28*0.5,AO28*INDEX(ENDUSEALL[Inc Rate],MATCH(AW28,ENDUSEALL[End Use to Coincident Peak Demand Factors],0))),2),"")</f>
        <v/>
      </c>
      <c r="BA28" s="1118" t="str">
        <f>IFERROR(ROUND(MIN(AH28,AO28*INDEX(ENDUSEALL[Inc Rate],MATCH(AW28,ENDUSEALL[End Use to Coincident Peak Demand Factors],0))),2),"")</f>
        <v/>
      </c>
      <c r="BB28" s="1118" t="str">
        <f>IFERROR(AH28/M02S02F35/AO28,"")</f>
        <v/>
      </c>
      <c r="BC28" s="1118" t="str">
        <f>IFERROR(IF((Q28*S28)-(Z28*AB28)&lt;=0,MEASURESAV,IF(M02S02F35="",MEASURERATE, IF(AH28/M02S02F35/AO28&lt;1,MEASUREPAY,IF(AU28&lt;1,MEASURECB,"")))),MEASURESUBMIT)</f>
        <v>Submit for Review</v>
      </c>
    </row>
    <row r="29" spans="2:55" ht="15.95" customHeight="1" x14ac:dyDescent="0.25">
      <c r="B29" s="1063"/>
      <c r="C29" s="1104"/>
      <c r="D29" s="1104"/>
      <c r="E29" s="1104"/>
      <c r="F29" s="1112"/>
      <c r="G29" s="1112"/>
      <c r="H29" s="1112"/>
      <c r="I29" s="1112"/>
      <c r="J29" s="1112"/>
      <c r="K29" s="1112"/>
      <c r="L29" s="1112"/>
      <c r="M29" s="1112"/>
      <c r="N29" s="1112"/>
      <c r="O29" s="1112"/>
      <c r="P29" s="1112"/>
      <c r="Q29" s="1106"/>
      <c r="R29" s="1106"/>
      <c r="S29" s="1109"/>
      <c r="T29" s="1110"/>
      <c r="U29" s="1033"/>
      <c r="V29" s="1112"/>
      <c r="W29" s="1112"/>
      <c r="X29" s="1112"/>
      <c r="Y29" s="1112"/>
      <c r="Z29" s="1106"/>
      <c r="AA29" s="1106"/>
      <c r="AB29" s="1109"/>
      <c r="AC29" s="1121"/>
      <c r="AD29" s="1051"/>
      <c r="AE29" s="1137"/>
      <c r="AF29" s="1137"/>
      <c r="AG29" s="1138"/>
      <c r="AH29" s="1129"/>
      <c r="AI29" s="1130"/>
      <c r="AJ29" s="1130"/>
      <c r="AK29" s="1132"/>
      <c r="AL29" s="1132"/>
      <c r="AM29" s="1132"/>
      <c r="AN29" s="1132"/>
      <c r="AO29" s="1134"/>
      <c r="AP29" s="1134"/>
      <c r="AQ29" s="1134"/>
      <c r="AR29" s="135"/>
      <c r="AS29" s="145"/>
      <c r="AT29" s="145"/>
      <c r="AU29" s="1125"/>
      <c r="AV29" s="1142"/>
      <c r="AW29" s="988"/>
      <c r="AX29" s="1127"/>
      <c r="AY29" s="1123"/>
      <c r="AZ29" s="1119"/>
      <c r="BA29" s="1119"/>
      <c r="BB29" s="1119"/>
      <c r="BC29" s="1119"/>
    </row>
    <row r="30" spans="2:55" ht="15.95" customHeight="1" x14ac:dyDescent="0.25">
      <c r="B30" s="1063">
        <v>8</v>
      </c>
      <c r="C30" s="1103"/>
      <c r="D30" s="1103"/>
      <c r="E30" s="1103"/>
      <c r="F30" s="1111"/>
      <c r="G30" s="1111"/>
      <c r="H30" s="1111"/>
      <c r="I30" s="1111"/>
      <c r="J30" s="1111"/>
      <c r="K30" s="1111"/>
      <c r="L30" s="1111"/>
      <c r="M30" s="1111"/>
      <c r="N30" s="1111"/>
      <c r="O30" s="1111"/>
      <c r="P30" s="1111"/>
      <c r="Q30" s="1105"/>
      <c r="R30" s="1105"/>
      <c r="S30" s="1107"/>
      <c r="T30" s="1108"/>
      <c r="U30" s="1030"/>
      <c r="V30" s="1111"/>
      <c r="W30" s="1111"/>
      <c r="X30" s="1111"/>
      <c r="Y30" s="1111"/>
      <c r="Z30" s="1105"/>
      <c r="AA30" s="1105"/>
      <c r="AB30" s="1107"/>
      <c r="AC30" s="1120"/>
      <c r="AD30" s="1049"/>
      <c r="AE30" s="1135"/>
      <c r="AF30" s="1135"/>
      <c r="AG30" s="1136"/>
      <c r="AH30" s="1027" t="str">
        <f t="shared" ref="AH30" si="18">IF(OR(C30="",F30="",L30="",Q30="",S30="",U30="",Z30="",AB30="",AD30="",AF30=""),"",ROUND(AD30+AF30,2))</f>
        <v/>
      </c>
      <c r="AI30" s="1128"/>
      <c r="AJ30" s="1128"/>
      <c r="AK30" s="1131" t="str">
        <f t="shared" ref="AK30" si="19">IF(OR(C30="",F30="",L30="",Q30="",S30="",U30="",Z30="",AB30="",AD30="",AF30=""),"",IF(BC30&lt;&gt;"",BC30,IF(C30="New/Replace Failed Equip.",BA30,AZ30)))</f>
        <v/>
      </c>
      <c r="AL30" s="1131"/>
      <c r="AM30" s="1131"/>
      <c r="AN30" s="1131"/>
      <c r="AO30" s="1133" t="str">
        <f t="shared" ref="AO30" si="20">IF(OR(C30="",F30="",L30="",Q30="",S30="",U30="",Z30="",AB30="",AD30="",AF30=""),"",IF((Q30*S30)-(Z30*AB30)&lt;=0,0,ROUND((Q30*S30)-(Z30*AB30),0)))</f>
        <v/>
      </c>
      <c r="AP30" s="1133"/>
      <c r="AQ30" s="1133"/>
      <c r="AR30" s="135"/>
      <c r="AS30" s="145"/>
      <c r="AT30" s="145"/>
      <c r="AU30" s="1124" t="str">
        <f>IFERROR(IF(OR(C30="",F30="",L30="",Q30="",S30="",U30="",Z30="",AB30="",AD30="",AF30=""),"",((1+ELOSS)*PEAKTD*(1+INDEX(ELECCB[Capacity Reserve Margin],MATCH(AX30,ELECCB[Year Number],0)))*((AO30*INDEX(ELECCB[NPV AEC $/kWh],MATCH(AX30,ELECCB[Year Number],1)))+(AV30*INDEX(ELECCB[NPV ACC+T&amp;D $/kW],MATCH(AX30,ELECCB[Year Number],1))))/AH30)),0)</f>
        <v/>
      </c>
      <c r="AV30" s="1141" t="str">
        <f>IF(OR(C30="",F30="",L30="",Q30="",S30="",U30="",Z30="",AB30="",AD30="",AF30=""),"",ROUND(AO30*INDEX(ENDUSEALL[Factor],MATCH(AW30,ENDUSEALL[End Use to Coincident Peak Demand Factors],0)),4))</f>
        <v/>
      </c>
      <c r="AW30" s="987" t="str">
        <f>IF(OR(C30="",F30="",L30="",Q30="",S30="",U30="",Z30="",AB30="",AD30="",AF30=""),"",INDEX(CMEMOTOR[End Use Category],MATCH(F30,CMEMOTOR[Proj Desc 1],0)))</f>
        <v/>
      </c>
      <c r="AX30" s="1126" t="str">
        <f>IF(OR(C30="",F30="",L30="",Q30="",S30="",U30="",Z30="",AB30="",AD30="",AF30=""),"",INDEX(CMEMOTOR[EUL],MATCH(F30,CMEMOTOR[Proj Desc 1],0)))</f>
        <v/>
      </c>
      <c r="AY30" s="1122" t="str">
        <f>IF(OR(C30="",F30="",L30="",Q30="",S30="",U30="",Z30="",AB30="",AD30="",AF30=""),"",INDEX(CMEMOTOR[Measure Number],MATCH(F30,CMEMOTOR[Proj Desc 1],0)))</f>
        <v/>
      </c>
      <c r="AZ30" s="1118" t="str">
        <f>IFERROR(ROUND(MIN(AH30*0.5,AO30*INDEX(ENDUSEALL[Inc Rate],MATCH(AW30,ENDUSEALL[End Use to Coincident Peak Demand Factors],0))),2),"")</f>
        <v/>
      </c>
      <c r="BA30" s="1118" t="str">
        <f>IFERROR(ROUND(MIN(AH30,AO30*INDEX(ENDUSEALL[Inc Rate],MATCH(AW30,ENDUSEALL[End Use to Coincident Peak Demand Factors],0))),2),"")</f>
        <v/>
      </c>
      <c r="BB30" s="1118" t="str">
        <f>IFERROR(AH30/M02S02F35/AO30,"")</f>
        <v/>
      </c>
      <c r="BC30" s="1118" t="str">
        <f>IFERROR(IF((Q30*S30)-(Z30*AB30)&lt;=0,MEASURESAV,IF(M02S02F35="",MEASURERATE, IF(AH30/M02S02F35/AO30&lt;1,MEASUREPAY,IF(AU30&lt;1,MEASURECB,"")))),MEASURESUBMIT)</f>
        <v>Submit for Review</v>
      </c>
    </row>
    <row r="31" spans="2:55" ht="15.95" customHeight="1" x14ac:dyDescent="0.25">
      <c r="B31" s="1063"/>
      <c r="C31" s="1104"/>
      <c r="D31" s="1104"/>
      <c r="E31" s="1104"/>
      <c r="F31" s="1112"/>
      <c r="G31" s="1112"/>
      <c r="H31" s="1112"/>
      <c r="I31" s="1112"/>
      <c r="J31" s="1112"/>
      <c r="K31" s="1112"/>
      <c r="L31" s="1112"/>
      <c r="M31" s="1112"/>
      <c r="N31" s="1112"/>
      <c r="O31" s="1112"/>
      <c r="P31" s="1112"/>
      <c r="Q31" s="1106"/>
      <c r="R31" s="1106"/>
      <c r="S31" s="1109"/>
      <c r="T31" s="1110"/>
      <c r="U31" s="1033"/>
      <c r="V31" s="1112"/>
      <c r="W31" s="1112"/>
      <c r="X31" s="1112"/>
      <c r="Y31" s="1112"/>
      <c r="Z31" s="1106"/>
      <c r="AA31" s="1106"/>
      <c r="AB31" s="1109"/>
      <c r="AC31" s="1121"/>
      <c r="AD31" s="1051"/>
      <c r="AE31" s="1137"/>
      <c r="AF31" s="1137"/>
      <c r="AG31" s="1138"/>
      <c r="AH31" s="1129"/>
      <c r="AI31" s="1130"/>
      <c r="AJ31" s="1130"/>
      <c r="AK31" s="1132"/>
      <c r="AL31" s="1132"/>
      <c r="AM31" s="1132"/>
      <c r="AN31" s="1132"/>
      <c r="AO31" s="1134"/>
      <c r="AP31" s="1134"/>
      <c r="AQ31" s="1134"/>
      <c r="AR31" s="135"/>
      <c r="AS31" s="145"/>
      <c r="AT31" s="145"/>
      <c r="AU31" s="1125"/>
      <c r="AV31" s="1142"/>
      <c r="AW31" s="988"/>
      <c r="AX31" s="1127"/>
      <c r="AY31" s="1123"/>
      <c r="AZ31" s="1119"/>
      <c r="BA31" s="1119"/>
      <c r="BB31" s="1119"/>
      <c r="BC31" s="1119"/>
    </row>
    <row r="32" spans="2:55" ht="15.95" customHeight="1" x14ac:dyDescent="0.25">
      <c r="B32" s="1063">
        <v>9</v>
      </c>
      <c r="C32" s="1103"/>
      <c r="D32" s="1103"/>
      <c r="E32" s="1103"/>
      <c r="F32" s="1111"/>
      <c r="G32" s="1111"/>
      <c r="H32" s="1111"/>
      <c r="I32" s="1111"/>
      <c r="J32" s="1111"/>
      <c r="K32" s="1111"/>
      <c r="L32" s="1111"/>
      <c r="M32" s="1111"/>
      <c r="N32" s="1111"/>
      <c r="O32" s="1111"/>
      <c r="P32" s="1111"/>
      <c r="Q32" s="1105"/>
      <c r="R32" s="1105"/>
      <c r="S32" s="1107"/>
      <c r="T32" s="1108"/>
      <c r="U32" s="1030"/>
      <c r="V32" s="1111"/>
      <c r="W32" s="1111"/>
      <c r="X32" s="1111"/>
      <c r="Y32" s="1111"/>
      <c r="Z32" s="1105"/>
      <c r="AA32" s="1105"/>
      <c r="AB32" s="1107"/>
      <c r="AC32" s="1120"/>
      <c r="AD32" s="1049"/>
      <c r="AE32" s="1135"/>
      <c r="AF32" s="1135"/>
      <c r="AG32" s="1136"/>
      <c r="AH32" s="1027" t="str">
        <f t="shared" ref="AH32" si="21">IF(OR(C32="",F32="",L32="",Q32="",S32="",U32="",Z32="",AB32="",AD32="",AF32=""),"",ROUND(AD32+AF32,2))</f>
        <v/>
      </c>
      <c r="AI32" s="1128"/>
      <c r="AJ32" s="1128"/>
      <c r="AK32" s="1131" t="str">
        <f t="shared" ref="AK32" si="22">IF(OR(C32="",F32="",L32="",Q32="",S32="",U32="",Z32="",AB32="",AD32="",AF32=""),"",IF(BC32&lt;&gt;"",BC32,IF(C32="New/Replace Failed Equip.",BA32,AZ32)))</f>
        <v/>
      </c>
      <c r="AL32" s="1131"/>
      <c r="AM32" s="1131"/>
      <c r="AN32" s="1131"/>
      <c r="AO32" s="1133" t="str">
        <f t="shared" ref="AO32" si="23">IF(OR(C32="",F32="",L32="",Q32="",S32="",U32="",Z32="",AB32="",AD32="",AF32=""),"",IF((Q32*S32)-(Z32*AB32)&lt;=0,0,ROUND((Q32*S32)-(Z32*AB32),0)))</f>
        <v/>
      </c>
      <c r="AP32" s="1133"/>
      <c r="AQ32" s="1133"/>
      <c r="AR32" s="135"/>
      <c r="AS32" s="145"/>
      <c r="AT32" s="145"/>
      <c r="AU32" s="1124" t="str">
        <f>IFERROR(IF(OR(C32="",F32="",L32="",Q32="",S32="",U32="",Z32="",AB32="",AD32="",AF32=""),"",((1+ELOSS)*PEAKTD*(1+INDEX(ELECCB[Capacity Reserve Margin],MATCH(AX32,ELECCB[Year Number],0)))*((AO32*INDEX(ELECCB[NPV AEC $/kWh],MATCH(AX32,ELECCB[Year Number],1)))+(AV32*INDEX(ELECCB[NPV ACC+T&amp;D $/kW],MATCH(AX32,ELECCB[Year Number],1))))/AH32)),0)</f>
        <v/>
      </c>
      <c r="AV32" s="1141" t="str">
        <f>IF(OR(C32="",F32="",L32="",Q32="",S32="",U32="",Z32="",AB32="",AD32="",AF32=""),"",ROUND(AO32*INDEX(ENDUSEALL[Factor],MATCH(AW32,ENDUSEALL[End Use to Coincident Peak Demand Factors],0)),4))</f>
        <v/>
      </c>
      <c r="AW32" s="987" t="str">
        <f>IF(OR(C32="",F32="",L32="",Q32="",S32="",U32="",Z32="",AB32="",AD32="",AF32=""),"",INDEX(CMEMOTOR[End Use Category],MATCH(F32,CMEMOTOR[Proj Desc 1],0)))</f>
        <v/>
      </c>
      <c r="AX32" s="1126" t="str">
        <f>IF(OR(C32="",F32="",L32="",Q32="",S32="",U32="",Z32="",AB32="",AD32="",AF32=""),"",INDEX(CMEMOTOR[EUL],MATCH(F32,CMEMOTOR[Proj Desc 1],0)))</f>
        <v/>
      </c>
      <c r="AY32" s="1122" t="str">
        <f>IF(OR(C32="",F32="",L32="",Q32="",S32="",U32="",Z32="",AB32="",AD32="",AF32=""),"",INDEX(CMEMOTOR[Measure Number],MATCH(F32,CMEMOTOR[Proj Desc 1],0)))</f>
        <v/>
      </c>
      <c r="AZ32" s="1118" t="str">
        <f>IFERROR(ROUND(MIN(AH32*0.5,AO32*INDEX(ENDUSEALL[Inc Rate],MATCH(AW32,ENDUSEALL[End Use to Coincident Peak Demand Factors],0))),2),"")</f>
        <v/>
      </c>
      <c r="BA32" s="1118" t="str">
        <f>IFERROR(ROUND(MIN(AH32,AO32*INDEX(ENDUSEALL[Inc Rate],MATCH(AW32,ENDUSEALL[End Use to Coincident Peak Demand Factors],0))),2),"")</f>
        <v/>
      </c>
      <c r="BB32" s="1118" t="str">
        <f>IFERROR(AH32/M02S02F35/AO32,"")</f>
        <v/>
      </c>
      <c r="BC32" s="1118" t="str">
        <f>IFERROR(IF((Q32*S32)-(Z32*AB32)&lt;=0,MEASURESAV,IF(M02S02F35="",MEASURERATE, IF(AH32/M02S02F35/AO32&lt;1,MEASUREPAY,IF(AU32&lt;1,MEASURECB,"")))),MEASURESUBMIT)</f>
        <v>Submit for Review</v>
      </c>
    </row>
    <row r="33" spans="2:55" ht="15.95" customHeight="1" x14ac:dyDescent="0.25">
      <c r="B33" s="1063"/>
      <c r="C33" s="1104"/>
      <c r="D33" s="1104"/>
      <c r="E33" s="1104"/>
      <c r="F33" s="1112"/>
      <c r="G33" s="1112"/>
      <c r="H33" s="1112"/>
      <c r="I33" s="1112"/>
      <c r="J33" s="1112"/>
      <c r="K33" s="1112"/>
      <c r="L33" s="1112"/>
      <c r="M33" s="1112"/>
      <c r="N33" s="1112"/>
      <c r="O33" s="1112"/>
      <c r="P33" s="1112"/>
      <c r="Q33" s="1106"/>
      <c r="R33" s="1106"/>
      <c r="S33" s="1109"/>
      <c r="T33" s="1110"/>
      <c r="U33" s="1033"/>
      <c r="V33" s="1112"/>
      <c r="W33" s="1112"/>
      <c r="X33" s="1112"/>
      <c r="Y33" s="1112"/>
      <c r="Z33" s="1106"/>
      <c r="AA33" s="1106"/>
      <c r="AB33" s="1109"/>
      <c r="AC33" s="1121"/>
      <c r="AD33" s="1051"/>
      <c r="AE33" s="1137"/>
      <c r="AF33" s="1137"/>
      <c r="AG33" s="1138"/>
      <c r="AH33" s="1129"/>
      <c r="AI33" s="1130"/>
      <c r="AJ33" s="1130"/>
      <c r="AK33" s="1132"/>
      <c r="AL33" s="1132"/>
      <c r="AM33" s="1132"/>
      <c r="AN33" s="1132"/>
      <c r="AO33" s="1134"/>
      <c r="AP33" s="1134"/>
      <c r="AQ33" s="1134"/>
      <c r="AR33" s="135"/>
      <c r="AS33" s="145"/>
      <c r="AT33" s="145"/>
      <c r="AU33" s="1125"/>
      <c r="AV33" s="1142"/>
      <c r="AW33" s="988"/>
      <c r="AX33" s="1127"/>
      <c r="AY33" s="1123"/>
      <c r="AZ33" s="1119"/>
      <c r="BA33" s="1119"/>
      <c r="BB33" s="1119"/>
      <c r="BC33" s="1119"/>
    </row>
    <row r="34" spans="2:55" ht="15.95" customHeight="1" x14ac:dyDescent="0.25">
      <c r="B34" s="1063">
        <v>10</v>
      </c>
      <c r="C34" s="1103"/>
      <c r="D34" s="1103"/>
      <c r="E34" s="1103"/>
      <c r="F34" s="1111"/>
      <c r="G34" s="1111"/>
      <c r="H34" s="1111"/>
      <c r="I34" s="1111"/>
      <c r="J34" s="1111"/>
      <c r="K34" s="1111"/>
      <c r="L34" s="1111"/>
      <c r="M34" s="1111"/>
      <c r="N34" s="1111"/>
      <c r="O34" s="1111"/>
      <c r="P34" s="1111"/>
      <c r="Q34" s="1105"/>
      <c r="R34" s="1105"/>
      <c r="S34" s="1107"/>
      <c r="T34" s="1108"/>
      <c r="U34" s="1030"/>
      <c r="V34" s="1111"/>
      <c r="W34" s="1111"/>
      <c r="X34" s="1111"/>
      <c r="Y34" s="1111"/>
      <c r="Z34" s="1105"/>
      <c r="AA34" s="1105"/>
      <c r="AB34" s="1107"/>
      <c r="AC34" s="1120"/>
      <c r="AD34" s="1049"/>
      <c r="AE34" s="1135"/>
      <c r="AF34" s="1135"/>
      <c r="AG34" s="1136"/>
      <c r="AH34" s="1027" t="str">
        <f t="shared" ref="AH34" si="24">IF(OR(C34="",F34="",L34="",Q34="",S34="",U34="",Z34="",AB34="",AD34="",AF34=""),"",ROUND(AD34+AF34,2))</f>
        <v/>
      </c>
      <c r="AI34" s="1128"/>
      <c r="AJ34" s="1128"/>
      <c r="AK34" s="1131" t="str">
        <f t="shared" ref="AK34" si="25">IF(OR(C34="",F34="",L34="",Q34="",S34="",U34="",Z34="",AB34="",AD34="",AF34=""),"",IF(BC34&lt;&gt;"",BC34,IF(C34="New/Replace Failed Equip.",BA34,AZ34)))</f>
        <v/>
      </c>
      <c r="AL34" s="1131"/>
      <c r="AM34" s="1131"/>
      <c r="AN34" s="1131"/>
      <c r="AO34" s="1133" t="str">
        <f t="shared" ref="AO34" si="26">IF(OR(C34="",F34="",L34="",Q34="",S34="",U34="",Z34="",AB34="",AD34="",AF34=""),"",IF((Q34*S34)-(Z34*AB34)&lt;=0,0,ROUND((Q34*S34)-(Z34*AB34),0)))</f>
        <v/>
      </c>
      <c r="AP34" s="1133"/>
      <c r="AQ34" s="1133"/>
      <c r="AR34" s="135"/>
      <c r="AS34" s="145"/>
      <c r="AT34" s="145"/>
      <c r="AU34" s="1124" t="str">
        <f>IFERROR(IF(OR(C34="",F34="",L34="",Q34="",S34="",U34="",Z34="",AB34="",AD34="",AF34=""),"",((1+ELOSS)*PEAKTD*(1+INDEX(ELECCB[Capacity Reserve Margin],MATCH(AX34,ELECCB[Year Number],0)))*((AO34*INDEX(ELECCB[NPV AEC $/kWh],MATCH(AX34,ELECCB[Year Number],1)))+(AV34*INDEX(ELECCB[NPV ACC+T&amp;D $/kW],MATCH(AX34,ELECCB[Year Number],1))))/AH34)),0)</f>
        <v/>
      </c>
      <c r="AV34" s="1141" t="str">
        <f>IF(OR(C34="",F34="",L34="",Q34="",S34="",U34="",Z34="",AB34="",AD34="",AF34=""),"",ROUND(AO34*INDEX(ENDUSEALL[Factor],MATCH(AW34,ENDUSEALL[End Use to Coincident Peak Demand Factors],0)),4))</f>
        <v/>
      </c>
      <c r="AW34" s="987" t="str">
        <f>IF(OR(C34="",F34="",L34="",Q34="",S34="",U34="",Z34="",AB34="",AD34="",AF34=""),"",INDEX(CMEMOTOR[End Use Category],MATCH(F34,CMEMOTOR[Proj Desc 1],0)))</f>
        <v/>
      </c>
      <c r="AX34" s="1126" t="str">
        <f>IF(OR(C34="",F34="",L34="",Q34="",S34="",U34="",Z34="",AB34="",AD34="",AF34=""),"",INDEX(CMEMOTOR[EUL],MATCH(F34,CMEMOTOR[Proj Desc 1],0)))</f>
        <v/>
      </c>
      <c r="AY34" s="1122" t="str">
        <f>IF(OR(C34="",F34="",L34="",Q34="",S34="",U34="",Z34="",AB34="",AD34="",AF34=""),"",INDEX(CMEMOTOR[Measure Number],MATCH(F34,CMEMOTOR[Proj Desc 1],0)))</f>
        <v/>
      </c>
      <c r="AZ34" s="1118" t="str">
        <f>IFERROR(ROUND(MIN(AH34*0.5,AO34*INDEX(ENDUSEALL[Inc Rate],MATCH(AW34,ENDUSEALL[End Use to Coincident Peak Demand Factors],0))),2),"")</f>
        <v/>
      </c>
      <c r="BA34" s="1118" t="str">
        <f>IFERROR(ROUND(MIN(AH34,AO34*INDEX(ENDUSEALL[Inc Rate],MATCH(AW34,ENDUSEALL[End Use to Coincident Peak Demand Factors],0))),2),"")</f>
        <v/>
      </c>
      <c r="BB34" s="1118" t="str">
        <f>IFERROR(AH34/M02S02F35/AO34,"")</f>
        <v/>
      </c>
      <c r="BC34" s="1118" t="str">
        <f>IFERROR(IF((Q34*S34)-(Z34*AB34)&lt;=0,MEASURESAV,IF(M02S02F35="",MEASURERATE, IF(AH34/M02S02F35/AO34&lt;1,MEASUREPAY,IF(AU34&lt;1,MEASURECB,"")))),MEASURESUBMIT)</f>
        <v>Submit for Review</v>
      </c>
    </row>
    <row r="35" spans="2:55" ht="15.95" customHeight="1" x14ac:dyDescent="0.25">
      <c r="B35" s="1063"/>
      <c r="C35" s="1104"/>
      <c r="D35" s="1104"/>
      <c r="E35" s="1104"/>
      <c r="F35" s="1112"/>
      <c r="G35" s="1112"/>
      <c r="H35" s="1112"/>
      <c r="I35" s="1112"/>
      <c r="J35" s="1112"/>
      <c r="K35" s="1112"/>
      <c r="L35" s="1112"/>
      <c r="M35" s="1112"/>
      <c r="N35" s="1112"/>
      <c r="O35" s="1112"/>
      <c r="P35" s="1112"/>
      <c r="Q35" s="1106"/>
      <c r="R35" s="1106"/>
      <c r="S35" s="1109"/>
      <c r="T35" s="1110"/>
      <c r="U35" s="1033"/>
      <c r="V35" s="1112"/>
      <c r="W35" s="1112"/>
      <c r="X35" s="1112"/>
      <c r="Y35" s="1112"/>
      <c r="Z35" s="1106"/>
      <c r="AA35" s="1106"/>
      <c r="AB35" s="1109"/>
      <c r="AC35" s="1121"/>
      <c r="AD35" s="1051"/>
      <c r="AE35" s="1137"/>
      <c r="AF35" s="1137"/>
      <c r="AG35" s="1138"/>
      <c r="AH35" s="1129"/>
      <c r="AI35" s="1130"/>
      <c r="AJ35" s="1130"/>
      <c r="AK35" s="1132"/>
      <c r="AL35" s="1132"/>
      <c r="AM35" s="1132"/>
      <c r="AN35" s="1132"/>
      <c r="AO35" s="1134"/>
      <c r="AP35" s="1134"/>
      <c r="AQ35" s="1134"/>
      <c r="AR35" s="135"/>
      <c r="AS35" s="145"/>
      <c r="AT35" s="145"/>
      <c r="AU35" s="1125"/>
      <c r="AV35" s="1142"/>
      <c r="AW35" s="988"/>
      <c r="AX35" s="1127"/>
      <c r="AY35" s="1123"/>
      <c r="AZ35" s="1119"/>
      <c r="BA35" s="1119"/>
      <c r="BB35" s="1119"/>
      <c r="BC35" s="1119"/>
    </row>
    <row r="36" spans="2:55" ht="15.95" hidden="1" customHeight="1" x14ac:dyDescent="0.25">
      <c r="B36" s="1063">
        <v>11</v>
      </c>
      <c r="C36" s="135"/>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row>
    <row r="37" spans="2:55" ht="15.95" hidden="1" customHeight="1" x14ac:dyDescent="0.25">
      <c r="B37" s="1063"/>
      <c r="C37" s="135"/>
      <c r="D37" s="135"/>
      <c r="E37" s="135"/>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row>
    <row r="38" spans="2:55" ht="15.95" hidden="1" customHeight="1" x14ac:dyDescent="0.25">
      <c r="B38" s="1063">
        <v>12</v>
      </c>
      <c r="C38" s="135"/>
      <c r="D38" s="135"/>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5"/>
    </row>
    <row r="39" spans="2:55" ht="15.95" hidden="1" customHeight="1" x14ac:dyDescent="0.25">
      <c r="B39" s="1063"/>
      <c r="C39" s="135"/>
      <c r="D39" s="135"/>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row>
    <row r="40" spans="2:55" ht="15.95" hidden="1" customHeight="1" x14ac:dyDescent="0.25">
      <c r="B40" s="1063">
        <v>13</v>
      </c>
      <c r="C40" s="135"/>
      <c r="D40" s="135"/>
      <c r="E40" s="135"/>
      <c r="F40" s="135"/>
      <c r="G40" s="135"/>
      <c r="H40" s="135"/>
      <c r="I40" s="135"/>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5"/>
    </row>
    <row r="41" spans="2:55" ht="15.95" hidden="1" customHeight="1" x14ac:dyDescent="0.25">
      <c r="B41" s="1063"/>
      <c r="C41" s="135"/>
      <c r="D41" s="135"/>
      <c r="E41" s="135"/>
      <c r="F41" s="135"/>
      <c r="G41" s="135"/>
      <c r="H41" s="135"/>
      <c r="I41" s="135"/>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c r="AR41" s="135"/>
    </row>
    <row r="42" spans="2:55" ht="15.95" hidden="1" customHeight="1" x14ac:dyDescent="0.25">
      <c r="B42" s="1063">
        <v>14</v>
      </c>
      <c r="C42" s="135"/>
      <c r="D42" s="135"/>
      <c r="E42" s="135"/>
      <c r="F42" s="135"/>
      <c r="G42" s="135"/>
      <c r="H42" s="135"/>
      <c r="I42" s="135"/>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c r="AQ42" s="135"/>
      <c r="AR42" s="135"/>
    </row>
    <row r="43" spans="2:55" ht="15.95" hidden="1" customHeight="1" x14ac:dyDescent="0.25">
      <c r="B43" s="1063"/>
      <c r="C43" s="135"/>
      <c r="D43" s="135"/>
      <c r="E43" s="135"/>
      <c r="F43" s="135"/>
      <c r="G43" s="135"/>
      <c r="H43" s="135"/>
      <c r="I43" s="135"/>
      <c r="J43" s="135"/>
      <c r="K43" s="135"/>
      <c r="L43" s="135"/>
      <c r="M43" s="135"/>
      <c r="N43" s="135"/>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c r="AO43" s="135"/>
      <c r="AP43" s="135"/>
      <c r="AQ43" s="135"/>
      <c r="AR43" s="135"/>
    </row>
    <row r="44" spans="2:55" ht="15.95" hidden="1" customHeight="1" x14ac:dyDescent="0.25">
      <c r="B44" s="1063">
        <v>15</v>
      </c>
      <c r="C44" s="135"/>
      <c r="D44" s="135"/>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c r="AR44" s="135"/>
    </row>
    <row r="45" spans="2:55" ht="15.95" hidden="1" customHeight="1" x14ac:dyDescent="0.25">
      <c r="B45" s="1063"/>
      <c r="C45" s="135"/>
      <c r="D45" s="135"/>
      <c r="E45" s="135"/>
      <c r="F45" s="135"/>
      <c r="G45" s="135"/>
      <c r="H45" s="135"/>
      <c r="I45" s="135"/>
      <c r="J45" s="135"/>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row>
    <row r="46" spans="2:55" ht="15.95" hidden="1" customHeight="1" x14ac:dyDescent="0.25">
      <c r="B46" s="1063">
        <v>16</v>
      </c>
      <c r="C46" s="135"/>
      <c r="D46" s="135"/>
      <c r="E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c r="AO46" s="135"/>
      <c r="AP46" s="135"/>
      <c r="AQ46" s="135"/>
      <c r="AR46" s="135"/>
    </row>
    <row r="47" spans="2:55" ht="15.95" hidden="1" customHeight="1" x14ac:dyDescent="0.25">
      <c r="B47" s="1063"/>
      <c r="C47" s="135"/>
      <c r="D47" s="135"/>
      <c r="E47" s="135"/>
      <c r="F47" s="135"/>
      <c r="G47" s="135"/>
      <c r="H47" s="135"/>
      <c r="I47" s="135"/>
      <c r="J47" s="135"/>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c r="AO47" s="135"/>
      <c r="AP47" s="135"/>
      <c r="AQ47" s="135"/>
      <c r="AR47" s="135"/>
    </row>
    <row r="48" spans="2:55" ht="15.95" hidden="1" customHeight="1" x14ac:dyDescent="0.25">
      <c r="B48" s="1063">
        <v>17</v>
      </c>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35"/>
      <c r="AR48" s="135"/>
    </row>
    <row r="49" spans="2:44" ht="15.95" hidden="1" customHeight="1" x14ac:dyDescent="0.25">
      <c r="B49" s="1063"/>
      <c r="C49" s="135"/>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row>
    <row r="50" spans="2:44" ht="15.95" hidden="1" customHeight="1" x14ac:dyDescent="0.25">
      <c r="B50" s="1063">
        <v>18</v>
      </c>
      <c r="C50" s="135"/>
      <c r="D50" s="135"/>
      <c r="E50" s="135"/>
      <c r="F50" s="135"/>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c r="AO50" s="135"/>
      <c r="AP50" s="135"/>
      <c r="AQ50" s="135"/>
      <c r="AR50" s="135"/>
    </row>
    <row r="51" spans="2:44" ht="15.95" hidden="1" customHeight="1" x14ac:dyDescent="0.25">
      <c r="B51" s="1063"/>
      <c r="C51" s="135"/>
      <c r="D51" s="135"/>
      <c r="E51" s="135"/>
      <c r="F51" s="135"/>
      <c r="G51" s="135"/>
      <c r="H51" s="135"/>
      <c r="I51" s="135"/>
      <c r="J51" s="135"/>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5"/>
      <c r="AN51" s="135"/>
      <c r="AO51" s="135"/>
      <c r="AP51" s="135"/>
      <c r="AQ51" s="135"/>
      <c r="AR51" s="135"/>
    </row>
    <row r="52" spans="2:44" ht="15.95" hidden="1" customHeight="1" x14ac:dyDescent="0.25">
      <c r="B52" s="1063">
        <v>19</v>
      </c>
      <c r="C52" s="135"/>
      <c r="D52" s="135"/>
      <c r="E52" s="135"/>
      <c r="F52" s="135"/>
      <c r="G52" s="135"/>
      <c r="H52" s="135"/>
      <c r="I52" s="135"/>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c r="AO52" s="135"/>
      <c r="AP52" s="135"/>
      <c r="AQ52" s="135"/>
      <c r="AR52" s="135"/>
    </row>
    <row r="53" spans="2:44" ht="15.95" hidden="1" customHeight="1" x14ac:dyDescent="0.25">
      <c r="B53" s="1063"/>
      <c r="C53" s="135"/>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c r="AO53" s="135"/>
      <c r="AP53" s="135"/>
      <c r="AQ53" s="135"/>
      <c r="AR53" s="135"/>
    </row>
    <row r="54" spans="2:44" ht="15.95" hidden="1" customHeight="1" x14ac:dyDescent="0.25">
      <c r="B54" s="1063">
        <v>20</v>
      </c>
      <c r="C54" s="135"/>
      <c r="D54" s="135"/>
      <c r="E54" s="135"/>
      <c r="F54" s="135"/>
      <c r="G54" s="135"/>
      <c r="H54" s="135"/>
      <c r="I54" s="135"/>
      <c r="J54" s="135"/>
      <c r="K54" s="135"/>
      <c r="L54" s="135"/>
      <c r="M54" s="135"/>
      <c r="N54" s="135"/>
      <c r="O54" s="135"/>
      <c r="P54" s="135"/>
      <c r="Q54" s="135"/>
      <c r="R54" s="135"/>
      <c r="S54" s="135"/>
      <c r="T54" s="135"/>
      <c r="U54" s="135"/>
      <c r="V54" s="135"/>
      <c r="W54" s="135"/>
      <c r="X54" s="135"/>
      <c r="Y54" s="135"/>
      <c r="Z54" s="135"/>
      <c r="AA54" s="135"/>
      <c r="AB54" s="135"/>
      <c r="AC54" s="135"/>
      <c r="AD54" s="135"/>
      <c r="AE54" s="135"/>
      <c r="AF54" s="135"/>
      <c r="AG54" s="135"/>
      <c r="AH54" s="135"/>
      <c r="AI54" s="135"/>
      <c r="AJ54" s="135"/>
      <c r="AK54" s="135"/>
      <c r="AL54" s="135"/>
      <c r="AM54" s="135"/>
      <c r="AN54" s="135"/>
      <c r="AO54" s="135"/>
      <c r="AP54" s="135"/>
      <c r="AQ54" s="135"/>
      <c r="AR54" s="135"/>
    </row>
    <row r="55" spans="2:44" ht="15.95" hidden="1" customHeight="1" x14ac:dyDescent="0.25">
      <c r="B55" s="1063"/>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c r="AO55" s="135"/>
      <c r="AP55" s="135"/>
      <c r="AQ55" s="135"/>
      <c r="AR55" s="135"/>
    </row>
    <row r="56" spans="2:44" ht="15.95" hidden="1" customHeight="1" x14ac:dyDescent="0.25">
      <c r="B56" s="1063">
        <v>21</v>
      </c>
      <c r="C56" s="135"/>
      <c r="D56" s="135"/>
      <c r="E56" s="135"/>
      <c r="F56" s="135"/>
      <c r="G56" s="135"/>
      <c r="H56" s="135"/>
      <c r="I56" s="135"/>
      <c r="J56" s="135"/>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c r="AI56" s="135"/>
      <c r="AJ56" s="135"/>
      <c r="AK56" s="135"/>
      <c r="AL56" s="135"/>
      <c r="AM56" s="135"/>
      <c r="AN56" s="135"/>
      <c r="AO56" s="135"/>
      <c r="AP56" s="135"/>
      <c r="AQ56" s="135"/>
      <c r="AR56" s="135"/>
    </row>
    <row r="57" spans="2:44" ht="15.95" hidden="1" customHeight="1" x14ac:dyDescent="0.25">
      <c r="B57" s="1063"/>
      <c r="C57" s="135"/>
      <c r="D57" s="135"/>
      <c r="E57" s="135"/>
      <c r="F57" s="135"/>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5"/>
      <c r="AN57" s="135"/>
      <c r="AO57" s="135"/>
      <c r="AP57" s="135"/>
      <c r="AQ57" s="135"/>
      <c r="AR57" s="135"/>
    </row>
    <row r="58" spans="2:44" ht="15.95" hidden="1" customHeight="1" x14ac:dyDescent="0.25">
      <c r="B58" s="1063">
        <v>22</v>
      </c>
      <c r="C58" s="135"/>
      <c r="D58" s="135"/>
      <c r="E58" s="135"/>
      <c r="F58" s="135"/>
      <c r="G58" s="135"/>
      <c r="H58" s="135"/>
      <c r="I58" s="135"/>
      <c r="J58" s="135"/>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5"/>
      <c r="AJ58" s="135"/>
      <c r="AK58" s="135"/>
      <c r="AL58" s="135"/>
      <c r="AM58" s="135"/>
      <c r="AN58" s="135"/>
      <c r="AO58" s="135"/>
      <c r="AP58" s="135"/>
      <c r="AQ58" s="135"/>
      <c r="AR58" s="135"/>
    </row>
    <row r="59" spans="2:44" ht="15.95" hidden="1" customHeight="1" x14ac:dyDescent="0.25">
      <c r="B59" s="1063"/>
      <c r="C59" s="135"/>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5"/>
      <c r="AO59" s="135"/>
      <c r="AP59" s="135"/>
      <c r="AQ59" s="135"/>
      <c r="AR59" s="135"/>
    </row>
    <row r="60" spans="2:44" ht="15.95" hidden="1" customHeight="1" x14ac:dyDescent="0.25">
      <c r="B60" s="1063">
        <v>23</v>
      </c>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c r="AO60" s="135"/>
      <c r="AP60" s="135"/>
      <c r="AQ60" s="135"/>
      <c r="AR60" s="135"/>
    </row>
    <row r="61" spans="2:44" ht="15.95" hidden="1" customHeight="1" x14ac:dyDescent="0.25">
      <c r="B61" s="1063"/>
      <c r="C61" s="135"/>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35"/>
      <c r="AJ61" s="135"/>
      <c r="AK61" s="135"/>
      <c r="AL61" s="135"/>
      <c r="AM61" s="135"/>
      <c r="AN61" s="135"/>
      <c r="AO61" s="135"/>
      <c r="AP61" s="135"/>
      <c r="AQ61" s="135"/>
      <c r="AR61" s="135"/>
    </row>
    <row r="62" spans="2:44" ht="15.95" hidden="1" customHeight="1" x14ac:dyDescent="0.25">
      <c r="B62" s="1063">
        <v>24</v>
      </c>
      <c r="C62" s="135"/>
      <c r="D62" s="135"/>
      <c r="E62" s="135"/>
      <c r="F62" s="135"/>
      <c r="G62" s="135"/>
      <c r="H62" s="135"/>
      <c r="I62" s="135"/>
      <c r="J62" s="135"/>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5"/>
      <c r="AI62" s="135"/>
      <c r="AJ62" s="135"/>
      <c r="AK62" s="135"/>
      <c r="AL62" s="135"/>
      <c r="AM62" s="135"/>
      <c r="AN62" s="135"/>
      <c r="AO62" s="135"/>
      <c r="AP62" s="135"/>
      <c r="AQ62" s="135"/>
      <c r="AR62" s="135"/>
    </row>
    <row r="63" spans="2:44" ht="15.95" hidden="1" customHeight="1" x14ac:dyDescent="0.25">
      <c r="B63" s="1063"/>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5"/>
      <c r="AO63" s="135"/>
      <c r="AP63" s="135"/>
      <c r="AQ63" s="135"/>
      <c r="AR63" s="135"/>
    </row>
    <row r="64" spans="2:44" ht="15.95" hidden="1" customHeight="1" x14ac:dyDescent="0.25">
      <c r="B64" s="1063">
        <v>25</v>
      </c>
      <c r="C64" s="135"/>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5"/>
      <c r="AI64" s="135"/>
      <c r="AJ64" s="135"/>
      <c r="AK64" s="135"/>
      <c r="AL64" s="135"/>
      <c r="AM64" s="135"/>
      <c r="AN64" s="135"/>
      <c r="AO64" s="135"/>
      <c r="AP64" s="135"/>
      <c r="AQ64" s="135"/>
      <c r="AR64" s="135"/>
    </row>
    <row r="65" spans="2:44" ht="15.95" hidden="1" customHeight="1" x14ac:dyDescent="0.25">
      <c r="B65" s="1063"/>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c r="AL65" s="135"/>
      <c r="AM65" s="135"/>
      <c r="AN65" s="135"/>
      <c r="AO65" s="135"/>
      <c r="AP65" s="135"/>
      <c r="AQ65" s="135"/>
      <c r="AR65" s="135"/>
    </row>
    <row r="66" spans="2:44" ht="15.95" hidden="1" customHeight="1" x14ac:dyDescent="0.25">
      <c r="B66" s="1063">
        <v>26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5"/>
      <c r="AI66" s="135"/>
      <c r="AJ66" s="135"/>
      <c r="AK66" s="135"/>
      <c r="AL66" s="135"/>
      <c r="AM66" s="135"/>
      <c r="AN66" s="135"/>
      <c r="AO66" s="135"/>
      <c r="AP66" s="135"/>
      <c r="AQ66" s="135"/>
      <c r="AR66" s="135"/>
    </row>
    <row r="67" spans="2:44" ht="15.95" hidden="1" customHeight="1" x14ac:dyDescent="0.25">
      <c r="B67" s="1063"/>
      <c r="C67" s="135"/>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5"/>
      <c r="AI67" s="135"/>
      <c r="AJ67" s="135"/>
      <c r="AK67" s="135"/>
      <c r="AL67" s="135"/>
      <c r="AM67" s="135"/>
      <c r="AN67" s="135"/>
      <c r="AO67" s="135"/>
      <c r="AP67" s="135"/>
      <c r="AQ67" s="135"/>
      <c r="AR67" s="135"/>
    </row>
    <row r="68" spans="2:44" ht="15.95" hidden="1" customHeight="1" x14ac:dyDescent="0.25">
      <c r="B68" s="1063">
        <v>27</v>
      </c>
      <c r="C68" s="135"/>
      <c r="D68" s="135"/>
      <c r="E68" s="135"/>
      <c r="F68" s="135"/>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c r="AR68" s="135"/>
    </row>
    <row r="69" spans="2:44" ht="15.95" hidden="1" customHeight="1" x14ac:dyDescent="0.25">
      <c r="B69" s="1063"/>
      <c r="C69" s="135"/>
      <c r="D69" s="135"/>
      <c r="E69" s="135"/>
      <c r="F69" s="135"/>
      <c r="G69" s="135"/>
      <c r="H69" s="135"/>
      <c r="I69" s="135"/>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5"/>
      <c r="AN69" s="135"/>
      <c r="AO69" s="135"/>
      <c r="AP69" s="135"/>
      <c r="AQ69" s="135"/>
      <c r="AR69" s="135"/>
    </row>
    <row r="70" spans="2:44" ht="15.95" hidden="1" customHeight="1" x14ac:dyDescent="0.25">
      <c r="B70" s="1063">
        <v>28</v>
      </c>
      <c r="C70" s="135"/>
      <c r="D70" s="135"/>
      <c r="E70" s="135"/>
      <c r="F70" s="135"/>
      <c r="G70" s="135"/>
      <c r="H70" s="135"/>
      <c r="I70" s="135"/>
      <c r="J70" s="135"/>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5"/>
      <c r="AN70" s="135"/>
      <c r="AO70" s="135"/>
      <c r="AP70" s="135"/>
      <c r="AQ70" s="135"/>
      <c r="AR70" s="135"/>
    </row>
    <row r="71" spans="2:44" ht="15.95" hidden="1" customHeight="1" x14ac:dyDescent="0.25">
      <c r="B71" s="1063"/>
      <c r="C71" s="135"/>
      <c r="D71" s="135"/>
      <c r="E71" s="135"/>
      <c r="F71" s="135"/>
      <c r="G71" s="135"/>
      <c r="H71" s="135"/>
      <c r="I71" s="135"/>
      <c r="J71" s="135"/>
      <c r="K71" s="135"/>
      <c r="L71" s="135"/>
      <c r="M71" s="135"/>
      <c r="N71" s="135"/>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c r="AO71" s="135"/>
      <c r="AP71" s="135"/>
      <c r="AQ71" s="135"/>
      <c r="AR71" s="135"/>
    </row>
    <row r="72" spans="2:44" ht="15.95" hidden="1" customHeight="1" x14ac:dyDescent="0.25">
      <c r="B72" s="1063">
        <v>29</v>
      </c>
      <c r="C72" s="135"/>
      <c r="D72" s="135"/>
      <c r="E72" s="135"/>
      <c r="F72" s="135"/>
      <c r="G72" s="135"/>
      <c r="H72" s="135"/>
      <c r="I72" s="135"/>
      <c r="J72" s="135"/>
      <c r="K72" s="135"/>
      <c r="L72" s="135"/>
      <c r="M72" s="135"/>
      <c r="N72" s="135"/>
      <c r="O72" s="135"/>
      <c r="P72" s="135"/>
      <c r="Q72" s="135"/>
      <c r="R72" s="135"/>
      <c r="S72" s="135"/>
      <c r="T72" s="135"/>
      <c r="U72" s="135"/>
      <c r="V72" s="135"/>
      <c r="W72" s="135"/>
      <c r="X72" s="135"/>
      <c r="Y72" s="135"/>
      <c r="Z72" s="135"/>
      <c r="AA72" s="135"/>
      <c r="AB72" s="135"/>
      <c r="AC72" s="135"/>
      <c r="AD72" s="135"/>
      <c r="AE72" s="135"/>
      <c r="AF72" s="135"/>
      <c r="AG72" s="135"/>
      <c r="AH72" s="135"/>
      <c r="AI72" s="135"/>
      <c r="AJ72" s="135"/>
      <c r="AK72" s="135"/>
      <c r="AL72" s="135"/>
      <c r="AM72" s="135"/>
      <c r="AN72" s="135"/>
      <c r="AO72" s="135"/>
      <c r="AP72" s="135"/>
      <c r="AQ72" s="135"/>
      <c r="AR72" s="135"/>
    </row>
    <row r="73" spans="2:44" ht="15.95" hidden="1" customHeight="1" x14ac:dyDescent="0.25">
      <c r="B73" s="1063"/>
      <c r="C73" s="135"/>
      <c r="D73" s="135"/>
      <c r="E73" s="135"/>
      <c r="F73" s="135"/>
      <c r="G73" s="135"/>
      <c r="H73" s="135"/>
      <c r="I73" s="135"/>
      <c r="J73" s="135"/>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M73" s="135"/>
      <c r="AN73" s="135"/>
      <c r="AO73" s="135"/>
      <c r="AP73" s="135"/>
      <c r="AQ73" s="135"/>
      <c r="AR73" s="135"/>
    </row>
    <row r="74" spans="2:44" ht="15.95" hidden="1" customHeight="1" x14ac:dyDescent="0.25">
      <c r="B74" s="1063">
        <v>30</v>
      </c>
      <c r="C74" s="135"/>
      <c r="D74" s="135"/>
      <c r="E74" s="135"/>
      <c r="F74" s="135"/>
      <c r="G74" s="135"/>
      <c r="H74" s="135"/>
      <c r="I74" s="135"/>
      <c r="J74" s="135"/>
      <c r="K74" s="135"/>
      <c r="L74" s="135"/>
      <c r="M74" s="135"/>
      <c r="N74" s="135"/>
      <c r="O74" s="135"/>
      <c r="P74" s="135"/>
      <c r="Q74" s="135"/>
      <c r="R74" s="135"/>
      <c r="S74" s="135"/>
      <c r="T74" s="135"/>
      <c r="U74" s="135"/>
      <c r="V74" s="135"/>
      <c r="W74" s="135"/>
      <c r="X74" s="135"/>
      <c r="Y74" s="135"/>
      <c r="Z74" s="135"/>
      <c r="AA74" s="135"/>
      <c r="AB74" s="135"/>
      <c r="AC74" s="135"/>
      <c r="AD74" s="135"/>
      <c r="AE74" s="135"/>
      <c r="AF74" s="135"/>
      <c r="AG74" s="135"/>
      <c r="AH74" s="135"/>
      <c r="AI74" s="135"/>
      <c r="AJ74" s="135"/>
      <c r="AK74" s="135"/>
      <c r="AL74" s="135"/>
      <c r="AM74" s="135"/>
      <c r="AN74" s="135"/>
      <c r="AO74" s="135"/>
      <c r="AP74" s="135"/>
      <c r="AQ74" s="135"/>
      <c r="AR74" s="135"/>
    </row>
    <row r="75" spans="2:44" ht="15.95" hidden="1" customHeight="1" x14ac:dyDescent="0.25">
      <c r="B75" s="1063"/>
      <c r="C75" s="135"/>
      <c r="D75" s="135"/>
      <c r="E75" s="135"/>
      <c r="F75" s="135"/>
      <c r="G75" s="135"/>
      <c r="H75" s="135"/>
      <c r="I75" s="135"/>
      <c r="J75" s="135"/>
      <c r="K75" s="135"/>
      <c r="L75" s="135"/>
      <c r="M75" s="135"/>
      <c r="N75" s="135"/>
      <c r="O75" s="135"/>
      <c r="P75" s="135"/>
      <c r="Q75" s="135"/>
      <c r="R75" s="135"/>
      <c r="S75" s="135"/>
      <c r="T75" s="135"/>
      <c r="U75" s="135"/>
      <c r="V75" s="135"/>
      <c r="W75" s="135"/>
      <c r="X75" s="135"/>
      <c r="Y75" s="135"/>
      <c r="Z75" s="135"/>
      <c r="AA75" s="135"/>
      <c r="AB75" s="135"/>
      <c r="AC75" s="135"/>
      <c r="AD75" s="135"/>
      <c r="AE75" s="135"/>
      <c r="AF75" s="135"/>
      <c r="AG75" s="135"/>
      <c r="AH75" s="135"/>
      <c r="AI75" s="135"/>
      <c r="AJ75" s="135"/>
      <c r="AK75" s="135"/>
      <c r="AL75" s="135"/>
      <c r="AM75" s="135"/>
      <c r="AN75" s="135"/>
      <c r="AO75" s="135"/>
      <c r="AP75" s="135"/>
      <c r="AQ75" s="135"/>
      <c r="AR75" s="135"/>
    </row>
    <row r="76" spans="2:44" ht="15.95" hidden="1" customHeight="1" x14ac:dyDescent="0.25">
      <c r="B76" s="1063">
        <v>31</v>
      </c>
      <c r="C76" s="135"/>
      <c r="D76" s="135"/>
      <c r="E76" s="135"/>
      <c r="F76" s="135"/>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c r="AO76" s="135"/>
      <c r="AP76" s="135"/>
      <c r="AQ76" s="135"/>
      <c r="AR76" s="135"/>
    </row>
    <row r="77" spans="2:44" ht="15.95" hidden="1" customHeight="1" x14ac:dyDescent="0.25">
      <c r="B77" s="1063"/>
      <c r="C77" s="135"/>
      <c r="D77" s="135"/>
      <c r="E77" s="135"/>
      <c r="F77" s="135"/>
      <c r="G77" s="135"/>
      <c r="H77" s="135"/>
      <c r="I77" s="135"/>
      <c r="J77" s="135"/>
      <c r="K77" s="135"/>
      <c r="L77" s="135"/>
      <c r="M77" s="135"/>
      <c r="N77" s="135"/>
      <c r="O77" s="135"/>
      <c r="P77" s="135"/>
      <c r="Q77" s="135"/>
      <c r="R77" s="135"/>
      <c r="S77" s="135"/>
      <c r="T77" s="135"/>
      <c r="U77" s="135"/>
      <c r="V77" s="135"/>
      <c r="W77" s="135"/>
      <c r="X77" s="135"/>
      <c r="Y77" s="135"/>
      <c r="Z77" s="135"/>
      <c r="AA77" s="135"/>
      <c r="AB77" s="135"/>
      <c r="AC77" s="135"/>
      <c r="AD77" s="135"/>
      <c r="AE77" s="135"/>
      <c r="AF77" s="135"/>
      <c r="AG77" s="135"/>
      <c r="AH77" s="135"/>
      <c r="AI77" s="135"/>
      <c r="AJ77" s="135"/>
      <c r="AK77" s="135"/>
      <c r="AL77" s="135"/>
      <c r="AM77" s="135"/>
      <c r="AN77" s="135"/>
      <c r="AO77" s="135"/>
      <c r="AP77" s="135"/>
      <c r="AQ77" s="135"/>
      <c r="AR77" s="135"/>
    </row>
    <row r="78" spans="2:44" ht="15.95" hidden="1" customHeight="1" x14ac:dyDescent="0.25">
      <c r="B78" s="1063">
        <v>32</v>
      </c>
      <c r="C78" s="135"/>
      <c r="D78" s="135"/>
      <c r="E78" s="135"/>
      <c r="F78" s="135"/>
      <c r="G78" s="135"/>
      <c r="H78" s="135"/>
      <c r="I78" s="135"/>
      <c r="J78" s="135"/>
      <c r="K78" s="135"/>
      <c r="L78" s="135"/>
      <c r="M78" s="135"/>
      <c r="N78" s="135"/>
      <c r="O78" s="135"/>
      <c r="P78" s="135"/>
      <c r="Q78" s="135"/>
      <c r="R78" s="135"/>
      <c r="S78" s="135"/>
      <c r="T78" s="135"/>
      <c r="U78" s="135"/>
      <c r="V78" s="135"/>
      <c r="W78" s="135"/>
      <c r="X78" s="135"/>
      <c r="Y78" s="135"/>
      <c r="Z78" s="135"/>
      <c r="AA78" s="135"/>
      <c r="AB78" s="135"/>
      <c r="AC78" s="135"/>
      <c r="AD78" s="135"/>
      <c r="AE78" s="135"/>
      <c r="AF78" s="135"/>
      <c r="AG78" s="135"/>
      <c r="AH78" s="135"/>
      <c r="AI78" s="135"/>
      <c r="AJ78" s="135"/>
      <c r="AK78" s="135"/>
      <c r="AL78" s="135"/>
      <c r="AM78" s="135"/>
      <c r="AN78" s="135"/>
      <c r="AO78" s="135"/>
      <c r="AP78" s="135"/>
      <c r="AQ78" s="135"/>
      <c r="AR78" s="135"/>
    </row>
    <row r="79" spans="2:44" ht="15.95" hidden="1" customHeight="1" x14ac:dyDescent="0.25">
      <c r="B79" s="1063"/>
      <c r="C79" s="135"/>
      <c r="D79" s="135"/>
      <c r="E79" s="135"/>
      <c r="F79" s="135"/>
      <c r="G79" s="135"/>
      <c r="H79" s="135"/>
      <c r="I79" s="135"/>
      <c r="J79" s="135"/>
      <c r="K79" s="135"/>
      <c r="L79" s="135"/>
      <c r="M79" s="135"/>
      <c r="N79" s="135"/>
      <c r="O79" s="135"/>
      <c r="P79" s="135"/>
      <c r="Q79" s="135"/>
      <c r="R79" s="135"/>
      <c r="S79" s="135"/>
      <c r="T79" s="135"/>
      <c r="U79" s="135"/>
      <c r="V79" s="135"/>
      <c r="W79" s="135"/>
      <c r="X79" s="135"/>
      <c r="Y79" s="135"/>
      <c r="Z79" s="135"/>
      <c r="AA79" s="135"/>
      <c r="AB79" s="135"/>
      <c r="AC79" s="135"/>
      <c r="AD79" s="135"/>
      <c r="AE79" s="135"/>
      <c r="AF79" s="135"/>
      <c r="AG79" s="135"/>
      <c r="AH79" s="135"/>
      <c r="AI79" s="135"/>
      <c r="AJ79" s="135"/>
      <c r="AK79" s="135"/>
      <c r="AL79" s="135"/>
      <c r="AM79" s="135"/>
      <c r="AN79" s="135"/>
      <c r="AO79" s="135"/>
      <c r="AP79" s="135"/>
      <c r="AQ79" s="135"/>
      <c r="AR79" s="135"/>
    </row>
    <row r="80" spans="2:44" ht="15.95" hidden="1" customHeight="1" x14ac:dyDescent="0.25">
      <c r="B80" s="1063">
        <v>33</v>
      </c>
      <c r="C80" s="135"/>
      <c r="D80" s="135"/>
      <c r="E80" s="135"/>
      <c r="F80" s="135"/>
      <c r="G80" s="135"/>
      <c r="H80" s="135"/>
      <c r="I80" s="135"/>
      <c r="J80" s="135"/>
      <c r="K80" s="135"/>
      <c r="L80" s="135"/>
      <c r="M80" s="135"/>
      <c r="N80" s="135"/>
      <c r="O80" s="135"/>
      <c r="P80" s="135"/>
      <c r="Q80" s="135"/>
      <c r="R80" s="135"/>
      <c r="S80" s="135"/>
      <c r="T80" s="135"/>
      <c r="U80" s="135"/>
      <c r="V80" s="135"/>
      <c r="W80" s="135"/>
      <c r="X80" s="135"/>
      <c r="Y80" s="135"/>
      <c r="Z80" s="135"/>
      <c r="AA80" s="135"/>
      <c r="AB80" s="135"/>
      <c r="AC80" s="135"/>
      <c r="AD80" s="135"/>
      <c r="AE80" s="135"/>
      <c r="AF80" s="135"/>
      <c r="AG80" s="135"/>
      <c r="AH80" s="135"/>
      <c r="AI80" s="135"/>
      <c r="AJ80" s="135"/>
      <c r="AK80" s="135"/>
      <c r="AL80" s="135"/>
      <c r="AM80" s="135"/>
      <c r="AN80" s="135"/>
      <c r="AO80" s="135"/>
      <c r="AP80" s="135"/>
      <c r="AQ80" s="135"/>
      <c r="AR80" s="135"/>
    </row>
    <row r="81" spans="2:44" ht="15.95" hidden="1" customHeight="1" x14ac:dyDescent="0.25">
      <c r="B81" s="1063"/>
      <c r="C81" s="135"/>
      <c r="D81" s="135"/>
      <c r="E81" s="135"/>
      <c r="F81" s="135"/>
      <c r="G81" s="135"/>
      <c r="H81" s="135"/>
      <c r="I81" s="135"/>
      <c r="J81" s="135"/>
      <c r="K81" s="135"/>
      <c r="L81" s="135"/>
      <c r="M81" s="135"/>
      <c r="N81" s="135"/>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c r="AO81" s="135"/>
      <c r="AP81" s="135"/>
      <c r="AQ81" s="135"/>
      <c r="AR81" s="135"/>
    </row>
    <row r="82" spans="2:44" ht="15.95" hidden="1" customHeight="1" x14ac:dyDescent="0.25">
      <c r="B82" s="1063">
        <v>34</v>
      </c>
      <c r="C82" s="135"/>
      <c r="D82" s="135"/>
      <c r="E82" s="135"/>
      <c r="F82" s="135"/>
      <c r="G82" s="135"/>
      <c r="H82" s="135"/>
      <c r="I82" s="135"/>
      <c r="J82" s="135"/>
      <c r="K82" s="135"/>
      <c r="L82" s="135"/>
      <c r="M82" s="135"/>
      <c r="N82" s="135"/>
      <c r="O82" s="135"/>
      <c r="P82" s="135"/>
      <c r="Q82" s="135"/>
      <c r="R82" s="135"/>
      <c r="S82" s="135"/>
      <c r="T82" s="135"/>
      <c r="U82" s="135"/>
      <c r="V82" s="135"/>
      <c r="W82" s="135"/>
      <c r="X82" s="135"/>
      <c r="Y82" s="135"/>
      <c r="Z82" s="135"/>
      <c r="AA82" s="135"/>
      <c r="AB82" s="135"/>
      <c r="AC82" s="135"/>
      <c r="AD82" s="135"/>
      <c r="AE82" s="135"/>
      <c r="AF82" s="135"/>
      <c r="AG82" s="135"/>
      <c r="AH82" s="135"/>
      <c r="AI82" s="135"/>
      <c r="AJ82" s="135"/>
      <c r="AK82" s="135"/>
      <c r="AL82" s="135"/>
      <c r="AM82" s="135"/>
      <c r="AN82" s="135"/>
      <c r="AO82" s="135"/>
      <c r="AP82" s="135"/>
      <c r="AQ82" s="135"/>
      <c r="AR82" s="135"/>
    </row>
    <row r="83" spans="2:44" ht="15.95" hidden="1" customHeight="1" x14ac:dyDescent="0.25">
      <c r="B83" s="1063"/>
      <c r="C83" s="135"/>
      <c r="D83" s="135"/>
      <c r="E83" s="135"/>
      <c r="F83" s="135"/>
      <c r="G83" s="135"/>
      <c r="H83" s="135"/>
      <c r="I83" s="135"/>
      <c r="J83" s="135"/>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c r="AO83" s="135"/>
      <c r="AP83" s="135"/>
      <c r="AQ83" s="135"/>
      <c r="AR83" s="135"/>
    </row>
    <row r="84" spans="2:44" ht="15.95" hidden="1" customHeight="1" x14ac:dyDescent="0.25">
      <c r="B84" s="1063">
        <v>35</v>
      </c>
      <c r="C84" s="135"/>
      <c r="D84" s="135"/>
      <c r="E84" s="135"/>
      <c r="F84" s="135"/>
      <c r="G84" s="135"/>
      <c r="H84" s="135"/>
      <c r="I84" s="135"/>
      <c r="J84" s="135"/>
      <c r="K84" s="135"/>
      <c r="L84" s="135"/>
      <c r="M84" s="135"/>
      <c r="N84" s="135"/>
      <c r="O84" s="135"/>
      <c r="P84" s="135"/>
      <c r="Q84" s="135"/>
      <c r="R84" s="135"/>
      <c r="S84" s="135"/>
      <c r="T84" s="135"/>
      <c r="U84" s="135"/>
      <c r="V84" s="135"/>
      <c r="W84" s="135"/>
      <c r="X84" s="135"/>
      <c r="Y84" s="135"/>
      <c r="Z84" s="135"/>
      <c r="AA84" s="135"/>
      <c r="AB84" s="135"/>
      <c r="AC84" s="135"/>
      <c r="AD84" s="135"/>
      <c r="AE84" s="135"/>
      <c r="AF84" s="135"/>
      <c r="AG84" s="135"/>
      <c r="AH84" s="135"/>
      <c r="AI84" s="135"/>
      <c r="AJ84" s="135"/>
      <c r="AK84" s="135"/>
      <c r="AL84" s="135"/>
      <c r="AM84" s="135"/>
      <c r="AN84" s="135"/>
      <c r="AO84" s="135"/>
      <c r="AP84" s="135"/>
      <c r="AQ84" s="135"/>
      <c r="AR84" s="135"/>
    </row>
    <row r="85" spans="2:44" ht="15.95" hidden="1" customHeight="1" x14ac:dyDescent="0.25">
      <c r="B85" s="1063"/>
      <c r="C85" s="135"/>
      <c r="D85" s="135"/>
      <c r="E85" s="135"/>
      <c r="F85" s="135"/>
      <c r="G85" s="135"/>
      <c r="H85" s="135"/>
      <c r="I85" s="135"/>
      <c r="J85" s="135"/>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5"/>
      <c r="AN85" s="135"/>
      <c r="AO85" s="135"/>
      <c r="AP85" s="135"/>
      <c r="AQ85" s="135"/>
      <c r="AR85" s="135"/>
    </row>
    <row r="86" spans="2:44" ht="15.95" hidden="1" customHeight="1" x14ac:dyDescent="0.25">
      <c r="B86" s="1063">
        <v>36</v>
      </c>
      <c r="C86" s="135"/>
      <c r="D86" s="135"/>
      <c r="E86" s="135"/>
      <c r="F86" s="135"/>
      <c r="G86" s="135"/>
      <c r="H86" s="135"/>
      <c r="I86" s="135"/>
      <c r="J86" s="135"/>
      <c r="K86" s="135"/>
      <c r="L86" s="135"/>
      <c r="M86" s="135"/>
      <c r="N86" s="135"/>
      <c r="O86" s="135"/>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35"/>
      <c r="AN86" s="135"/>
      <c r="AO86" s="135"/>
      <c r="AP86" s="135"/>
      <c r="AQ86" s="135"/>
      <c r="AR86" s="135"/>
    </row>
    <row r="87" spans="2:44" ht="15.95" hidden="1" customHeight="1" x14ac:dyDescent="0.25">
      <c r="B87" s="1063"/>
      <c r="C87" s="135"/>
      <c r="D87" s="135"/>
      <c r="E87" s="135"/>
      <c r="F87" s="135"/>
      <c r="G87" s="135"/>
      <c r="H87" s="135"/>
      <c r="I87" s="135"/>
      <c r="J87" s="135"/>
      <c r="K87" s="135"/>
      <c r="L87" s="135"/>
      <c r="M87" s="135"/>
      <c r="N87" s="135"/>
      <c r="O87" s="135"/>
      <c r="P87" s="135"/>
      <c r="Q87" s="135"/>
      <c r="R87" s="135"/>
      <c r="S87" s="135"/>
      <c r="T87" s="135"/>
      <c r="U87" s="135"/>
      <c r="V87" s="135"/>
      <c r="W87" s="135"/>
      <c r="X87" s="135"/>
      <c r="Y87" s="135"/>
      <c r="Z87" s="135"/>
      <c r="AA87" s="135"/>
      <c r="AB87" s="135"/>
      <c r="AC87" s="135"/>
      <c r="AD87" s="135"/>
      <c r="AE87" s="135"/>
      <c r="AF87" s="135"/>
      <c r="AG87" s="135"/>
      <c r="AH87" s="135"/>
      <c r="AI87" s="135"/>
      <c r="AJ87" s="135"/>
      <c r="AK87" s="135"/>
      <c r="AL87" s="135"/>
      <c r="AM87" s="135"/>
      <c r="AN87" s="135"/>
      <c r="AO87" s="135"/>
      <c r="AP87" s="135"/>
      <c r="AQ87" s="135"/>
      <c r="AR87" s="135"/>
    </row>
    <row r="88" spans="2:44" ht="15.95" hidden="1" customHeight="1" x14ac:dyDescent="0.25">
      <c r="B88" s="1063">
        <v>37</v>
      </c>
      <c r="C88" s="135"/>
      <c r="D88" s="135"/>
      <c r="E88" s="135"/>
      <c r="F88" s="135"/>
      <c r="G88" s="135"/>
      <c r="H88" s="135"/>
      <c r="I88" s="135"/>
      <c r="J88" s="135"/>
      <c r="K88" s="135"/>
      <c r="L88" s="135"/>
      <c r="M88" s="135"/>
      <c r="N88" s="135"/>
      <c r="O88" s="135"/>
      <c r="P88" s="135"/>
      <c r="Q88" s="135"/>
      <c r="R88" s="135"/>
      <c r="S88" s="135"/>
      <c r="T88" s="135"/>
      <c r="U88" s="135"/>
      <c r="V88" s="135"/>
      <c r="W88" s="135"/>
      <c r="X88" s="135"/>
      <c r="Y88" s="135"/>
      <c r="Z88" s="135"/>
      <c r="AA88" s="135"/>
      <c r="AB88" s="135"/>
      <c r="AC88" s="135"/>
      <c r="AD88" s="135"/>
      <c r="AE88" s="135"/>
      <c r="AF88" s="135"/>
      <c r="AG88" s="135"/>
      <c r="AH88" s="135"/>
      <c r="AI88" s="135"/>
      <c r="AJ88" s="135"/>
      <c r="AK88" s="135"/>
      <c r="AL88" s="135"/>
      <c r="AM88" s="135"/>
      <c r="AN88" s="135"/>
      <c r="AO88" s="135"/>
      <c r="AP88" s="135"/>
      <c r="AQ88" s="135"/>
      <c r="AR88" s="135"/>
    </row>
    <row r="89" spans="2:44" ht="15.95" hidden="1" customHeight="1" x14ac:dyDescent="0.25">
      <c r="B89" s="1063"/>
      <c r="C89" s="135"/>
      <c r="D89" s="135"/>
      <c r="E89" s="135"/>
      <c r="F89" s="135"/>
      <c r="G89" s="135"/>
      <c r="H89" s="135"/>
      <c r="I89" s="135"/>
      <c r="J89" s="135"/>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5"/>
      <c r="AN89" s="135"/>
      <c r="AO89" s="135"/>
      <c r="AP89" s="135"/>
      <c r="AQ89" s="135"/>
      <c r="AR89" s="135"/>
    </row>
    <row r="90" spans="2:44" ht="15.95" hidden="1" customHeight="1" x14ac:dyDescent="0.25">
      <c r="B90" s="1063">
        <v>38</v>
      </c>
      <c r="C90" s="135"/>
      <c r="D90" s="135"/>
      <c r="E90" s="135"/>
      <c r="F90" s="135"/>
      <c r="G90" s="135"/>
      <c r="H90" s="135"/>
      <c r="I90" s="135"/>
      <c r="J90" s="135"/>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row>
    <row r="91" spans="2:44" ht="15.95" hidden="1" customHeight="1" x14ac:dyDescent="0.25">
      <c r="B91" s="1063"/>
      <c r="C91" s="135"/>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row>
    <row r="92" spans="2:44" ht="15.95" hidden="1" customHeight="1" x14ac:dyDescent="0.25">
      <c r="B92" s="1063">
        <v>39</v>
      </c>
      <c r="C92" s="135"/>
      <c r="D92" s="135"/>
      <c r="E92" s="135"/>
      <c r="F92" s="135"/>
      <c r="G92" s="135"/>
      <c r="H92" s="13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c r="AR92" s="135"/>
    </row>
    <row r="93" spans="2:44" ht="15.95" hidden="1" customHeight="1" x14ac:dyDescent="0.25">
      <c r="B93" s="1063"/>
      <c r="C93" s="135"/>
      <c r="D93" s="135"/>
      <c r="E93" s="135"/>
      <c r="F93" s="135"/>
      <c r="G93" s="135"/>
      <c r="H93" s="135"/>
      <c r="I93" s="135"/>
      <c r="J93" s="135"/>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c r="AO93" s="135"/>
      <c r="AP93" s="135"/>
      <c r="AQ93" s="135"/>
      <c r="AR93" s="135"/>
    </row>
    <row r="94" spans="2:44" ht="15.95" hidden="1" customHeight="1" x14ac:dyDescent="0.25">
      <c r="B94" s="1063">
        <v>40</v>
      </c>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row>
    <row r="95" spans="2:44" ht="15.95" hidden="1" customHeight="1" x14ac:dyDescent="0.25">
      <c r="B95" s="1063"/>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row>
    <row r="96" spans="2:44" ht="15.95" hidden="1" customHeight="1" x14ac:dyDescent="0.25">
      <c r="B96" s="1063">
        <v>41</v>
      </c>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row>
    <row r="97" spans="2:44" ht="15.95" hidden="1" customHeight="1" x14ac:dyDescent="0.25">
      <c r="B97" s="1063"/>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row>
    <row r="98" spans="2:44" ht="15.95" hidden="1" customHeight="1" x14ac:dyDescent="0.25">
      <c r="B98" s="1063">
        <v>42</v>
      </c>
      <c r="C98" s="135"/>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c r="AO98" s="135"/>
      <c r="AP98" s="135"/>
      <c r="AQ98" s="135"/>
      <c r="AR98" s="135"/>
    </row>
    <row r="99" spans="2:44" ht="15.95" hidden="1" customHeight="1" x14ac:dyDescent="0.25">
      <c r="B99" s="1063"/>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row>
    <row r="100" spans="2:44" ht="15.95" hidden="1" customHeight="1" x14ac:dyDescent="0.25">
      <c r="B100" s="1063">
        <v>43</v>
      </c>
      <c r="C100" s="135"/>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c r="AO100" s="135"/>
      <c r="AP100" s="135"/>
      <c r="AQ100" s="135"/>
      <c r="AR100" s="135"/>
    </row>
    <row r="101" spans="2:44" ht="15.95" hidden="1" customHeight="1" x14ac:dyDescent="0.25">
      <c r="B101" s="1063"/>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c r="AO101" s="135"/>
      <c r="AP101" s="135"/>
      <c r="AQ101" s="135"/>
      <c r="AR101" s="135"/>
    </row>
    <row r="102" spans="2:44" ht="15.95" hidden="1" customHeight="1" x14ac:dyDescent="0.25">
      <c r="B102" s="1063">
        <v>44</v>
      </c>
      <c r="C102" s="135"/>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c r="AO102" s="135"/>
      <c r="AP102" s="135"/>
      <c r="AQ102" s="135"/>
      <c r="AR102" s="135"/>
    </row>
    <row r="103" spans="2:44" ht="15.95" hidden="1" customHeight="1" x14ac:dyDescent="0.25">
      <c r="B103" s="1063"/>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row>
    <row r="104" spans="2:44" ht="15.95" hidden="1" customHeight="1" x14ac:dyDescent="0.25">
      <c r="B104" s="1063">
        <v>45</v>
      </c>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row>
    <row r="105" spans="2:44" ht="15.95" hidden="1" customHeight="1" x14ac:dyDescent="0.25">
      <c r="B105" s="1063"/>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5"/>
      <c r="AH105" s="135"/>
      <c r="AI105" s="135"/>
      <c r="AJ105" s="135"/>
      <c r="AK105" s="135"/>
      <c r="AL105" s="135"/>
      <c r="AM105" s="135"/>
      <c r="AN105" s="135"/>
      <c r="AO105" s="135"/>
      <c r="AP105" s="135"/>
      <c r="AQ105" s="135"/>
      <c r="AR105" s="135"/>
    </row>
    <row r="106" spans="2:44" ht="15.95" hidden="1" customHeight="1" x14ac:dyDescent="0.25">
      <c r="B106" s="1063">
        <v>46</v>
      </c>
      <c r="C106" s="135"/>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5"/>
      <c r="AN106" s="135"/>
      <c r="AO106" s="135"/>
      <c r="AP106" s="135"/>
      <c r="AQ106" s="135"/>
      <c r="AR106" s="135"/>
    </row>
    <row r="107" spans="2:44" ht="15.95" hidden="1" customHeight="1" x14ac:dyDescent="0.25">
      <c r="B107" s="1063"/>
      <c r="C107" s="135"/>
      <c r="D107" s="135"/>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5"/>
      <c r="AH107" s="135"/>
      <c r="AI107" s="135"/>
      <c r="AJ107" s="135"/>
      <c r="AK107" s="135"/>
      <c r="AL107" s="135"/>
      <c r="AM107" s="135"/>
      <c r="AN107" s="135"/>
      <c r="AO107" s="135"/>
      <c r="AP107" s="135"/>
      <c r="AQ107" s="135"/>
      <c r="AR107" s="135"/>
    </row>
    <row r="108" spans="2:44" ht="15.95" hidden="1" customHeight="1" x14ac:dyDescent="0.25">
      <c r="B108" s="1063">
        <v>47</v>
      </c>
      <c r="C108" s="135"/>
      <c r="D108" s="135"/>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5"/>
      <c r="AN108" s="135"/>
      <c r="AO108" s="135"/>
      <c r="AP108" s="135"/>
      <c r="AQ108" s="135"/>
      <c r="AR108" s="135"/>
    </row>
    <row r="109" spans="2:44" ht="15.95" hidden="1" customHeight="1" x14ac:dyDescent="0.25">
      <c r="B109" s="1063"/>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5"/>
      <c r="AN109" s="135"/>
      <c r="AO109" s="135"/>
      <c r="AP109" s="135"/>
      <c r="AQ109" s="135"/>
      <c r="AR109" s="135"/>
    </row>
    <row r="110" spans="2:44" ht="15.95" hidden="1" customHeight="1" x14ac:dyDescent="0.25">
      <c r="B110" s="1063">
        <v>48</v>
      </c>
      <c r="C110" s="135"/>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c r="AA110" s="135"/>
      <c r="AB110" s="135"/>
      <c r="AC110" s="135"/>
      <c r="AD110" s="135"/>
      <c r="AE110" s="135"/>
      <c r="AF110" s="135"/>
      <c r="AG110" s="135"/>
      <c r="AH110" s="135"/>
      <c r="AI110" s="135"/>
      <c r="AJ110" s="135"/>
      <c r="AK110" s="135"/>
      <c r="AL110" s="135"/>
      <c r="AM110" s="135"/>
      <c r="AN110" s="135"/>
      <c r="AO110" s="135"/>
      <c r="AP110" s="135"/>
      <c r="AQ110" s="135"/>
      <c r="AR110" s="135"/>
    </row>
    <row r="111" spans="2:44" ht="15.95" hidden="1" customHeight="1" x14ac:dyDescent="0.25">
      <c r="B111" s="1063"/>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c r="AR111" s="135"/>
    </row>
    <row r="112" spans="2:44" ht="15.95" hidden="1" customHeight="1" x14ac:dyDescent="0.25">
      <c r="B112" s="1063">
        <v>49</v>
      </c>
      <c r="C112" s="135"/>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row>
    <row r="113" spans="2:44" ht="15.95" hidden="1" customHeight="1" x14ac:dyDescent="0.25">
      <c r="B113" s="1063"/>
      <c r="C113" s="135"/>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c r="AO113" s="135"/>
      <c r="AP113" s="135"/>
      <c r="AQ113" s="135"/>
      <c r="AR113" s="135"/>
    </row>
    <row r="114" spans="2:44" ht="15.95" hidden="1" customHeight="1" x14ac:dyDescent="0.25">
      <c r="B114" s="1063">
        <v>50</v>
      </c>
      <c r="C114" s="135"/>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c r="AO114" s="135"/>
      <c r="AP114" s="135"/>
      <c r="AQ114" s="135"/>
      <c r="AR114" s="135"/>
    </row>
    <row r="115" spans="2:44" ht="15.95" hidden="1" customHeight="1" x14ac:dyDescent="0.25">
      <c r="B115" s="1063"/>
      <c r="C115" s="135"/>
      <c r="D115" s="135"/>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135"/>
      <c r="AO115" s="135"/>
      <c r="AP115" s="135"/>
      <c r="AQ115" s="135"/>
      <c r="AR115" s="135"/>
    </row>
    <row r="116" spans="2:44" ht="15.95" hidden="1" customHeight="1" x14ac:dyDescent="0.25">
      <c r="B116" s="1063">
        <v>51</v>
      </c>
      <c r="C116" s="135"/>
      <c r="D116" s="135"/>
      <c r="E116" s="135"/>
      <c r="F116" s="135"/>
      <c r="G116" s="135"/>
      <c r="H116" s="135"/>
      <c r="I116" s="135"/>
      <c r="J116" s="135"/>
      <c r="K116" s="135"/>
      <c r="L116" s="135"/>
      <c r="M116" s="135"/>
      <c r="N116" s="135"/>
      <c r="O116" s="135"/>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135"/>
      <c r="AO116" s="135"/>
      <c r="AP116" s="135"/>
      <c r="AQ116" s="135"/>
      <c r="AR116" s="135"/>
    </row>
    <row r="117" spans="2:44" ht="15.95" hidden="1" customHeight="1" x14ac:dyDescent="0.25">
      <c r="B117" s="1063"/>
      <c r="C117" s="135"/>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c r="AA117" s="135"/>
      <c r="AB117" s="135"/>
      <c r="AC117" s="135"/>
      <c r="AD117" s="135"/>
      <c r="AE117" s="135"/>
      <c r="AF117" s="135"/>
      <c r="AG117" s="135"/>
      <c r="AH117" s="135"/>
      <c r="AI117" s="135"/>
      <c r="AJ117" s="135"/>
      <c r="AK117" s="135"/>
      <c r="AL117" s="135"/>
      <c r="AM117" s="135"/>
      <c r="AN117" s="135"/>
      <c r="AO117" s="135"/>
      <c r="AP117" s="135"/>
      <c r="AQ117" s="135"/>
      <c r="AR117" s="135"/>
    </row>
    <row r="118" spans="2:44" ht="15.95" hidden="1" customHeight="1" x14ac:dyDescent="0.25">
      <c r="B118" s="1063">
        <v>52</v>
      </c>
      <c r="C118" s="135"/>
      <c r="D118" s="135"/>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c r="AA118" s="135"/>
      <c r="AB118" s="135"/>
      <c r="AC118" s="135"/>
      <c r="AD118" s="135"/>
      <c r="AE118" s="135"/>
      <c r="AF118" s="135"/>
      <c r="AG118" s="135"/>
      <c r="AH118" s="135"/>
      <c r="AI118" s="135"/>
      <c r="AJ118" s="135"/>
      <c r="AK118" s="135"/>
      <c r="AL118" s="135"/>
      <c r="AM118" s="135"/>
      <c r="AN118" s="135"/>
      <c r="AO118" s="135"/>
      <c r="AP118" s="135"/>
      <c r="AQ118" s="135"/>
      <c r="AR118" s="135"/>
    </row>
    <row r="119" spans="2:44" ht="15.95" hidden="1" customHeight="1" x14ac:dyDescent="0.25">
      <c r="B119" s="1063"/>
      <c r="C119" s="135"/>
      <c r="D119" s="135"/>
      <c r="E119" s="135"/>
      <c r="F119" s="135"/>
      <c r="G119" s="135"/>
      <c r="H119" s="135"/>
      <c r="I119" s="135"/>
      <c r="J119" s="135"/>
      <c r="K119" s="135"/>
      <c r="L119" s="135"/>
      <c r="M119" s="135"/>
      <c r="N119" s="135"/>
      <c r="O119" s="135"/>
      <c r="P119" s="135"/>
      <c r="Q119" s="135"/>
      <c r="R119" s="135"/>
      <c r="S119" s="135"/>
      <c r="T119" s="135"/>
      <c r="U119" s="135"/>
      <c r="V119" s="135"/>
      <c r="W119" s="135"/>
      <c r="X119" s="135"/>
      <c r="Y119" s="135"/>
      <c r="Z119" s="135"/>
      <c r="AA119" s="135"/>
      <c r="AB119" s="135"/>
      <c r="AC119" s="135"/>
      <c r="AD119" s="135"/>
      <c r="AE119" s="135"/>
      <c r="AF119" s="135"/>
      <c r="AG119" s="135"/>
      <c r="AH119" s="135"/>
      <c r="AI119" s="135"/>
      <c r="AJ119" s="135"/>
      <c r="AK119" s="135"/>
      <c r="AL119" s="135"/>
      <c r="AM119" s="135"/>
      <c r="AN119" s="135"/>
      <c r="AO119" s="135"/>
      <c r="AP119" s="135"/>
      <c r="AQ119" s="135"/>
      <c r="AR119" s="135"/>
    </row>
    <row r="120" spans="2:44" ht="15.95" hidden="1" customHeight="1" x14ac:dyDescent="0.25">
      <c r="B120" s="1063">
        <v>53</v>
      </c>
      <c r="C120" s="135"/>
      <c r="D120" s="135"/>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c r="AA120" s="135"/>
      <c r="AB120" s="135"/>
      <c r="AC120" s="135"/>
      <c r="AD120" s="135"/>
      <c r="AE120" s="135"/>
      <c r="AF120" s="135"/>
      <c r="AG120" s="135"/>
      <c r="AH120" s="135"/>
      <c r="AI120" s="135"/>
      <c r="AJ120" s="135"/>
      <c r="AK120" s="135"/>
      <c r="AL120" s="135"/>
      <c r="AM120" s="135"/>
      <c r="AN120" s="135"/>
      <c r="AO120" s="135"/>
      <c r="AP120" s="135"/>
      <c r="AQ120" s="135"/>
      <c r="AR120" s="135"/>
    </row>
    <row r="121" spans="2:44" ht="15.95" hidden="1" customHeight="1" x14ac:dyDescent="0.25">
      <c r="B121" s="1063"/>
      <c r="C121" s="135"/>
      <c r="D121" s="135"/>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c r="AG121" s="135"/>
      <c r="AH121" s="135"/>
      <c r="AI121" s="135"/>
      <c r="AJ121" s="135"/>
      <c r="AK121" s="135"/>
      <c r="AL121" s="135"/>
      <c r="AM121" s="135"/>
      <c r="AN121" s="135"/>
      <c r="AO121" s="135"/>
      <c r="AP121" s="135"/>
      <c r="AQ121" s="135"/>
      <c r="AR121" s="135"/>
    </row>
    <row r="122" spans="2:44" ht="15.95" hidden="1" customHeight="1" x14ac:dyDescent="0.25">
      <c r="B122" s="1063">
        <v>54</v>
      </c>
      <c r="C122" s="135"/>
      <c r="D122" s="135"/>
      <c r="E122" s="135"/>
      <c r="F122" s="135"/>
      <c r="G122" s="135"/>
      <c r="H122" s="135"/>
      <c r="I122" s="135"/>
      <c r="J122" s="135"/>
      <c r="K122" s="135"/>
      <c r="L122" s="135"/>
      <c r="M122" s="135"/>
      <c r="N122" s="135"/>
      <c r="O122" s="135"/>
      <c r="P122" s="135"/>
      <c r="Q122" s="135"/>
      <c r="R122" s="135"/>
      <c r="S122" s="135"/>
      <c r="T122" s="135"/>
      <c r="U122" s="135"/>
      <c r="V122" s="135"/>
      <c r="W122" s="135"/>
      <c r="X122" s="135"/>
      <c r="Y122" s="135"/>
      <c r="Z122" s="135"/>
      <c r="AA122" s="135"/>
      <c r="AB122" s="135"/>
      <c r="AC122" s="135"/>
      <c r="AD122" s="135"/>
      <c r="AE122" s="135"/>
      <c r="AF122" s="135"/>
      <c r="AG122" s="135"/>
      <c r="AH122" s="135"/>
      <c r="AI122" s="135"/>
      <c r="AJ122" s="135"/>
      <c r="AK122" s="135"/>
      <c r="AL122" s="135"/>
      <c r="AM122" s="135"/>
      <c r="AN122" s="135"/>
      <c r="AO122" s="135"/>
      <c r="AP122" s="135"/>
      <c r="AQ122" s="135"/>
      <c r="AR122" s="135"/>
    </row>
    <row r="123" spans="2:44" ht="15.95" hidden="1" customHeight="1" x14ac:dyDescent="0.25">
      <c r="B123" s="1063"/>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8"/>
      <c r="AN123" s="148"/>
      <c r="AO123" s="148"/>
      <c r="AP123" s="148"/>
      <c r="AQ123" s="148"/>
      <c r="AR123" s="135"/>
    </row>
    <row r="124" spans="2:44" ht="15.95" hidden="1" customHeight="1" x14ac:dyDescent="0.25">
      <c r="B124" s="1063">
        <v>55</v>
      </c>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c r="AA124" s="148"/>
      <c r="AB124" s="148"/>
      <c r="AC124" s="148"/>
      <c r="AD124" s="148"/>
      <c r="AE124" s="148"/>
      <c r="AF124" s="148"/>
      <c r="AG124" s="148"/>
      <c r="AH124" s="148"/>
      <c r="AI124" s="148"/>
      <c r="AJ124" s="148"/>
      <c r="AK124" s="148"/>
      <c r="AL124" s="148"/>
      <c r="AM124" s="148"/>
      <c r="AN124" s="148"/>
      <c r="AO124" s="148"/>
      <c r="AP124" s="148"/>
      <c r="AQ124" s="148"/>
      <c r="AR124" s="135"/>
    </row>
    <row r="125" spans="2:44" ht="15.95" hidden="1" customHeight="1" x14ac:dyDescent="0.25">
      <c r="B125" s="1063"/>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c r="AA125" s="148"/>
      <c r="AB125" s="148"/>
      <c r="AC125" s="148"/>
      <c r="AD125" s="148"/>
      <c r="AE125" s="148"/>
      <c r="AF125" s="148"/>
      <c r="AG125" s="148"/>
      <c r="AH125" s="148"/>
      <c r="AI125" s="148"/>
      <c r="AJ125" s="148"/>
      <c r="AK125" s="148"/>
      <c r="AL125" s="148"/>
      <c r="AM125" s="148"/>
      <c r="AN125" s="148"/>
      <c r="AO125" s="148"/>
      <c r="AP125" s="148"/>
      <c r="AQ125" s="148"/>
      <c r="AR125" s="135"/>
    </row>
    <row r="126" spans="2:44" ht="15.95" hidden="1" customHeight="1" x14ac:dyDescent="0.25">
      <c r="B126" s="1063">
        <v>56</v>
      </c>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8"/>
      <c r="AN126" s="148"/>
      <c r="AO126" s="148"/>
      <c r="AP126" s="148"/>
      <c r="AQ126" s="148"/>
      <c r="AR126" s="135"/>
    </row>
    <row r="127" spans="2:44" ht="15.95" hidden="1" customHeight="1" x14ac:dyDescent="0.25">
      <c r="B127" s="1063"/>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c r="AK127" s="148"/>
      <c r="AL127" s="148"/>
      <c r="AM127" s="148"/>
      <c r="AN127" s="148"/>
      <c r="AO127" s="148"/>
      <c r="AP127" s="148"/>
      <c r="AQ127" s="148"/>
      <c r="AR127" s="135"/>
    </row>
    <row r="128" spans="2:44" ht="15.95" hidden="1" customHeight="1" x14ac:dyDescent="0.25">
      <c r="B128" s="1063">
        <v>57</v>
      </c>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48"/>
      <c r="AG128" s="148"/>
      <c r="AH128" s="148"/>
      <c r="AI128" s="148"/>
      <c r="AJ128" s="148"/>
      <c r="AK128" s="148"/>
      <c r="AL128" s="148"/>
      <c r="AM128" s="148"/>
      <c r="AN128" s="148"/>
      <c r="AO128" s="148"/>
      <c r="AP128" s="148"/>
      <c r="AQ128" s="148"/>
      <c r="AR128" s="135"/>
    </row>
    <row r="129" spans="2:44" ht="15.95" hidden="1" customHeight="1" x14ac:dyDescent="0.25">
      <c r="B129" s="1063"/>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c r="AA129" s="148"/>
      <c r="AB129" s="148"/>
      <c r="AC129" s="148"/>
      <c r="AD129" s="148"/>
      <c r="AE129" s="148"/>
      <c r="AF129" s="148"/>
      <c r="AG129" s="148"/>
      <c r="AH129" s="148"/>
      <c r="AI129" s="148"/>
      <c r="AJ129" s="148"/>
      <c r="AK129" s="148"/>
      <c r="AL129" s="148"/>
      <c r="AM129" s="148"/>
      <c r="AN129" s="148"/>
      <c r="AO129" s="148"/>
      <c r="AP129" s="148"/>
      <c r="AQ129" s="148"/>
      <c r="AR129" s="135"/>
    </row>
    <row r="130" spans="2:44" ht="15.95" hidden="1" customHeight="1" x14ac:dyDescent="0.25">
      <c r="B130" s="1063">
        <v>58</v>
      </c>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c r="AA130" s="148"/>
      <c r="AB130" s="148"/>
      <c r="AC130" s="148"/>
      <c r="AD130" s="148"/>
      <c r="AE130" s="148"/>
      <c r="AF130" s="148"/>
      <c r="AG130" s="148"/>
      <c r="AH130" s="148"/>
      <c r="AI130" s="148"/>
      <c r="AJ130" s="148"/>
      <c r="AK130" s="148"/>
      <c r="AL130" s="148"/>
      <c r="AM130" s="148"/>
      <c r="AN130" s="148"/>
      <c r="AO130" s="148"/>
      <c r="AP130" s="148"/>
      <c r="AQ130" s="148"/>
      <c r="AR130" s="135"/>
    </row>
    <row r="131" spans="2:44" ht="15.95" hidden="1" customHeight="1" x14ac:dyDescent="0.25">
      <c r="B131" s="1063"/>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c r="AA131" s="148"/>
      <c r="AB131" s="148"/>
      <c r="AC131" s="148"/>
      <c r="AD131" s="148"/>
      <c r="AE131" s="148"/>
      <c r="AF131" s="148"/>
      <c r="AG131" s="148"/>
      <c r="AH131" s="148"/>
      <c r="AI131" s="148"/>
      <c r="AJ131" s="148"/>
      <c r="AK131" s="148"/>
      <c r="AL131" s="148"/>
      <c r="AM131" s="148"/>
      <c r="AN131" s="148"/>
      <c r="AO131" s="148"/>
      <c r="AP131" s="148"/>
      <c r="AQ131" s="148"/>
      <c r="AR131" s="135"/>
    </row>
    <row r="132" spans="2:44" ht="15.95" hidden="1" customHeight="1" x14ac:dyDescent="0.25">
      <c r="B132" s="1063">
        <v>59</v>
      </c>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35"/>
    </row>
    <row r="133" spans="2:44" ht="15.95" hidden="1" customHeight="1" x14ac:dyDescent="0.25">
      <c r="B133" s="1063"/>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35"/>
    </row>
    <row r="134" spans="2:44" ht="15.95" hidden="1" customHeight="1" x14ac:dyDescent="0.25">
      <c r="B134" s="1063">
        <v>60</v>
      </c>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35"/>
    </row>
    <row r="135" spans="2:44" ht="15.95" hidden="1" customHeight="1" x14ac:dyDescent="0.25">
      <c r="B135" s="1063"/>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48"/>
      <c r="AR135" s="135"/>
    </row>
    <row r="136" spans="2:44" ht="15.95" hidden="1" customHeight="1" x14ac:dyDescent="0.25">
      <c r="B136" s="1063">
        <v>61</v>
      </c>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148"/>
      <c r="AG136" s="148"/>
      <c r="AH136" s="148"/>
      <c r="AI136" s="148"/>
      <c r="AJ136" s="148"/>
      <c r="AK136" s="148"/>
      <c r="AL136" s="148"/>
      <c r="AM136" s="148"/>
      <c r="AN136" s="148"/>
      <c r="AO136" s="148"/>
      <c r="AP136" s="148"/>
      <c r="AQ136" s="148"/>
      <c r="AR136" s="135"/>
    </row>
    <row r="137" spans="2:44" ht="15.95" hidden="1" customHeight="1" x14ac:dyDescent="0.25">
      <c r="B137" s="1063"/>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c r="AA137" s="148"/>
      <c r="AB137" s="148"/>
      <c r="AC137" s="148"/>
      <c r="AD137" s="148"/>
      <c r="AE137" s="148"/>
      <c r="AF137" s="148"/>
      <c r="AG137" s="148"/>
      <c r="AH137" s="148"/>
      <c r="AI137" s="148"/>
      <c r="AJ137" s="148"/>
      <c r="AK137" s="148"/>
      <c r="AL137" s="148"/>
      <c r="AM137" s="148"/>
      <c r="AN137" s="148"/>
      <c r="AO137" s="148"/>
      <c r="AP137" s="148"/>
      <c r="AQ137" s="148"/>
      <c r="AR137" s="135"/>
    </row>
    <row r="138" spans="2:44" ht="15.95" hidden="1" customHeight="1" x14ac:dyDescent="0.25">
      <c r="B138" s="1063">
        <v>62</v>
      </c>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c r="AA138" s="148"/>
      <c r="AB138" s="148"/>
      <c r="AC138" s="148"/>
      <c r="AD138" s="148"/>
      <c r="AE138" s="148"/>
      <c r="AF138" s="148"/>
      <c r="AG138" s="148"/>
      <c r="AH138" s="148"/>
      <c r="AI138" s="148"/>
      <c r="AJ138" s="148"/>
      <c r="AK138" s="148"/>
      <c r="AL138" s="148"/>
      <c r="AM138" s="148"/>
      <c r="AN138" s="148"/>
      <c r="AO138" s="148"/>
      <c r="AP138" s="148"/>
      <c r="AQ138" s="148"/>
      <c r="AR138" s="135"/>
    </row>
    <row r="139" spans="2:44" ht="15.95" hidden="1" customHeight="1" x14ac:dyDescent="0.25">
      <c r="B139" s="1063"/>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c r="AA139" s="148"/>
      <c r="AB139" s="148"/>
      <c r="AC139" s="148"/>
      <c r="AD139" s="148"/>
      <c r="AE139" s="148"/>
      <c r="AF139" s="148"/>
      <c r="AG139" s="148"/>
      <c r="AH139" s="148"/>
      <c r="AI139" s="148"/>
      <c r="AJ139" s="148"/>
      <c r="AK139" s="148"/>
      <c r="AL139" s="148"/>
      <c r="AM139" s="148"/>
      <c r="AN139" s="148"/>
      <c r="AO139" s="148"/>
      <c r="AP139" s="148"/>
      <c r="AQ139" s="148"/>
      <c r="AR139" s="135"/>
    </row>
    <row r="140" spans="2:44" ht="15.95" hidden="1" customHeight="1" x14ac:dyDescent="0.25">
      <c r="B140" s="1063">
        <v>63</v>
      </c>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c r="AA140" s="148"/>
      <c r="AB140" s="148"/>
      <c r="AC140" s="148"/>
      <c r="AD140" s="148"/>
      <c r="AE140" s="148"/>
      <c r="AF140" s="148"/>
      <c r="AG140" s="148"/>
      <c r="AH140" s="148"/>
      <c r="AI140" s="148"/>
      <c r="AJ140" s="148"/>
      <c r="AK140" s="148"/>
      <c r="AL140" s="148"/>
      <c r="AM140" s="148"/>
      <c r="AN140" s="148"/>
      <c r="AO140" s="148"/>
      <c r="AP140" s="148"/>
      <c r="AQ140" s="148"/>
      <c r="AR140" s="135"/>
    </row>
    <row r="141" spans="2:44" ht="15.95" hidden="1" customHeight="1" x14ac:dyDescent="0.25">
      <c r="B141" s="1063"/>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c r="AA141" s="148"/>
      <c r="AB141" s="148"/>
      <c r="AC141" s="148"/>
      <c r="AD141" s="148"/>
      <c r="AE141" s="148"/>
      <c r="AF141" s="148"/>
      <c r="AG141" s="148"/>
      <c r="AH141" s="148"/>
      <c r="AI141" s="148"/>
      <c r="AJ141" s="148"/>
      <c r="AK141" s="148"/>
      <c r="AL141" s="148"/>
      <c r="AM141" s="148"/>
      <c r="AN141" s="148"/>
      <c r="AO141" s="148"/>
      <c r="AP141" s="148"/>
      <c r="AQ141" s="148"/>
      <c r="AR141" s="135"/>
    </row>
    <row r="142" spans="2:44" ht="15.95" hidden="1" customHeight="1" x14ac:dyDescent="0.25">
      <c r="B142" s="1063">
        <v>64</v>
      </c>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c r="AA142" s="148"/>
      <c r="AB142" s="148"/>
      <c r="AC142" s="148"/>
      <c r="AD142" s="148"/>
      <c r="AE142" s="148"/>
      <c r="AF142" s="148"/>
      <c r="AG142" s="148"/>
      <c r="AH142" s="148"/>
      <c r="AI142" s="148"/>
      <c r="AJ142" s="148"/>
      <c r="AK142" s="148"/>
      <c r="AL142" s="148"/>
      <c r="AM142" s="148"/>
      <c r="AN142" s="148"/>
      <c r="AO142" s="148"/>
      <c r="AP142" s="148"/>
      <c r="AQ142" s="148"/>
      <c r="AR142" s="135"/>
    </row>
    <row r="143" spans="2:44" ht="15.95" hidden="1" customHeight="1" x14ac:dyDescent="0.25">
      <c r="B143" s="1063"/>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c r="AA143" s="148"/>
      <c r="AB143" s="148"/>
      <c r="AC143" s="148"/>
      <c r="AD143" s="148"/>
      <c r="AE143" s="148"/>
      <c r="AF143" s="148"/>
      <c r="AG143" s="148"/>
      <c r="AH143" s="148"/>
      <c r="AI143" s="148"/>
      <c r="AJ143" s="148"/>
      <c r="AK143" s="148"/>
      <c r="AL143" s="148"/>
      <c r="AM143" s="148"/>
      <c r="AN143" s="148"/>
      <c r="AO143" s="148"/>
      <c r="AP143" s="148"/>
      <c r="AQ143" s="148"/>
      <c r="AR143" s="135"/>
    </row>
    <row r="144" spans="2:44" ht="15.95" hidden="1" customHeight="1" x14ac:dyDescent="0.25">
      <c r="B144" s="1063">
        <v>65</v>
      </c>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35"/>
    </row>
    <row r="145" spans="2:44" ht="15.95" hidden="1" customHeight="1" x14ac:dyDescent="0.25">
      <c r="B145" s="1063"/>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c r="AA145" s="148"/>
      <c r="AB145" s="148"/>
      <c r="AC145" s="148"/>
      <c r="AD145" s="148"/>
      <c r="AE145" s="148"/>
      <c r="AF145" s="148"/>
      <c r="AG145" s="148"/>
      <c r="AH145" s="148"/>
      <c r="AI145" s="148"/>
      <c r="AJ145" s="148"/>
      <c r="AK145" s="148"/>
      <c r="AL145" s="148"/>
      <c r="AM145" s="148"/>
      <c r="AN145" s="148"/>
      <c r="AO145" s="148"/>
      <c r="AP145" s="148"/>
      <c r="AQ145" s="148"/>
      <c r="AR145" s="135"/>
    </row>
    <row r="146" spans="2:44" ht="15.95" hidden="1" customHeight="1" x14ac:dyDescent="0.25">
      <c r="B146" s="1063">
        <v>66</v>
      </c>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c r="AA146" s="148"/>
      <c r="AB146" s="148"/>
      <c r="AC146" s="148"/>
      <c r="AD146" s="148"/>
      <c r="AE146" s="148"/>
      <c r="AF146" s="148"/>
      <c r="AG146" s="148"/>
      <c r="AH146" s="148"/>
      <c r="AI146" s="148"/>
      <c r="AJ146" s="148"/>
      <c r="AK146" s="148"/>
      <c r="AL146" s="148"/>
      <c r="AM146" s="148"/>
      <c r="AN146" s="148"/>
      <c r="AO146" s="148"/>
      <c r="AP146" s="148"/>
      <c r="AQ146" s="148"/>
      <c r="AR146" s="135"/>
    </row>
    <row r="147" spans="2:44" ht="15.95" hidden="1" customHeight="1" x14ac:dyDescent="0.25">
      <c r="B147" s="1063"/>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c r="AA147" s="148"/>
      <c r="AB147" s="148"/>
      <c r="AC147" s="148"/>
      <c r="AD147" s="148"/>
      <c r="AE147" s="148"/>
      <c r="AF147" s="148"/>
      <c r="AG147" s="148"/>
      <c r="AH147" s="148"/>
      <c r="AI147" s="148"/>
      <c r="AJ147" s="148"/>
      <c r="AK147" s="148"/>
      <c r="AL147" s="148"/>
      <c r="AM147" s="148"/>
      <c r="AN147" s="148"/>
      <c r="AO147" s="148"/>
      <c r="AP147" s="148"/>
      <c r="AQ147" s="148"/>
      <c r="AR147" s="135"/>
    </row>
    <row r="148" spans="2:44" ht="15.95" hidden="1" customHeight="1" x14ac:dyDescent="0.25">
      <c r="B148" s="1063">
        <v>67</v>
      </c>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c r="AA148" s="148"/>
      <c r="AB148" s="148"/>
      <c r="AC148" s="148"/>
      <c r="AD148" s="148"/>
      <c r="AE148" s="148"/>
      <c r="AF148" s="148"/>
      <c r="AG148" s="148"/>
      <c r="AH148" s="148"/>
      <c r="AI148" s="148"/>
      <c r="AJ148" s="148"/>
      <c r="AK148" s="148"/>
      <c r="AL148" s="148"/>
      <c r="AM148" s="148"/>
      <c r="AN148" s="148"/>
      <c r="AO148" s="148"/>
      <c r="AP148" s="148"/>
      <c r="AQ148" s="148"/>
      <c r="AR148" s="135"/>
    </row>
    <row r="149" spans="2:44" ht="15.95" hidden="1" customHeight="1" x14ac:dyDescent="0.25">
      <c r="B149" s="1063"/>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35"/>
    </row>
    <row r="150" spans="2:44" ht="15.95" hidden="1" customHeight="1" x14ac:dyDescent="0.25">
      <c r="B150" s="1063">
        <v>68</v>
      </c>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35"/>
    </row>
    <row r="151" spans="2:44" ht="15.95" hidden="1" customHeight="1" x14ac:dyDescent="0.25">
      <c r="B151" s="1063"/>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35"/>
    </row>
    <row r="152" spans="2:44" ht="15.95" hidden="1" customHeight="1" x14ac:dyDescent="0.25">
      <c r="B152" s="1063">
        <v>69</v>
      </c>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35"/>
    </row>
    <row r="153" spans="2:44" ht="15.95" hidden="1" customHeight="1" x14ac:dyDescent="0.25">
      <c r="B153" s="1063"/>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c r="AA153" s="148"/>
      <c r="AB153" s="148"/>
      <c r="AC153" s="148"/>
      <c r="AD153" s="148"/>
      <c r="AE153" s="148"/>
      <c r="AF153" s="148"/>
      <c r="AG153" s="148"/>
      <c r="AH153" s="148"/>
      <c r="AI153" s="148"/>
      <c r="AJ153" s="148"/>
      <c r="AK153" s="148"/>
      <c r="AL153" s="148"/>
      <c r="AM153" s="148"/>
      <c r="AN153" s="148"/>
      <c r="AO153" s="148"/>
      <c r="AP153" s="148"/>
      <c r="AQ153" s="148"/>
      <c r="AR153" s="135"/>
    </row>
    <row r="154" spans="2:44" ht="15.95" hidden="1" customHeight="1" x14ac:dyDescent="0.25">
      <c r="B154" s="1063">
        <v>70</v>
      </c>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c r="AA154" s="148"/>
      <c r="AB154" s="148"/>
      <c r="AC154" s="148"/>
      <c r="AD154" s="148"/>
      <c r="AE154" s="148"/>
      <c r="AF154" s="148"/>
      <c r="AG154" s="148"/>
      <c r="AH154" s="148"/>
      <c r="AI154" s="148"/>
      <c r="AJ154" s="148"/>
      <c r="AK154" s="148"/>
      <c r="AL154" s="148"/>
      <c r="AM154" s="148"/>
      <c r="AN154" s="148"/>
      <c r="AO154" s="148"/>
      <c r="AP154" s="148"/>
      <c r="AQ154" s="148"/>
      <c r="AR154" s="135"/>
    </row>
    <row r="155" spans="2:44" ht="15.95" hidden="1" customHeight="1" x14ac:dyDescent="0.25">
      <c r="B155" s="1063"/>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c r="AA155" s="148"/>
      <c r="AB155" s="148"/>
      <c r="AC155" s="148"/>
      <c r="AD155" s="148"/>
      <c r="AE155" s="148"/>
      <c r="AF155" s="148"/>
      <c r="AG155" s="148"/>
      <c r="AH155" s="148"/>
      <c r="AI155" s="148"/>
      <c r="AJ155" s="148"/>
      <c r="AK155" s="148"/>
      <c r="AL155" s="148"/>
      <c r="AM155" s="148"/>
      <c r="AN155" s="148"/>
      <c r="AO155" s="148"/>
      <c r="AP155" s="148"/>
      <c r="AQ155" s="148"/>
      <c r="AR155" s="135"/>
    </row>
    <row r="156" spans="2:44" ht="15.95" hidden="1" customHeight="1" x14ac:dyDescent="0.25">
      <c r="B156" s="1063">
        <v>71</v>
      </c>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35"/>
    </row>
    <row r="157" spans="2:44" ht="15.95" hidden="1" customHeight="1" x14ac:dyDescent="0.25">
      <c r="B157" s="1063"/>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c r="AA157" s="148"/>
      <c r="AB157" s="148"/>
      <c r="AC157" s="148"/>
      <c r="AD157" s="148"/>
      <c r="AE157" s="148"/>
      <c r="AF157" s="148"/>
      <c r="AG157" s="148"/>
      <c r="AH157" s="148"/>
      <c r="AI157" s="148"/>
      <c r="AJ157" s="148"/>
      <c r="AK157" s="148"/>
      <c r="AL157" s="148"/>
      <c r="AM157" s="148"/>
      <c r="AN157" s="148"/>
      <c r="AO157" s="148"/>
      <c r="AP157" s="148"/>
      <c r="AQ157" s="148"/>
      <c r="AR157" s="135"/>
    </row>
    <row r="158" spans="2:44" ht="15.95" hidden="1" customHeight="1" x14ac:dyDescent="0.25">
      <c r="B158" s="1063">
        <v>72</v>
      </c>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c r="AA158" s="148"/>
      <c r="AB158" s="148"/>
      <c r="AC158" s="148"/>
      <c r="AD158" s="148"/>
      <c r="AE158" s="148"/>
      <c r="AF158" s="148"/>
      <c r="AG158" s="148"/>
      <c r="AH158" s="148"/>
      <c r="AI158" s="148"/>
      <c r="AJ158" s="148"/>
      <c r="AK158" s="148"/>
      <c r="AL158" s="148"/>
      <c r="AM158" s="148"/>
      <c r="AN158" s="148"/>
      <c r="AO158" s="148"/>
      <c r="AP158" s="148"/>
      <c r="AQ158" s="148"/>
      <c r="AR158" s="135"/>
    </row>
    <row r="159" spans="2:44" ht="15.95" hidden="1" customHeight="1" x14ac:dyDescent="0.25">
      <c r="B159" s="1063"/>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c r="AA159" s="148"/>
      <c r="AB159" s="148"/>
      <c r="AC159" s="148"/>
      <c r="AD159" s="148"/>
      <c r="AE159" s="148"/>
      <c r="AF159" s="148"/>
      <c r="AG159" s="148"/>
      <c r="AH159" s="148"/>
      <c r="AI159" s="148"/>
      <c r="AJ159" s="148"/>
      <c r="AK159" s="148"/>
      <c r="AL159" s="148"/>
      <c r="AM159" s="148"/>
      <c r="AN159" s="148"/>
      <c r="AO159" s="148"/>
      <c r="AP159" s="148"/>
      <c r="AQ159" s="148"/>
      <c r="AR159" s="135"/>
    </row>
    <row r="160" spans="2:44" ht="15.95" hidden="1" customHeight="1" x14ac:dyDescent="0.25">
      <c r="B160" s="1063">
        <v>73</v>
      </c>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48"/>
      <c r="AG160" s="148"/>
      <c r="AH160" s="148"/>
      <c r="AI160" s="148"/>
      <c r="AJ160" s="148"/>
      <c r="AK160" s="148"/>
      <c r="AL160" s="148"/>
      <c r="AM160" s="148"/>
      <c r="AN160" s="148"/>
      <c r="AO160" s="148"/>
      <c r="AP160" s="148"/>
      <c r="AQ160" s="148"/>
      <c r="AR160" s="135"/>
    </row>
    <row r="161" spans="2:44" ht="15.95" hidden="1" customHeight="1" x14ac:dyDescent="0.25">
      <c r="B161" s="1063"/>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c r="AA161" s="148"/>
      <c r="AB161" s="148"/>
      <c r="AC161" s="148"/>
      <c r="AD161" s="148"/>
      <c r="AE161" s="148"/>
      <c r="AF161" s="148"/>
      <c r="AG161" s="148"/>
      <c r="AH161" s="148"/>
      <c r="AI161" s="148"/>
      <c r="AJ161" s="148"/>
      <c r="AK161" s="148"/>
      <c r="AL161" s="148"/>
      <c r="AM161" s="148"/>
      <c r="AN161" s="148"/>
      <c r="AO161" s="148"/>
      <c r="AP161" s="148"/>
      <c r="AQ161" s="148"/>
      <c r="AR161" s="135"/>
    </row>
    <row r="162" spans="2:44" ht="15.95" hidden="1" customHeight="1" x14ac:dyDescent="0.25">
      <c r="B162" s="1063">
        <v>74</v>
      </c>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c r="AA162" s="148"/>
      <c r="AB162" s="148"/>
      <c r="AC162" s="148"/>
      <c r="AD162" s="148"/>
      <c r="AE162" s="148"/>
      <c r="AF162" s="148"/>
      <c r="AG162" s="148"/>
      <c r="AH162" s="148"/>
      <c r="AI162" s="148"/>
      <c r="AJ162" s="148"/>
      <c r="AK162" s="148"/>
      <c r="AL162" s="148"/>
      <c r="AM162" s="148"/>
      <c r="AN162" s="148"/>
      <c r="AO162" s="148"/>
      <c r="AP162" s="148"/>
      <c r="AQ162" s="148"/>
      <c r="AR162" s="135"/>
    </row>
    <row r="163" spans="2:44" ht="15.95" hidden="1" customHeight="1" x14ac:dyDescent="0.25">
      <c r="B163" s="1063"/>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c r="AA163" s="148"/>
      <c r="AB163" s="148"/>
      <c r="AC163" s="148"/>
      <c r="AD163" s="148"/>
      <c r="AE163" s="148"/>
      <c r="AF163" s="148"/>
      <c r="AG163" s="148"/>
      <c r="AH163" s="148"/>
      <c r="AI163" s="148"/>
      <c r="AJ163" s="148"/>
      <c r="AK163" s="148"/>
      <c r="AL163" s="148"/>
      <c r="AM163" s="148"/>
      <c r="AN163" s="148"/>
      <c r="AO163" s="148"/>
      <c r="AP163" s="148"/>
      <c r="AQ163" s="148"/>
      <c r="AR163" s="135"/>
    </row>
    <row r="164" spans="2:44" ht="15.95" hidden="1" customHeight="1" x14ac:dyDescent="0.25">
      <c r="B164" s="1063">
        <v>75</v>
      </c>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c r="AA164" s="148"/>
      <c r="AB164" s="148"/>
      <c r="AC164" s="148"/>
      <c r="AD164" s="148"/>
      <c r="AE164" s="148"/>
      <c r="AF164" s="148"/>
      <c r="AG164" s="148"/>
      <c r="AH164" s="148"/>
      <c r="AI164" s="148"/>
      <c r="AJ164" s="148"/>
      <c r="AK164" s="148"/>
      <c r="AL164" s="148"/>
      <c r="AM164" s="148"/>
      <c r="AN164" s="148"/>
      <c r="AO164" s="148"/>
      <c r="AP164" s="148"/>
      <c r="AQ164" s="148"/>
      <c r="AR164" s="135"/>
    </row>
    <row r="165" spans="2:44" ht="15.95" hidden="1" customHeight="1" x14ac:dyDescent="0.25">
      <c r="B165" s="1063"/>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35"/>
    </row>
    <row r="166" spans="2:44" ht="15.95" hidden="1" customHeight="1" x14ac:dyDescent="0.25">
      <c r="B166" s="1063">
        <v>76</v>
      </c>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c r="AA166" s="148"/>
      <c r="AB166" s="148"/>
      <c r="AC166" s="148"/>
      <c r="AD166" s="148"/>
      <c r="AE166" s="148"/>
      <c r="AF166" s="148"/>
      <c r="AG166" s="148"/>
      <c r="AH166" s="148"/>
      <c r="AI166" s="148"/>
      <c r="AJ166" s="148"/>
      <c r="AK166" s="148"/>
      <c r="AL166" s="148"/>
      <c r="AM166" s="148"/>
      <c r="AN166" s="148"/>
      <c r="AO166" s="148"/>
      <c r="AP166" s="148"/>
      <c r="AQ166" s="148"/>
      <c r="AR166" s="135"/>
    </row>
    <row r="167" spans="2:44" ht="15.95" hidden="1" customHeight="1" x14ac:dyDescent="0.25">
      <c r="B167" s="1063"/>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c r="AA167" s="148"/>
      <c r="AB167" s="148"/>
      <c r="AC167" s="148"/>
      <c r="AD167" s="148"/>
      <c r="AE167" s="148"/>
      <c r="AF167" s="148"/>
      <c r="AG167" s="148"/>
      <c r="AH167" s="148"/>
      <c r="AI167" s="148"/>
      <c r="AJ167" s="148"/>
      <c r="AK167" s="148"/>
      <c r="AL167" s="148"/>
      <c r="AM167" s="148"/>
      <c r="AN167" s="148"/>
      <c r="AO167" s="148"/>
      <c r="AP167" s="148"/>
      <c r="AQ167" s="148"/>
      <c r="AR167" s="135"/>
    </row>
    <row r="168" spans="2:44" ht="15.95" hidden="1" customHeight="1" x14ac:dyDescent="0.25">
      <c r="B168" s="1063">
        <v>77</v>
      </c>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c r="AA168" s="148"/>
      <c r="AB168" s="148"/>
      <c r="AC168" s="148"/>
      <c r="AD168" s="148"/>
      <c r="AE168" s="148"/>
      <c r="AF168" s="148"/>
      <c r="AG168" s="148"/>
      <c r="AH168" s="148"/>
      <c r="AI168" s="148"/>
      <c r="AJ168" s="148"/>
      <c r="AK168" s="148"/>
      <c r="AL168" s="148"/>
      <c r="AM168" s="148"/>
      <c r="AN168" s="148"/>
      <c r="AO168" s="148"/>
      <c r="AP168" s="148"/>
      <c r="AQ168" s="148"/>
      <c r="AR168" s="135"/>
    </row>
    <row r="169" spans="2:44" ht="15.95" hidden="1" customHeight="1" x14ac:dyDescent="0.25">
      <c r="B169" s="1063"/>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c r="AA169" s="148"/>
      <c r="AB169" s="148"/>
      <c r="AC169" s="148"/>
      <c r="AD169" s="148"/>
      <c r="AE169" s="148"/>
      <c r="AF169" s="148"/>
      <c r="AG169" s="148"/>
      <c r="AH169" s="148"/>
      <c r="AI169" s="148"/>
      <c r="AJ169" s="148"/>
      <c r="AK169" s="148"/>
      <c r="AL169" s="148"/>
      <c r="AM169" s="148"/>
      <c r="AN169" s="148"/>
      <c r="AO169" s="148"/>
      <c r="AP169" s="148"/>
      <c r="AQ169" s="148"/>
      <c r="AR169" s="135"/>
    </row>
    <row r="170" spans="2:44" ht="15.95" hidden="1" customHeight="1" x14ac:dyDescent="0.25">
      <c r="B170" s="1063">
        <v>78</v>
      </c>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c r="AA170" s="148"/>
      <c r="AB170" s="148"/>
      <c r="AC170" s="148"/>
      <c r="AD170" s="148"/>
      <c r="AE170" s="148"/>
      <c r="AF170" s="148"/>
      <c r="AG170" s="148"/>
      <c r="AH170" s="148"/>
      <c r="AI170" s="148"/>
      <c r="AJ170" s="148"/>
      <c r="AK170" s="148"/>
      <c r="AL170" s="148"/>
      <c r="AM170" s="148"/>
      <c r="AN170" s="148"/>
      <c r="AO170" s="148"/>
      <c r="AP170" s="148"/>
      <c r="AQ170" s="148"/>
      <c r="AR170" s="135"/>
    </row>
    <row r="171" spans="2:44" ht="15.95" hidden="1" customHeight="1" x14ac:dyDescent="0.25">
      <c r="B171" s="1063"/>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c r="AA171" s="148"/>
      <c r="AB171" s="148"/>
      <c r="AC171" s="148"/>
      <c r="AD171" s="148"/>
      <c r="AE171" s="148"/>
      <c r="AF171" s="148"/>
      <c r="AG171" s="148"/>
      <c r="AH171" s="148"/>
      <c r="AI171" s="148"/>
      <c r="AJ171" s="148"/>
      <c r="AK171" s="148"/>
      <c r="AL171" s="148"/>
      <c r="AM171" s="148"/>
      <c r="AN171" s="148"/>
      <c r="AO171" s="148"/>
      <c r="AP171" s="148"/>
      <c r="AQ171" s="148"/>
      <c r="AR171" s="135"/>
    </row>
    <row r="172" spans="2:44" ht="15.95" hidden="1" customHeight="1" x14ac:dyDescent="0.25">
      <c r="B172" s="1063">
        <v>79</v>
      </c>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c r="AA172" s="148"/>
      <c r="AB172" s="148"/>
      <c r="AC172" s="148"/>
      <c r="AD172" s="148"/>
      <c r="AE172" s="148"/>
      <c r="AF172" s="148"/>
      <c r="AG172" s="148"/>
      <c r="AH172" s="148"/>
      <c r="AI172" s="148"/>
      <c r="AJ172" s="148"/>
      <c r="AK172" s="148"/>
      <c r="AL172" s="148"/>
      <c r="AM172" s="148"/>
      <c r="AN172" s="148"/>
      <c r="AO172" s="148"/>
      <c r="AP172" s="148"/>
      <c r="AQ172" s="148"/>
      <c r="AR172" s="135"/>
    </row>
    <row r="173" spans="2:44" ht="15.95" hidden="1" customHeight="1" x14ac:dyDescent="0.25">
      <c r="B173" s="1063"/>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c r="AA173" s="148"/>
      <c r="AB173" s="148"/>
      <c r="AC173" s="148"/>
      <c r="AD173" s="148"/>
      <c r="AE173" s="148"/>
      <c r="AF173" s="148"/>
      <c r="AG173" s="148"/>
      <c r="AH173" s="148"/>
      <c r="AI173" s="148"/>
      <c r="AJ173" s="148"/>
      <c r="AK173" s="148"/>
      <c r="AL173" s="148"/>
      <c r="AM173" s="148"/>
      <c r="AN173" s="148"/>
      <c r="AO173" s="148"/>
      <c r="AP173" s="148"/>
      <c r="AQ173" s="148"/>
      <c r="AR173" s="135"/>
    </row>
    <row r="174" spans="2:44" ht="15.95" hidden="1" customHeight="1" x14ac:dyDescent="0.25">
      <c r="B174" s="1063">
        <v>80</v>
      </c>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c r="AA174" s="148"/>
      <c r="AB174" s="148"/>
      <c r="AC174" s="148"/>
      <c r="AD174" s="148"/>
      <c r="AE174" s="148"/>
      <c r="AF174" s="148"/>
      <c r="AG174" s="148"/>
      <c r="AH174" s="148"/>
      <c r="AI174" s="148"/>
      <c r="AJ174" s="148"/>
      <c r="AK174" s="148"/>
      <c r="AL174" s="148"/>
      <c r="AM174" s="148"/>
      <c r="AN174" s="148"/>
      <c r="AO174" s="148"/>
      <c r="AP174" s="148"/>
      <c r="AQ174" s="148"/>
      <c r="AR174" s="135"/>
    </row>
    <row r="175" spans="2:44" ht="15.95" hidden="1" customHeight="1" x14ac:dyDescent="0.25">
      <c r="B175" s="1063"/>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c r="AA175" s="148"/>
      <c r="AB175" s="148"/>
      <c r="AC175" s="148"/>
      <c r="AD175" s="148"/>
      <c r="AE175" s="148"/>
      <c r="AF175" s="148"/>
      <c r="AG175" s="148"/>
      <c r="AH175" s="148"/>
      <c r="AI175" s="148"/>
      <c r="AJ175" s="148"/>
      <c r="AK175" s="148"/>
      <c r="AL175" s="148"/>
      <c r="AM175" s="148"/>
      <c r="AN175" s="148"/>
      <c r="AO175" s="148"/>
      <c r="AP175" s="148"/>
      <c r="AQ175" s="148"/>
      <c r="AR175" s="135"/>
    </row>
    <row r="176" spans="2:44" ht="15.95" hidden="1" customHeight="1" x14ac:dyDescent="0.25">
      <c r="B176" s="1063">
        <v>81</v>
      </c>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c r="AA176" s="148"/>
      <c r="AB176" s="148"/>
      <c r="AC176" s="148"/>
      <c r="AD176" s="148"/>
      <c r="AE176" s="148"/>
      <c r="AF176" s="148"/>
      <c r="AG176" s="148"/>
      <c r="AH176" s="148"/>
      <c r="AI176" s="148"/>
      <c r="AJ176" s="148"/>
      <c r="AK176" s="148"/>
      <c r="AL176" s="148"/>
      <c r="AM176" s="148"/>
      <c r="AN176" s="148"/>
      <c r="AO176" s="148"/>
      <c r="AP176" s="148"/>
      <c r="AQ176" s="148"/>
      <c r="AR176" s="135"/>
    </row>
    <row r="177" spans="2:44" ht="15.95" hidden="1" customHeight="1" x14ac:dyDescent="0.25">
      <c r="B177" s="1063"/>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c r="AA177" s="148"/>
      <c r="AB177" s="148"/>
      <c r="AC177" s="148"/>
      <c r="AD177" s="148"/>
      <c r="AE177" s="148"/>
      <c r="AF177" s="148"/>
      <c r="AG177" s="148"/>
      <c r="AH177" s="148"/>
      <c r="AI177" s="148"/>
      <c r="AJ177" s="148"/>
      <c r="AK177" s="148"/>
      <c r="AL177" s="148"/>
      <c r="AM177" s="148"/>
      <c r="AN177" s="148"/>
      <c r="AO177" s="148"/>
      <c r="AP177" s="148"/>
      <c r="AQ177" s="148"/>
      <c r="AR177" s="135"/>
    </row>
    <row r="178" spans="2:44" ht="15.95" hidden="1" customHeight="1" x14ac:dyDescent="0.25">
      <c r="B178" s="1063">
        <v>82</v>
      </c>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c r="AA178" s="148"/>
      <c r="AB178" s="148"/>
      <c r="AC178" s="148"/>
      <c r="AD178" s="148"/>
      <c r="AE178" s="148"/>
      <c r="AF178" s="148"/>
      <c r="AG178" s="148"/>
      <c r="AH178" s="148"/>
      <c r="AI178" s="148"/>
      <c r="AJ178" s="148"/>
      <c r="AK178" s="148"/>
      <c r="AL178" s="148"/>
      <c r="AM178" s="148"/>
      <c r="AN178" s="148"/>
      <c r="AO178" s="148"/>
      <c r="AP178" s="148"/>
      <c r="AQ178" s="148"/>
      <c r="AR178" s="135"/>
    </row>
    <row r="179" spans="2:44" ht="15.95" hidden="1" customHeight="1" x14ac:dyDescent="0.25">
      <c r="B179" s="1063"/>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c r="AA179" s="148"/>
      <c r="AB179" s="148"/>
      <c r="AC179" s="148"/>
      <c r="AD179" s="148"/>
      <c r="AE179" s="148"/>
      <c r="AF179" s="148"/>
      <c r="AG179" s="148"/>
      <c r="AH179" s="148"/>
      <c r="AI179" s="148"/>
      <c r="AJ179" s="148"/>
      <c r="AK179" s="148"/>
      <c r="AL179" s="148"/>
      <c r="AM179" s="148"/>
      <c r="AN179" s="148"/>
      <c r="AO179" s="148"/>
      <c r="AP179" s="148"/>
      <c r="AQ179" s="148"/>
      <c r="AR179" s="135"/>
    </row>
    <row r="180" spans="2:44" ht="15.95" hidden="1" customHeight="1" x14ac:dyDescent="0.25">
      <c r="B180" s="1063">
        <v>83</v>
      </c>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35"/>
    </row>
    <row r="181" spans="2:44" ht="15.95" hidden="1" customHeight="1" x14ac:dyDescent="0.25">
      <c r="B181" s="1063"/>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35"/>
    </row>
    <row r="182" spans="2:44" ht="15.95" hidden="1" customHeight="1" x14ac:dyDescent="0.25">
      <c r="B182" s="1063">
        <v>84</v>
      </c>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35"/>
    </row>
    <row r="183" spans="2:44" ht="15.95" hidden="1" customHeight="1" x14ac:dyDescent="0.25">
      <c r="B183" s="1063"/>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35"/>
    </row>
    <row r="184" spans="2:44" ht="15.95" hidden="1" customHeight="1" x14ac:dyDescent="0.25">
      <c r="B184" s="1063">
        <v>85</v>
      </c>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35"/>
    </row>
    <row r="185" spans="2:44" ht="15.95" hidden="1" customHeight="1" x14ac:dyDescent="0.25">
      <c r="B185" s="1063"/>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35"/>
    </row>
    <row r="186" spans="2:44" ht="15.95" hidden="1" customHeight="1" x14ac:dyDescent="0.25">
      <c r="B186" s="1062">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4" ht="15.95" hidden="1" customHeight="1" x14ac:dyDescent="0.25">
      <c r="B187" s="1062"/>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4" ht="15.95" hidden="1" customHeight="1" x14ac:dyDescent="0.25">
      <c r="B188" s="1062">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4" ht="15.95" hidden="1" customHeight="1" x14ac:dyDescent="0.25">
      <c r="B189" s="1062"/>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4" ht="15.95" hidden="1" customHeight="1" x14ac:dyDescent="0.25">
      <c r="B190" s="1062">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4" ht="15.95" hidden="1" customHeight="1" x14ac:dyDescent="0.25">
      <c r="B191" s="1062"/>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4" ht="15.95" hidden="1" customHeight="1" x14ac:dyDescent="0.25">
      <c r="B192" s="1062">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4" ht="15.95" hidden="1" customHeight="1" x14ac:dyDescent="0.25">
      <c r="B193" s="1062"/>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4" ht="15.95" hidden="1" customHeight="1" x14ac:dyDescent="0.25">
      <c r="B194" s="1062">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4" ht="15.95" hidden="1" customHeight="1" x14ac:dyDescent="0.25">
      <c r="B195" s="1062"/>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4" ht="15.95" hidden="1" customHeight="1" x14ac:dyDescent="0.25">
      <c r="B196" s="1062">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4" ht="15.95" hidden="1" customHeight="1" x14ac:dyDescent="0.25">
      <c r="B197" s="1062"/>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4" ht="15.95" hidden="1" customHeight="1" x14ac:dyDescent="0.25">
      <c r="B198" s="1062">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4" ht="15.95" hidden="1" customHeight="1" x14ac:dyDescent="0.25">
      <c r="B199" s="1062"/>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4" ht="15.95" customHeight="1" x14ac:dyDescent="0.25">
      <c r="B200" s="136" t="str">
        <f>FOOT1</f>
        <v>Ameren Missouri BizSavers program</v>
      </c>
      <c r="C200" s="136"/>
      <c r="D200" s="136"/>
      <c r="E200" s="136"/>
      <c r="F200" s="136"/>
      <c r="G200" s="136"/>
      <c r="H200" s="136"/>
      <c r="I200" s="136"/>
      <c r="J200" s="136"/>
      <c r="K200" s="136"/>
      <c r="L200" s="136"/>
      <c r="M200" s="729" t="str">
        <f>FOOTDISCLAIM</f>
        <v/>
      </c>
      <c r="N200" s="729"/>
      <c r="O200" s="729"/>
      <c r="P200" s="729"/>
      <c r="Q200" s="729"/>
      <c r="R200" s="729"/>
      <c r="S200" s="729"/>
      <c r="T200" s="729"/>
      <c r="U200" s="729"/>
      <c r="V200" s="729"/>
      <c r="W200" s="729"/>
      <c r="X200" s="729"/>
      <c r="Y200" s="729"/>
      <c r="Z200" s="729"/>
      <c r="AA200" s="729"/>
      <c r="AB200" s="729"/>
      <c r="AC200" s="729"/>
      <c r="AD200" s="729"/>
      <c r="AE200" s="729"/>
      <c r="AF200" s="729"/>
      <c r="AG200" s="729"/>
      <c r="AH200" s="136"/>
      <c r="AI200" s="136"/>
      <c r="AJ200" s="136"/>
      <c r="AK200" s="136"/>
      <c r="AL200" s="136"/>
      <c r="AM200" s="136"/>
      <c r="AN200" s="136"/>
      <c r="AO200" s="136"/>
      <c r="AP200" s="136"/>
      <c r="AQ200" s="136"/>
      <c r="AR200" s="300" t="str">
        <f>FOOT4</f>
        <v/>
      </c>
    </row>
    <row r="201" spans="2:44" ht="15.95" customHeight="1" x14ac:dyDescent="0.25">
      <c r="B201" s="136" t="str">
        <f>FOOT2</f>
        <v>Toll-Free 866-941-7299</v>
      </c>
      <c r="C201" s="136"/>
      <c r="D201" s="136"/>
      <c r="E201" s="136"/>
      <c r="F201" s="136"/>
      <c r="G201" s="136"/>
      <c r="H201" s="136"/>
      <c r="I201" s="136"/>
      <c r="J201" s="136"/>
      <c r="K201" s="136"/>
      <c r="L201" s="136"/>
      <c r="M201" s="729"/>
      <c r="N201" s="729"/>
      <c r="O201" s="729"/>
      <c r="P201" s="729"/>
      <c r="Q201" s="729"/>
      <c r="R201" s="729"/>
      <c r="S201" s="729"/>
      <c r="T201" s="729"/>
      <c r="U201" s="729"/>
      <c r="V201" s="729"/>
      <c r="W201" s="729"/>
      <c r="X201" s="729"/>
      <c r="Y201" s="729"/>
      <c r="Z201" s="729"/>
      <c r="AA201" s="729"/>
      <c r="AB201" s="729"/>
      <c r="AC201" s="729"/>
      <c r="AD201" s="729"/>
      <c r="AE201" s="729"/>
      <c r="AF201" s="729"/>
      <c r="AG201" s="729"/>
      <c r="AH201" s="136"/>
      <c r="AI201" s="136"/>
      <c r="AJ201" s="136"/>
      <c r="AK201" s="136"/>
      <c r="AL201" s="136"/>
      <c r="AM201" s="136"/>
      <c r="AN201" s="136"/>
      <c r="AO201" s="136"/>
      <c r="AP201" s="136"/>
      <c r="AQ201" s="136"/>
      <c r="AR201" s="300" t="str">
        <f>FOOT5</f>
        <v/>
      </c>
    </row>
    <row r="202" spans="2:44" ht="15.95" customHeight="1" x14ac:dyDescent="0.25">
      <c r="B202" s="138" t="str">
        <f>FOOT3</f>
        <v>BizSavers@ameren.com</v>
      </c>
      <c r="C202" s="136"/>
      <c r="D202" s="136"/>
      <c r="E202" s="136"/>
      <c r="F202" s="136"/>
      <c r="G202" s="136"/>
      <c r="H202" s="136"/>
      <c r="I202" s="136"/>
      <c r="J202" s="136"/>
      <c r="K202" s="136"/>
      <c r="L202" s="136"/>
      <c r="M202" s="139"/>
      <c r="N202" s="136"/>
      <c r="O202" s="136"/>
      <c r="P202" s="139"/>
      <c r="Q202" s="139"/>
      <c r="R202" s="139"/>
      <c r="S202" s="139"/>
      <c r="T202" s="139"/>
      <c r="U202" s="139"/>
      <c r="V202" s="139"/>
      <c r="W202" s="140" t="str">
        <f>VERSION</f>
        <v>New Construction v3.8.0</v>
      </c>
      <c r="X202" s="139"/>
      <c r="Y202" s="139"/>
      <c r="Z202" s="139"/>
      <c r="AA202" s="139"/>
      <c r="AB202" s="139"/>
      <c r="AC202" s="139"/>
      <c r="AD202" s="139"/>
      <c r="AE202" s="136"/>
      <c r="AF202" s="136"/>
      <c r="AG202" s="136"/>
      <c r="AH202" s="136"/>
      <c r="AI202" s="136"/>
      <c r="AJ202" s="136"/>
      <c r="AK202" s="136"/>
      <c r="AL202" s="136"/>
      <c r="AM202" s="136"/>
      <c r="AN202" s="136"/>
      <c r="AO202" s="136"/>
      <c r="AP202" s="136"/>
      <c r="AQ202" s="136"/>
      <c r="AR202" s="300" t="str">
        <f>FOOT6</f>
        <v>Product of TRC Companies</v>
      </c>
    </row>
    <row r="203" spans="2:44" ht="15" hidden="1" customHeight="1" x14ac:dyDescent="0.25"/>
  </sheetData>
  <sheetProtection algorithmName="SHA-512" hashValue="CUa2u9JO5U3n3pywrVnWl7x/hohuHbfLEbppfUtvSDmFyhpBSOJ0gxiaVrAGAleH0o8GY0i9H4Gggq43EgdheA==" saltValue="zxaJgcbwYEuO5csIyLQGdA==" spinCount="100000" sheet="1" objects="1" scenarios="1" selectLockedCells="1"/>
  <mergeCells count="350">
    <mergeCell ref="BB34:BB35"/>
    <mergeCell ref="BC34:BC35"/>
    <mergeCell ref="BB24:BB25"/>
    <mergeCell ref="BC24:BC25"/>
    <mergeCell ref="BB26:BB27"/>
    <mergeCell ref="BC26:BC27"/>
    <mergeCell ref="BB28:BB29"/>
    <mergeCell ref="BC28:BC29"/>
    <mergeCell ref="BB30:BB31"/>
    <mergeCell ref="BC30:BC31"/>
    <mergeCell ref="BB32:BB33"/>
    <mergeCell ref="BC32:BC33"/>
    <mergeCell ref="BB14:BB15"/>
    <mergeCell ref="BC14:BC15"/>
    <mergeCell ref="BB16:BB17"/>
    <mergeCell ref="BC16:BC17"/>
    <mergeCell ref="BB18:BB19"/>
    <mergeCell ref="BC18:BC19"/>
    <mergeCell ref="BB20:BB21"/>
    <mergeCell ref="BC20:BC21"/>
    <mergeCell ref="BB22:BB23"/>
    <mergeCell ref="BC22:BC23"/>
    <mergeCell ref="Z16:AA17"/>
    <mergeCell ref="AB16:AC17"/>
    <mergeCell ref="B16:B17"/>
    <mergeCell ref="R11:U11"/>
    <mergeCell ref="V11:Y11"/>
    <mergeCell ref="B40:B41"/>
    <mergeCell ref="B18:B19"/>
    <mergeCell ref="B20:B21"/>
    <mergeCell ref="B22:B23"/>
    <mergeCell ref="B24:B25"/>
    <mergeCell ref="B26:B27"/>
    <mergeCell ref="B28:B29"/>
    <mergeCell ref="B30:B31"/>
    <mergeCell ref="B32:B33"/>
    <mergeCell ref="B34:B35"/>
    <mergeCell ref="B36:B37"/>
    <mergeCell ref="B38:B39"/>
    <mergeCell ref="S16:T17"/>
    <mergeCell ref="U16:Y17"/>
    <mergeCell ref="Q16:R17"/>
    <mergeCell ref="F32:K33"/>
    <mergeCell ref="L32:P33"/>
    <mergeCell ref="Q32:R33"/>
    <mergeCell ref="S32:T33"/>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68:B169"/>
    <mergeCell ref="B170:B171"/>
    <mergeCell ref="B172:B173"/>
    <mergeCell ref="B174:B175"/>
    <mergeCell ref="B176:B177"/>
    <mergeCell ref="B178:B17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8:B149"/>
    <mergeCell ref="B150:B151"/>
    <mergeCell ref="B152:B153"/>
    <mergeCell ref="B154:B155"/>
    <mergeCell ref="B156:B157"/>
    <mergeCell ref="B158:B159"/>
    <mergeCell ref="AQ1:AR1"/>
    <mergeCell ref="AQ2:AR3"/>
    <mergeCell ref="F14:K15"/>
    <mergeCell ref="L14:P15"/>
    <mergeCell ref="Q14:R15"/>
    <mergeCell ref="S14:T15"/>
    <mergeCell ref="U14:Y15"/>
    <mergeCell ref="Z14:AA15"/>
    <mergeCell ref="AB14:AC15"/>
    <mergeCell ref="AD14:AG14"/>
    <mergeCell ref="AH14:AJ15"/>
    <mergeCell ref="AK14:AN15"/>
    <mergeCell ref="AO14:AQ15"/>
    <mergeCell ref="Z11:AC11"/>
    <mergeCell ref="AD12:AG12"/>
    <mergeCell ref="R12:U13"/>
    <mergeCell ref="V12:Y13"/>
    <mergeCell ref="Z12:AC13"/>
    <mergeCell ref="AH1:AK1"/>
    <mergeCell ref="AL1:AP1"/>
    <mergeCell ref="AH2:AK3"/>
    <mergeCell ref="AL2:AP3"/>
    <mergeCell ref="M200:AG201"/>
    <mergeCell ref="B198:B199"/>
    <mergeCell ref="B186:B187"/>
    <mergeCell ref="B188:B189"/>
    <mergeCell ref="B190:B191"/>
    <mergeCell ref="B192:B193"/>
    <mergeCell ref="B194:B195"/>
    <mergeCell ref="B196:B197"/>
    <mergeCell ref="B184:B185"/>
    <mergeCell ref="AY14:AY15"/>
    <mergeCell ref="AZ14:AZ15"/>
    <mergeCell ref="BA14:BA15"/>
    <mergeCell ref="AD15:AE15"/>
    <mergeCell ref="AF15:AG15"/>
    <mergeCell ref="B180:B181"/>
    <mergeCell ref="B182:B183"/>
    <mergeCell ref="B160:B161"/>
    <mergeCell ref="B138:B139"/>
    <mergeCell ref="B140:B141"/>
    <mergeCell ref="B142:B143"/>
    <mergeCell ref="B144:B145"/>
    <mergeCell ref="B146:B147"/>
    <mergeCell ref="C14:E15"/>
    <mergeCell ref="C16:E17"/>
    <mergeCell ref="C20:E21"/>
    <mergeCell ref="C24:E25"/>
    <mergeCell ref="C28:E29"/>
    <mergeCell ref="C32:E33"/>
    <mergeCell ref="B162:B163"/>
    <mergeCell ref="B164:B165"/>
    <mergeCell ref="B166:B167"/>
    <mergeCell ref="F16:K17"/>
    <mergeCell ref="L16:P17"/>
    <mergeCell ref="AF16:AG17"/>
    <mergeCell ref="AH16:AJ17"/>
    <mergeCell ref="AK16:AN17"/>
    <mergeCell ref="AO16:AQ17"/>
    <mergeCell ref="AU16:AU17"/>
    <mergeCell ref="AV16:AV17"/>
    <mergeCell ref="AW16:AW17"/>
    <mergeCell ref="AX16:AX17"/>
    <mergeCell ref="AU14:AU15"/>
    <mergeCell ref="AV14:AV15"/>
    <mergeCell ref="AW14:AW15"/>
    <mergeCell ref="AX14:AX15"/>
    <mergeCell ref="AY16:AY17"/>
    <mergeCell ref="AZ16:AZ17"/>
    <mergeCell ref="BA16:BA17"/>
    <mergeCell ref="C18:E19"/>
    <mergeCell ref="F18:K19"/>
    <mergeCell ref="L18:P19"/>
    <mergeCell ref="Q18:R19"/>
    <mergeCell ref="S18:T19"/>
    <mergeCell ref="U18:Y19"/>
    <mergeCell ref="Z18:AA19"/>
    <mergeCell ref="AB18:AC19"/>
    <mergeCell ref="AD18:AE19"/>
    <mergeCell ref="AF18:AG19"/>
    <mergeCell ref="AH18:AJ19"/>
    <mergeCell ref="AK18:AN19"/>
    <mergeCell ref="AO18:AQ19"/>
    <mergeCell ref="AU18:AU19"/>
    <mergeCell ref="AV18:AV19"/>
    <mergeCell ref="AW18:AW19"/>
    <mergeCell ref="AX18:AX19"/>
    <mergeCell ref="AY18:AY19"/>
    <mergeCell ref="AZ18:AZ19"/>
    <mergeCell ref="BA18:BA19"/>
    <mergeCell ref="AD16:AE17"/>
    <mergeCell ref="AU20:AU21"/>
    <mergeCell ref="AV20:AV21"/>
    <mergeCell ref="AW20:AW21"/>
    <mergeCell ref="AX20:AX21"/>
    <mergeCell ref="AY20:AY21"/>
    <mergeCell ref="AZ20:AZ21"/>
    <mergeCell ref="F20:K21"/>
    <mergeCell ref="L20:P21"/>
    <mergeCell ref="Q20:R21"/>
    <mergeCell ref="S20:T21"/>
    <mergeCell ref="U20:Y21"/>
    <mergeCell ref="Z20:AA21"/>
    <mergeCell ref="AB20:AC21"/>
    <mergeCell ref="AD20:AE21"/>
    <mergeCell ref="AF20:AG21"/>
    <mergeCell ref="BA20:BA21"/>
    <mergeCell ref="C22:E23"/>
    <mergeCell ref="F22:K23"/>
    <mergeCell ref="L22:P23"/>
    <mergeCell ref="Q22:R23"/>
    <mergeCell ref="S22:T23"/>
    <mergeCell ref="U22:Y23"/>
    <mergeCell ref="Z22:AA23"/>
    <mergeCell ref="AB22:AC23"/>
    <mergeCell ref="AD22:AE23"/>
    <mergeCell ref="AF22:AG23"/>
    <mergeCell ref="AH22:AJ23"/>
    <mergeCell ref="AK22:AN23"/>
    <mergeCell ref="AO22:AQ23"/>
    <mergeCell ref="AU22:AU23"/>
    <mergeCell ref="AV22:AV23"/>
    <mergeCell ref="AW22:AW23"/>
    <mergeCell ref="AX22:AX23"/>
    <mergeCell ref="AY22:AY23"/>
    <mergeCell ref="AZ22:AZ23"/>
    <mergeCell ref="BA22:BA23"/>
    <mergeCell ref="AH20:AJ21"/>
    <mergeCell ref="AK20:AN21"/>
    <mergeCell ref="AO20:AQ21"/>
    <mergeCell ref="AU24:AU25"/>
    <mergeCell ref="AV24:AV25"/>
    <mergeCell ref="AW24:AW25"/>
    <mergeCell ref="AX24:AX25"/>
    <mergeCell ref="AY24:AY25"/>
    <mergeCell ref="AZ24:AZ25"/>
    <mergeCell ref="F24:K25"/>
    <mergeCell ref="L24:P25"/>
    <mergeCell ref="Q24:R25"/>
    <mergeCell ref="S24:T25"/>
    <mergeCell ref="U24:Y25"/>
    <mergeCell ref="Z24:AA25"/>
    <mergeCell ref="AB24:AC25"/>
    <mergeCell ref="AD24:AE25"/>
    <mergeCell ref="AF24:AG25"/>
    <mergeCell ref="BA24:BA25"/>
    <mergeCell ref="C26:E27"/>
    <mergeCell ref="F26:K27"/>
    <mergeCell ref="L26:P27"/>
    <mergeCell ref="Q26:R27"/>
    <mergeCell ref="S26:T27"/>
    <mergeCell ref="U26:Y27"/>
    <mergeCell ref="Z26:AA27"/>
    <mergeCell ref="AB26:AC27"/>
    <mergeCell ref="AD26:AE27"/>
    <mergeCell ref="AF26:AG27"/>
    <mergeCell ref="AH26:AJ27"/>
    <mergeCell ref="AK26:AN27"/>
    <mergeCell ref="AO26:AQ27"/>
    <mergeCell ref="AU26:AU27"/>
    <mergeCell ref="AV26:AV27"/>
    <mergeCell ref="AW26:AW27"/>
    <mergeCell ref="AX26:AX27"/>
    <mergeCell ref="AY26:AY27"/>
    <mergeCell ref="AZ26:AZ27"/>
    <mergeCell ref="BA26:BA27"/>
    <mergeCell ref="AH24:AJ25"/>
    <mergeCell ref="AK24:AN25"/>
    <mergeCell ref="AO24:AQ25"/>
    <mergeCell ref="F28:K29"/>
    <mergeCell ref="L28:P29"/>
    <mergeCell ref="Q28:R29"/>
    <mergeCell ref="S28:T29"/>
    <mergeCell ref="U28:Y29"/>
    <mergeCell ref="Z28:AA29"/>
    <mergeCell ref="AB28:AC29"/>
    <mergeCell ref="AD28:AE29"/>
    <mergeCell ref="AF28:AG29"/>
    <mergeCell ref="C30:E31"/>
    <mergeCell ref="F30:K31"/>
    <mergeCell ref="L30:P31"/>
    <mergeCell ref="Q30:R31"/>
    <mergeCell ref="S30:T31"/>
    <mergeCell ref="U30:Y31"/>
    <mergeCell ref="Z30:AA31"/>
    <mergeCell ref="AB30:AC31"/>
    <mergeCell ref="AD30:AE31"/>
    <mergeCell ref="BA32:BA33"/>
    <mergeCell ref="U32:Y33"/>
    <mergeCell ref="Z32:AA33"/>
    <mergeCell ref="AB32:AC33"/>
    <mergeCell ref="AD32:AE33"/>
    <mergeCell ref="AF32:AG33"/>
    <mergeCell ref="AH32:AJ33"/>
    <mergeCell ref="AK32:AN33"/>
    <mergeCell ref="AO32:AQ33"/>
    <mergeCell ref="AU32:AU33"/>
    <mergeCell ref="BA28:BA29"/>
    <mergeCell ref="AF30:AG31"/>
    <mergeCell ref="AH30:AJ31"/>
    <mergeCell ref="AK30:AN31"/>
    <mergeCell ref="AO30:AQ31"/>
    <mergeCell ref="AU30:AU31"/>
    <mergeCell ref="AV30:AV31"/>
    <mergeCell ref="AW30:AW31"/>
    <mergeCell ref="AX30:AX31"/>
    <mergeCell ref="AY30:AY31"/>
    <mergeCell ref="AZ30:AZ31"/>
    <mergeCell ref="AX28:AX29"/>
    <mergeCell ref="AY28:AY29"/>
    <mergeCell ref="AZ28:AZ29"/>
    <mergeCell ref="C34:E35"/>
    <mergeCell ref="F34:K35"/>
    <mergeCell ref="L34:P35"/>
    <mergeCell ref="Q34:R35"/>
    <mergeCell ref="S34:T35"/>
    <mergeCell ref="U34:Y35"/>
    <mergeCell ref="Z34:AA35"/>
    <mergeCell ref="AB34:AC35"/>
    <mergeCell ref="AD34:AE35"/>
    <mergeCell ref="AZ34:AZ35"/>
    <mergeCell ref="BA34:BA35"/>
    <mergeCell ref="Q9:AD10"/>
    <mergeCell ref="AF34:AG35"/>
    <mergeCell ref="AH34:AJ35"/>
    <mergeCell ref="AK34:AN35"/>
    <mergeCell ref="AO34:AQ35"/>
    <mergeCell ref="AU34:AU35"/>
    <mergeCell ref="AV34:AV35"/>
    <mergeCell ref="AW34:AW35"/>
    <mergeCell ref="AX34:AX35"/>
    <mergeCell ref="AY34:AY35"/>
    <mergeCell ref="AV32:AV33"/>
    <mergeCell ref="AW32:AW33"/>
    <mergeCell ref="AX32:AX33"/>
    <mergeCell ref="AY32:AY33"/>
    <mergeCell ref="AZ32:AZ33"/>
    <mergeCell ref="BA30:BA31"/>
    <mergeCell ref="AH28:AJ29"/>
    <mergeCell ref="AK28:AN29"/>
    <mergeCell ref="AO28:AQ29"/>
    <mergeCell ref="AU28:AU29"/>
    <mergeCell ref="AV28:AV29"/>
    <mergeCell ref="AW28:AW29"/>
  </mergeCells>
  <conditionalFormatting sqref="AK16 AK18 AK20 AK22 AK24 AK26 AK28 AK30 AK32 AK34">
    <cfRule type="expression" dxfId="131" priority="20">
      <formula>ISNUMBER(AK16)=FALSE</formula>
    </cfRule>
  </conditionalFormatting>
  <conditionalFormatting sqref="Q16:AG17 Q20:AG35 U18:AG19">
    <cfRule type="expression" dxfId="130" priority="19">
      <formula>AND(ISBLANK($F16)=FALSE,ISBLANK(Q16)=TRUE)</formula>
    </cfRule>
  </conditionalFormatting>
  <conditionalFormatting sqref="Q18:T19">
    <cfRule type="expression" dxfId="129" priority="18">
      <formula>AND(ISBLANK($F18)=FALSE,ISBLANK(Q18)=TRUE)</formula>
    </cfRule>
  </conditionalFormatting>
  <conditionalFormatting sqref="L16:P17 L20:P35">
    <cfRule type="expression" dxfId="128" priority="17">
      <formula>AND(ISBLANK($F16)=FALSE,ISBLANK(L16)=TRUE)</formula>
    </cfRule>
  </conditionalFormatting>
  <conditionalFormatting sqref="L18:P19">
    <cfRule type="expression" dxfId="127" priority="16">
      <formula>AND(ISBLANK($F18)=FALSE,ISBLANK(L18)=TRUE)</formula>
    </cfRule>
  </conditionalFormatting>
  <conditionalFormatting sqref="AQ2:AR3">
    <cfRule type="cellIs" dxfId="126" priority="3" operator="equal">
      <formula>1</formula>
    </cfRule>
    <cfRule type="cellIs" dxfId="125" priority="4" operator="between">
      <formula>0.51</formula>
      <formula>0.99</formula>
    </cfRule>
    <cfRule type="cellIs" dxfId="124" priority="5" operator="lessThanOrEqual">
      <formula>0.5</formula>
    </cfRule>
  </conditionalFormatting>
  <conditionalFormatting sqref="AH2 AL2">
    <cfRule type="expression" dxfId="123" priority="1">
      <formula>OR(PROJSTATUS=PROJSTATELI,PROJSTATUS=PROJSTATEXP,PROJSTATUS=PROJSTATUNDER)</formula>
    </cfRule>
    <cfRule type="expression" dxfId="122" priority="2">
      <formula>PROJSTATUS=PROJSTATFILLINITIAL</formula>
    </cfRule>
    <cfRule type="expression" dxfId="121" priority="6">
      <formula>PROJSTATUS=PROJSTATPREAPPROVE</formula>
    </cfRule>
    <cfRule type="expression" dxfId="120" priority="7">
      <formula>OR(PROJSTATUS=PROJSTATSSUBMITINITIAL,PROJSTATUS=PROJSTATREVIEW)</formula>
    </cfRule>
  </conditionalFormatting>
  <dataValidations count="7">
    <dataValidation type="decimal" allowBlank="1" showInputMessage="1" showErrorMessage="1" prompt="Enter the kWh use per unit of equipment in one year." sqref="AB16 S16 AB34 S20 S22 S24 S26 S28 S30 S32 S34 S18 AB20 AB22 AB24 AB26 AB28 AB30 AB32 AB18" xr:uid="{00000000-0002-0000-2100-000000000000}">
      <formula1>0</formula1>
      <formula2>999999999</formula2>
    </dataValidation>
    <dataValidation type="decimal" allowBlank="1" showInputMessage="1" showErrorMessage="1" error="Please enter a numerical value" sqref="Z16 Q16 Z34 Q20 Q22 Q24 Q26 Q28 Q30 Q32 Q34 Q18 Z20 Z22 Z24 Z26 Z28 Z30 Z32 Z18" xr:uid="{00000000-0002-0000-2100-000001000000}">
      <formula1>0</formula1>
      <formula2>999999</formula2>
    </dataValidation>
    <dataValidation type="list" allowBlank="1" showInputMessage="1" showErrorMessage="1" sqref="AW16:AW35" xr:uid="{00000000-0002-0000-2100-000002000000}">
      <formula1>ENDUSECAT</formula1>
    </dataValidation>
    <dataValidation type="decimal" allowBlank="1" showInputMessage="1" showErrorMessage="1" error="Please enter a numerical value" prompt="NOTE: This is the TOTAL Masterial or Labor COST of the measure, not a per UNIT basis._x000a__x000a_For New or Failed Replacement, this is the total cost difference between purchasing the baseline equipment vs. what is being installed." sqref="AF16 AD16 AF32 AD20 AD22 AD24 AD26 AD28 AD30 AD32 AD34 AF34 AF20 AF22 AF24 AF26 AF28 AF30 AF18 AD18" xr:uid="{00000000-0002-0000-2100-000003000000}">
      <formula1>0</formula1>
      <formula2>999999999</formula2>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xr:uid="{00000000-0002-0000-2100-000004000000}">
      <formula1>IF(ISBLANK(F16),NONPRESCPROGRAM,"")</formula1>
    </dataValidation>
    <dataValidation allowBlank="1" showInputMessage="1" showErrorMessage="1" prompt="Baseline Detail is the equipment currently present that is being replaced._x000a__x000a_For New or Failed Replacement, this is the code-minimum equipment or control strategy that could be installed in lieu of the more efficient option." sqref="L16 L18 L34 L20 L22 L24 L26 L28 L30 L32" xr:uid="{00000000-0002-0000-2100-000005000000}"/>
    <dataValidation type="list" allowBlank="1" showInputMessage="1" showErrorMessage="1" prompt="Select the measure type that is closest to the selections in this list. If not listed, select &quot;Others&quot;" sqref="F16:K35" xr:uid="{00000000-0002-0000-2100-000006000000}">
      <formula1>CMEMOTORDESC</formula1>
    </dataValidation>
  </dataValidations>
  <hyperlinks>
    <hyperlink ref="B202" r:id="rId1" display="NIPSCO.Savings@LMCO.com" xr:uid="{00000000-0004-0000-2100-000000000000}"/>
  </hyperlinks>
  <pageMargins left="0.25" right="0.25" top="0.25" bottom="0.25" header="0.25" footer="0.25"/>
  <pageSetup scale="62" fitToHeight="0" orientation="landscape"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pageSetUpPr fitToPage="1"/>
  </sheetPr>
  <dimension ref="A1:BZ203"/>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135" customWidth="1"/>
    <col min="46" max="46" width="4.7109375" style="135" hidden="1" customWidth="1"/>
    <col min="47" max="78" width="9.140625" style="135" hidden="1" customWidth="1"/>
    <col min="79" max="16384" width="9.140625" hidden="1"/>
  </cols>
  <sheetData>
    <row r="1" spans="2:78" ht="15.95" customHeight="1" x14ac:dyDescent="0.3">
      <c r="AH1" s="711" t="s">
        <v>494</v>
      </c>
      <c r="AI1" s="712"/>
      <c r="AJ1" s="712"/>
      <c r="AK1" s="712"/>
      <c r="AL1" s="723" t="s">
        <v>911</v>
      </c>
      <c r="AM1" s="723"/>
      <c r="AN1" s="723"/>
      <c r="AO1" s="723"/>
      <c r="AP1" s="723"/>
      <c r="AQ1" s="717" t="s">
        <v>499</v>
      </c>
      <c r="AR1" s="718"/>
    </row>
    <row r="2" spans="2:78" ht="15.95" customHeight="1" x14ac:dyDescent="0.25">
      <c r="AH2" s="713" t="str">
        <f ca="1">INCENSTATUS</f>
        <v>---</v>
      </c>
      <c r="AI2" s="714"/>
      <c r="AJ2" s="714"/>
      <c r="AK2" s="714"/>
      <c r="AL2" s="724" t="str">
        <f ca="1">PROJSTATUS</f>
        <v>Please Complete Initial Application</v>
      </c>
      <c r="AM2" s="724"/>
      <c r="AN2" s="724"/>
      <c r="AO2" s="724"/>
      <c r="AP2" s="724"/>
      <c r="AQ2" s="719">
        <f ca="1">PROGRESSSTATUS</f>
        <v>0</v>
      </c>
      <c r="AR2" s="720"/>
    </row>
    <row r="3" spans="2:78" ht="15.95" customHeight="1" x14ac:dyDescent="0.25">
      <c r="AH3" s="715"/>
      <c r="AI3" s="716"/>
      <c r="AJ3" s="716"/>
      <c r="AK3" s="716"/>
      <c r="AL3" s="725"/>
      <c r="AM3" s="725"/>
      <c r="AN3" s="725"/>
      <c r="AO3" s="725"/>
      <c r="AP3" s="725"/>
      <c r="AQ3" s="721"/>
      <c r="AR3" s="722"/>
    </row>
    <row r="4" spans="2:78" ht="15.95" customHeight="1" x14ac:dyDescent="0.25"/>
    <row r="5" spans="2:78" ht="15.95" customHeight="1" x14ac:dyDescent="0.25"/>
    <row r="6" spans="2:78" ht="15.95" customHeight="1" x14ac:dyDescent="0.25">
      <c r="AU6" s="145" t="s">
        <v>1372</v>
      </c>
      <c r="AV6" s="145">
        <f>PROJID</f>
        <v>0</v>
      </c>
    </row>
    <row r="7" spans="2:78" ht="15.95" customHeight="1" x14ac:dyDescent="0.25">
      <c r="AU7" s="219"/>
      <c r="AV7" s="219" t="s">
        <v>1184</v>
      </c>
      <c r="AW7" s="219" t="s">
        <v>249</v>
      </c>
      <c r="AX7" s="219" t="s">
        <v>1336</v>
      </c>
      <c r="AY7" s="219"/>
    </row>
    <row r="8" spans="2:78" ht="15.95" customHeight="1" x14ac:dyDescent="0.25">
      <c r="AU8" s="219" t="s">
        <v>237</v>
      </c>
      <c r="AV8" s="219" t="str">
        <f>CBPRESE</f>
        <v>NA</v>
      </c>
      <c r="AW8" s="219" t="str">
        <f>CBCUSE</f>
        <v>NA</v>
      </c>
      <c r="AX8" s="219" t="str">
        <f>CBALL</f>
        <v>NA</v>
      </c>
      <c r="AY8" s="219"/>
    </row>
    <row r="9" spans="2:78" s="63" customFormat="1" ht="15.95" customHeight="1" x14ac:dyDescent="0.25">
      <c r="B9" s="135"/>
      <c r="C9" s="135"/>
      <c r="D9" s="135"/>
      <c r="E9" s="135"/>
      <c r="F9" s="135"/>
      <c r="G9" s="135"/>
      <c r="H9" s="135"/>
      <c r="I9" s="135"/>
      <c r="J9" s="135"/>
      <c r="K9" s="135"/>
      <c r="L9" s="135"/>
      <c r="M9" s="135"/>
      <c r="N9" s="135"/>
      <c r="O9" s="135"/>
      <c r="P9" s="135"/>
      <c r="Q9" s="135"/>
      <c r="R9" s="971" t="str">
        <f>CONCATENATE(M4S5," ","Summary")</f>
        <v>Compressed Air Summary</v>
      </c>
      <c r="S9" s="971"/>
      <c r="T9" s="971"/>
      <c r="U9" s="971"/>
      <c r="V9" s="971"/>
      <c r="W9" s="971"/>
      <c r="X9" s="971"/>
      <c r="Y9" s="971"/>
      <c r="Z9" s="971"/>
      <c r="AA9" s="971"/>
      <c r="AB9" s="971"/>
      <c r="AC9" s="971"/>
      <c r="AD9" s="135"/>
      <c r="AE9" s="135"/>
      <c r="AF9" s="135"/>
      <c r="AG9" s="135"/>
      <c r="AH9" s="135"/>
      <c r="AI9" s="135"/>
      <c r="AJ9" s="135"/>
      <c r="AK9" s="135"/>
      <c r="AL9" s="135"/>
      <c r="AM9" s="135"/>
      <c r="AN9" s="135"/>
      <c r="AO9" s="135"/>
      <c r="AP9" s="135"/>
      <c r="AQ9" s="135"/>
      <c r="AR9" s="135"/>
      <c r="AS9" s="135"/>
      <c r="AT9" s="135"/>
      <c r="AU9" s="219"/>
      <c r="AV9" s="219"/>
      <c r="AW9" s="219"/>
      <c r="AX9" s="219"/>
      <c r="AY9" s="219"/>
      <c r="AZ9" s="135"/>
      <c r="BA9" s="135"/>
      <c r="BB9" s="135"/>
      <c r="BC9" s="135"/>
      <c r="BD9" s="135"/>
      <c r="BE9" s="135"/>
      <c r="BF9" s="135"/>
      <c r="BG9" s="135"/>
      <c r="BH9" s="135"/>
      <c r="BI9" s="135"/>
      <c r="BJ9" s="135"/>
      <c r="BK9" s="135"/>
      <c r="BL9" s="135"/>
      <c r="BM9" s="135"/>
      <c r="BN9" s="135"/>
      <c r="BO9" s="135"/>
      <c r="BP9" s="135"/>
      <c r="BQ9" s="135"/>
      <c r="BR9" s="135"/>
      <c r="BS9" s="135"/>
      <c r="BT9" s="135"/>
      <c r="BU9" s="135"/>
      <c r="BV9" s="135"/>
      <c r="BW9" s="135"/>
      <c r="BX9" s="135"/>
      <c r="BY9" s="135"/>
      <c r="BZ9" s="135"/>
    </row>
    <row r="10" spans="2:78" ht="15.95" customHeight="1" x14ac:dyDescent="0.25">
      <c r="B10" s="135"/>
      <c r="C10" s="135"/>
      <c r="D10" s="135"/>
      <c r="E10" s="135"/>
      <c r="F10" s="135"/>
      <c r="G10" s="135"/>
      <c r="H10" s="135"/>
      <c r="I10" s="135"/>
      <c r="J10" s="135"/>
      <c r="K10" s="135"/>
      <c r="L10" s="135"/>
      <c r="M10" s="135"/>
      <c r="N10" s="135"/>
      <c r="O10" s="135"/>
      <c r="P10" s="147"/>
      <c r="Q10" s="147"/>
      <c r="R10" s="971"/>
      <c r="S10" s="971"/>
      <c r="T10" s="971"/>
      <c r="U10" s="971"/>
      <c r="V10" s="971"/>
      <c r="W10" s="971"/>
      <c r="X10" s="971"/>
      <c r="Y10" s="971"/>
      <c r="Z10" s="971"/>
      <c r="AA10" s="971"/>
      <c r="AB10" s="971"/>
      <c r="AC10" s="971"/>
      <c r="AD10" s="147"/>
      <c r="AE10" s="147"/>
      <c r="AF10" s="147"/>
      <c r="AG10" s="135"/>
      <c r="AH10" s="135"/>
      <c r="AI10" s="135"/>
      <c r="AJ10" s="135"/>
      <c r="AK10" s="135"/>
      <c r="AL10" s="135"/>
      <c r="AM10" s="135"/>
      <c r="AN10" s="135"/>
      <c r="AO10" s="135"/>
      <c r="AP10" s="135"/>
      <c r="AQ10" s="135"/>
      <c r="AR10" s="135"/>
      <c r="AU10" s="219" t="s">
        <v>642</v>
      </c>
      <c r="AV10" s="219" t="str">
        <f>PAYPRESE</f>
        <v>NA</v>
      </c>
      <c r="AW10" s="219" t="str">
        <f>PAYCUSE</f>
        <v>NA</v>
      </c>
      <c r="AX10" s="219" t="str">
        <f>PAYALL</f>
        <v>NA</v>
      </c>
      <c r="AY10" s="219"/>
    </row>
    <row r="11" spans="2:78" ht="15.95" customHeight="1" x14ac:dyDescent="0.3">
      <c r="B11" s="135"/>
      <c r="C11" s="135"/>
      <c r="D11" s="135"/>
      <c r="E11" s="135"/>
      <c r="F11" s="135"/>
      <c r="G11" s="135"/>
      <c r="H11" s="135"/>
      <c r="I11" s="135"/>
      <c r="J11" s="135"/>
      <c r="K11" s="135"/>
      <c r="L11" s="135"/>
      <c r="M11" s="135"/>
      <c r="N11" s="135"/>
      <c r="O11" s="135"/>
      <c r="P11" s="135"/>
      <c r="Q11" s="135"/>
      <c r="R11" s="974" t="s">
        <v>69</v>
      </c>
      <c r="S11" s="974"/>
      <c r="T11" s="974"/>
      <c r="U11" s="974"/>
      <c r="V11" s="974" t="s">
        <v>70</v>
      </c>
      <c r="W11" s="974"/>
      <c r="X11" s="974"/>
      <c r="Y11" s="974"/>
      <c r="Z11" s="974" t="s">
        <v>71</v>
      </c>
      <c r="AA11" s="974"/>
      <c r="AB11" s="974"/>
      <c r="AC11" s="974"/>
      <c r="AD11" s="135"/>
      <c r="AE11" s="135"/>
      <c r="AF11" s="135"/>
      <c r="AG11" s="135"/>
      <c r="AH11" s="135"/>
      <c r="AI11" s="135"/>
      <c r="AJ11" s="135"/>
      <c r="AK11" s="135"/>
      <c r="AL11" s="135"/>
      <c r="AM11" s="135"/>
      <c r="AN11" s="135"/>
      <c r="AO11" s="135"/>
      <c r="AP11" s="135"/>
      <c r="AQ11" s="135"/>
      <c r="AR11" s="135"/>
      <c r="AU11" s="220" t="s">
        <v>1324</v>
      </c>
      <c r="AV11" s="145"/>
      <c r="AW11" s="145"/>
      <c r="AX11" s="145"/>
      <c r="AY11" s="145"/>
    </row>
    <row r="12" spans="2:78" ht="15.95" customHeight="1" x14ac:dyDescent="0.25">
      <c r="B12" s="135"/>
      <c r="C12" s="135"/>
      <c r="D12" s="135"/>
      <c r="E12" s="135"/>
      <c r="F12" s="135"/>
      <c r="G12" s="135"/>
      <c r="H12" s="135"/>
      <c r="I12" s="135"/>
      <c r="J12" s="135"/>
      <c r="K12" s="135"/>
      <c r="L12" s="135"/>
      <c r="M12" s="135"/>
      <c r="N12" s="135"/>
      <c r="O12" s="135"/>
      <c r="P12" s="135"/>
      <c r="Q12" s="135"/>
      <c r="R12" s="1113">
        <f>SUM(AK16:AN199)</f>
        <v>0</v>
      </c>
      <c r="S12" s="1113"/>
      <c r="T12" s="1113"/>
      <c r="U12" s="1113"/>
      <c r="V12" s="1113">
        <f>SUM(AH16:AJ199)</f>
        <v>0</v>
      </c>
      <c r="W12" s="1113"/>
      <c r="X12" s="1113"/>
      <c r="Y12" s="1113"/>
      <c r="Z12" s="1114">
        <f>SUM(AO16:AQ199)</f>
        <v>0</v>
      </c>
      <c r="AA12" s="1114"/>
      <c r="AB12" s="1114"/>
      <c r="AC12" s="1114"/>
      <c r="AD12" s="1337"/>
      <c r="AE12" s="1337"/>
      <c r="AF12" s="1337"/>
      <c r="AG12" s="1337"/>
      <c r="AH12" s="135"/>
      <c r="AI12" s="135"/>
      <c r="AJ12" s="135"/>
      <c r="AK12" s="135"/>
      <c r="AL12" s="135"/>
      <c r="AM12" s="135"/>
      <c r="AN12" s="135"/>
      <c r="AO12" s="135"/>
      <c r="AP12" s="135"/>
      <c r="AQ12" s="135"/>
      <c r="AR12" s="135"/>
    </row>
    <row r="13" spans="2:78" s="63" customFormat="1" ht="15.95" customHeight="1" x14ac:dyDescent="0.25">
      <c r="B13" s="135"/>
      <c r="C13" s="135"/>
      <c r="D13" s="135"/>
      <c r="E13" s="135"/>
      <c r="F13" s="135"/>
      <c r="G13" s="135"/>
      <c r="H13" s="135"/>
      <c r="I13" s="135"/>
      <c r="J13" s="135"/>
      <c r="K13" s="135"/>
      <c r="L13" s="135"/>
      <c r="M13" s="135"/>
      <c r="N13" s="135"/>
      <c r="O13" s="135"/>
      <c r="P13" s="135"/>
      <c r="Q13" s="135"/>
      <c r="R13" s="1113"/>
      <c r="S13" s="1113"/>
      <c r="T13" s="1113"/>
      <c r="U13" s="1113"/>
      <c r="V13" s="1113"/>
      <c r="W13" s="1113"/>
      <c r="X13" s="1113"/>
      <c r="Y13" s="1113"/>
      <c r="Z13" s="1114"/>
      <c r="AA13" s="1114"/>
      <c r="AB13" s="1114"/>
      <c r="AC13" s="1114"/>
      <c r="AD13" s="187"/>
      <c r="AE13" s="187"/>
      <c r="AF13" s="187"/>
      <c r="AG13" s="187"/>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row>
    <row r="14" spans="2:78" ht="15.95" customHeight="1" x14ac:dyDescent="0.25">
      <c r="B14" s="135"/>
      <c r="C14" s="1060" t="s">
        <v>1005</v>
      </c>
      <c r="D14" s="1060"/>
      <c r="E14" s="1060"/>
      <c r="F14" s="1060" t="s">
        <v>912</v>
      </c>
      <c r="G14" s="1060"/>
      <c r="H14" s="1060"/>
      <c r="I14" s="1060"/>
      <c r="J14" s="1060"/>
      <c r="K14" s="1060"/>
      <c r="L14" s="1060" t="s">
        <v>909</v>
      </c>
      <c r="M14" s="1060"/>
      <c r="N14" s="1060"/>
      <c r="O14" s="1060"/>
      <c r="P14" s="1060"/>
      <c r="Q14" s="1060" t="s">
        <v>91</v>
      </c>
      <c r="R14" s="1060"/>
      <c r="S14" s="1115" t="s">
        <v>107</v>
      </c>
      <c r="T14" s="1115"/>
      <c r="U14" s="1060" t="s">
        <v>252</v>
      </c>
      <c r="V14" s="1060"/>
      <c r="W14" s="1060"/>
      <c r="X14" s="1060"/>
      <c r="Y14" s="1060"/>
      <c r="Z14" s="1060" t="s">
        <v>91</v>
      </c>
      <c r="AA14" s="1060"/>
      <c r="AB14" s="1115" t="s">
        <v>107</v>
      </c>
      <c r="AC14" s="1115"/>
      <c r="AD14" s="1060" t="s">
        <v>103</v>
      </c>
      <c r="AE14" s="1060"/>
      <c r="AF14" s="1060"/>
      <c r="AG14" s="1060"/>
      <c r="AH14" s="1060" t="s">
        <v>103</v>
      </c>
      <c r="AI14" s="1060"/>
      <c r="AJ14" s="1060"/>
      <c r="AK14" s="1060" t="s">
        <v>102</v>
      </c>
      <c r="AL14" s="1060"/>
      <c r="AM14" s="1060"/>
      <c r="AN14" s="1060"/>
      <c r="AO14" s="1060" t="s">
        <v>109</v>
      </c>
      <c r="AP14" s="1060"/>
      <c r="AQ14" s="1060"/>
      <c r="AR14" s="135"/>
      <c r="AS14" s="145"/>
      <c r="AT14" s="145"/>
      <c r="AU14" s="1012" t="s">
        <v>237</v>
      </c>
      <c r="AV14" s="1012" t="s">
        <v>643</v>
      </c>
      <c r="AW14" s="1012" t="s">
        <v>637</v>
      </c>
      <c r="AX14" s="1012" t="s">
        <v>152</v>
      </c>
      <c r="AY14" s="1012" t="s">
        <v>141</v>
      </c>
      <c r="AZ14" s="1012" t="s">
        <v>249</v>
      </c>
      <c r="BA14" s="1012" t="s">
        <v>910</v>
      </c>
      <c r="BB14" s="1012" t="s">
        <v>642</v>
      </c>
      <c r="BC14" s="1012" t="s">
        <v>521</v>
      </c>
    </row>
    <row r="15" spans="2:78" ht="15.95" customHeight="1" thickBot="1" x14ac:dyDescent="0.3">
      <c r="B15" s="135"/>
      <c r="C15" s="1061"/>
      <c r="D15" s="1061"/>
      <c r="E15" s="1061"/>
      <c r="F15" s="1061"/>
      <c r="G15" s="1061"/>
      <c r="H15" s="1061"/>
      <c r="I15" s="1061"/>
      <c r="J15" s="1061"/>
      <c r="K15" s="1061"/>
      <c r="L15" s="1061"/>
      <c r="M15" s="1061"/>
      <c r="N15" s="1061"/>
      <c r="O15" s="1061"/>
      <c r="P15" s="1061"/>
      <c r="Q15" s="1061"/>
      <c r="R15" s="1061"/>
      <c r="S15" s="1116"/>
      <c r="T15" s="1116"/>
      <c r="U15" s="1061"/>
      <c r="V15" s="1061"/>
      <c r="W15" s="1061"/>
      <c r="X15" s="1061"/>
      <c r="Y15" s="1061"/>
      <c r="Z15" s="1061"/>
      <c r="AA15" s="1061"/>
      <c r="AB15" s="1116"/>
      <c r="AC15" s="1116"/>
      <c r="AD15" s="1061" t="s">
        <v>104</v>
      </c>
      <c r="AE15" s="1061"/>
      <c r="AF15" s="1061" t="s">
        <v>105</v>
      </c>
      <c r="AG15" s="1061"/>
      <c r="AH15" s="1061"/>
      <c r="AI15" s="1061"/>
      <c r="AJ15" s="1061"/>
      <c r="AK15" s="1061"/>
      <c r="AL15" s="1061"/>
      <c r="AM15" s="1061"/>
      <c r="AN15" s="1061"/>
      <c r="AO15" s="1061"/>
      <c r="AP15" s="1061"/>
      <c r="AQ15" s="1061"/>
      <c r="AR15" s="135"/>
      <c r="AS15" s="145"/>
      <c r="AT15" s="145"/>
      <c r="AU15" s="1013"/>
      <c r="AV15" s="1013"/>
      <c r="AW15" s="1013"/>
      <c r="AX15" s="1013"/>
      <c r="AY15" s="1013"/>
      <c r="AZ15" s="1013"/>
      <c r="BA15" s="1013"/>
      <c r="BB15" s="1013"/>
      <c r="BC15" s="1013"/>
    </row>
    <row r="16" spans="2:78" ht="15.95" customHeight="1" x14ac:dyDescent="0.25">
      <c r="B16" s="1064">
        <v>1</v>
      </c>
      <c r="C16" s="1103"/>
      <c r="D16" s="1103"/>
      <c r="E16" s="1103"/>
      <c r="F16" s="1111"/>
      <c r="G16" s="1111"/>
      <c r="H16" s="1111"/>
      <c r="I16" s="1111"/>
      <c r="J16" s="1111"/>
      <c r="K16" s="1111"/>
      <c r="L16" s="1111"/>
      <c r="M16" s="1111"/>
      <c r="N16" s="1111"/>
      <c r="O16" s="1111"/>
      <c r="P16" s="1111"/>
      <c r="Q16" s="1105"/>
      <c r="R16" s="1105"/>
      <c r="S16" s="1107"/>
      <c r="T16" s="1108"/>
      <c r="U16" s="1030"/>
      <c r="V16" s="1111"/>
      <c r="W16" s="1111"/>
      <c r="X16" s="1111"/>
      <c r="Y16" s="1111"/>
      <c r="Z16" s="1105"/>
      <c r="AA16" s="1105"/>
      <c r="AB16" s="1107"/>
      <c r="AC16" s="1120"/>
      <c r="AD16" s="1049"/>
      <c r="AE16" s="1135"/>
      <c r="AF16" s="1135"/>
      <c r="AG16" s="1136"/>
      <c r="AH16" s="1027" t="str">
        <f>IF(OR(C16="",F16="",L16="",Q16="",S16="",U16="",Z16="",AB16="",AD16="",AF16=""),"",ROUND(AD16+AF16,2))</f>
        <v/>
      </c>
      <c r="AI16" s="1128"/>
      <c r="AJ16" s="1128"/>
      <c r="AK16" s="1131" t="str">
        <f>IF(OR(C16="",F16="",L16="",Q16="",S16="",U16="",Z16="",AB16="",AD16="",AF16=""),"",IF(BC16&lt;&gt;"",BC16,IF(C16="New/Replace Failed Equip.",BA16,AZ16)))</f>
        <v/>
      </c>
      <c r="AL16" s="1131"/>
      <c r="AM16" s="1131"/>
      <c r="AN16" s="1131"/>
      <c r="AO16" s="1133" t="str">
        <f>IF(OR(C16="",F16="",L16="",Q16="",S16="",U16="",Z16="",AB16="",AD16="",AF16=""),"",IF((Q16*S16)-(Z16*AB16)&lt;=0,0,ROUND((Q16*S16)-(Z16*AB16),0)))</f>
        <v/>
      </c>
      <c r="AP16" s="1133"/>
      <c r="AQ16" s="1133"/>
      <c r="AR16" s="135"/>
      <c r="AS16" s="145"/>
      <c r="AT16" s="145"/>
      <c r="AU16" s="1124" t="str">
        <f>IFERROR(IF(OR(C16="",F16="",L16="",Q16="",S16="",U16="",Z16="",AB16="",AD16="",AF16=""),"",((1+ELOSS)*PEAKTD*(1+INDEX(ELECCB[Capacity Reserve Margin],MATCH(AX16,ELECCB[Year Number],0)))*((AO16*INDEX(ELECCB[NPV AEC $/kWh],MATCH(AX16,ELECCB[Year Number],1)))+(AV16*INDEX(ELECCB[NPV ACC+T&amp;D $/kW],MATCH(AX16,ELECCB[Year Number],1))))/AH16)),0)</f>
        <v/>
      </c>
      <c r="AV16" s="1141" t="str">
        <f>IF(OR(C16="",F16="",L16="",Q16="",S16="",U16="",Z16="",AB16="",AD16="",AF16=""),"",ROUND(AO16*INDEX(ENDUSEALL[Factor],MATCH(AW16,ENDUSEALL[End Use to Coincident Peak Demand Factors],0)),4))</f>
        <v/>
      </c>
      <c r="AW16" s="987" t="str">
        <f>IF(OR(C16="",F16="",L16="",Q16="",S16="",U16="",Z16="",AB16="",AD16="",AF16=""),"",INDEX(CMECOMPAIR[End Use Category],MATCH(F16,CMECOMPAIR[Proj Desc 1],0)))</f>
        <v/>
      </c>
      <c r="AX16" s="1126" t="str">
        <f>IF(OR(C16="",F16="",L16="",Q16="",S16="",U16="",Z16="",AB16="",AD16="",AF16=""),"",INDEX(CMECOMPAIR[EUL],MATCH(F16,CMECOMPAIR[Proj Desc 1],0)))</f>
        <v/>
      </c>
      <c r="AY16" s="1122" t="str">
        <f>IF(OR(C16="",F16="",L16="",Q16="",S16="",U16="",Z16="",AB16="",AD16="",AF16=""),"",INDEX(CMECOMPAIR[Measure Number],MATCH(F16,CMECOMPAIR[Proj Desc 1],0)))</f>
        <v/>
      </c>
      <c r="AZ16" s="1118" t="str">
        <f>IFERROR(ROUND(MIN(AH16*0.5,AO16*INDEX(ENDUSEALL[Inc Rate],MATCH(AW16,ENDUSEALL[End Use to Coincident Peak Demand Factors],0))),2),"")</f>
        <v/>
      </c>
      <c r="BA16" s="1118" t="str">
        <f>IFERROR(ROUND(MIN(AH16,AO16*INDEX(ENDUSEALL[Inc Rate],MATCH(AW16,ENDUSEALL[End Use to Coincident Peak Demand Factors],0))),2),"")</f>
        <v/>
      </c>
      <c r="BB16" s="1118" t="str">
        <f>IFERROR(AH16/M02S02F35/AO16,"")</f>
        <v/>
      </c>
      <c r="BC16" s="1118" t="str">
        <f>IFERROR(IF((Q16*S16)-(Z16*AB16)&lt;=0,MEASURESAV,IF(M02S02F35="",MEASURERATE, IF(AH16/M02S02F35/AO16&lt;1,MEASUREPAY,IF(AU16&lt;1,MEASURECB,"")))),MEASURESUBMIT)</f>
        <v>Submit for Review</v>
      </c>
    </row>
    <row r="17" spans="2:55" ht="15.95" customHeight="1" x14ac:dyDescent="0.25">
      <c r="B17" s="1064"/>
      <c r="C17" s="1104"/>
      <c r="D17" s="1104"/>
      <c r="E17" s="1104"/>
      <c r="F17" s="1112"/>
      <c r="G17" s="1112"/>
      <c r="H17" s="1112"/>
      <c r="I17" s="1112"/>
      <c r="J17" s="1112"/>
      <c r="K17" s="1112"/>
      <c r="L17" s="1112"/>
      <c r="M17" s="1112"/>
      <c r="N17" s="1112"/>
      <c r="O17" s="1112"/>
      <c r="P17" s="1112"/>
      <c r="Q17" s="1106"/>
      <c r="R17" s="1106"/>
      <c r="S17" s="1109"/>
      <c r="T17" s="1110"/>
      <c r="U17" s="1033"/>
      <c r="V17" s="1112"/>
      <c r="W17" s="1112"/>
      <c r="X17" s="1112"/>
      <c r="Y17" s="1112"/>
      <c r="Z17" s="1106"/>
      <c r="AA17" s="1106"/>
      <c r="AB17" s="1109"/>
      <c r="AC17" s="1121"/>
      <c r="AD17" s="1051"/>
      <c r="AE17" s="1137"/>
      <c r="AF17" s="1137"/>
      <c r="AG17" s="1138"/>
      <c r="AH17" s="1129"/>
      <c r="AI17" s="1130"/>
      <c r="AJ17" s="1130"/>
      <c r="AK17" s="1132"/>
      <c r="AL17" s="1132"/>
      <c r="AM17" s="1132"/>
      <c r="AN17" s="1132"/>
      <c r="AO17" s="1134"/>
      <c r="AP17" s="1134"/>
      <c r="AQ17" s="1134"/>
      <c r="AR17" s="135"/>
      <c r="AS17" s="145"/>
      <c r="AT17" s="145"/>
      <c r="AU17" s="1125"/>
      <c r="AV17" s="1142"/>
      <c r="AW17" s="988"/>
      <c r="AX17" s="1127"/>
      <c r="AY17" s="1123"/>
      <c r="AZ17" s="1119"/>
      <c r="BA17" s="1119"/>
      <c r="BB17" s="1119"/>
      <c r="BC17" s="1119"/>
    </row>
    <row r="18" spans="2:55" ht="15.95" customHeight="1" x14ac:dyDescent="0.25">
      <c r="B18" s="1063">
        <v>2</v>
      </c>
      <c r="C18" s="1103"/>
      <c r="D18" s="1103"/>
      <c r="E18" s="1103"/>
      <c r="F18" s="1111"/>
      <c r="G18" s="1111"/>
      <c r="H18" s="1111"/>
      <c r="I18" s="1111"/>
      <c r="J18" s="1111"/>
      <c r="K18" s="1111"/>
      <c r="L18" s="1111"/>
      <c r="M18" s="1111"/>
      <c r="N18" s="1111"/>
      <c r="O18" s="1111"/>
      <c r="P18" s="1111"/>
      <c r="Q18" s="1105"/>
      <c r="R18" s="1105"/>
      <c r="S18" s="1107"/>
      <c r="T18" s="1108"/>
      <c r="U18" s="1030"/>
      <c r="V18" s="1111"/>
      <c r="W18" s="1111"/>
      <c r="X18" s="1111"/>
      <c r="Y18" s="1111"/>
      <c r="Z18" s="1105"/>
      <c r="AA18" s="1105"/>
      <c r="AB18" s="1107"/>
      <c r="AC18" s="1120"/>
      <c r="AD18" s="1049"/>
      <c r="AE18" s="1135"/>
      <c r="AF18" s="1135"/>
      <c r="AG18" s="1136"/>
      <c r="AH18" s="1027" t="str">
        <f t="shared" ref="AH18" si="0">IF(OR(C18="",F18="",L18="",Q18="",S18="",U18="",Z18="",AB18="",AD18="",AF18=""),"",ROUND(AD18+AF18,2))</f>
        <v/>
      </c>
      <c r="AI18" s="1128"/>
      <c r="AJ18" s="1128"/>
      <c r="AK18" s="1131" t="str">
        <f t="shared" ref="AK18" si="1">IF(OR(C18="",F18="",L18="",Q18="",S18="",U18="",Z18="",AB18="",AD18="",AF18=""),"",IF(BC18&lt;&gt;"",BC18,IF(C18="New/Replace Failed Equip.",BA18,AZ18)))</f>
        <v/>
      </c>
      <c r="AL18" s="1131"/>
      <c r="AM18" s="1131"/>
      <c r="AN18" s="1131"/>
      <c r="AO18" s="1133" t="str">
        <f t="shared" ref="AO18" si="2">IF(OR(C18="",F18="",L18="",Q18="",S18="",U18="",Z18="",AB18="",AD18="",AF18=""),"",IF((Q18*S18)-(Z18*AB18)&lt;=0,0,ROUND((Q18*S18)-(Z18*AB18),0)))</f>
        <v/>
      </c>
      <c r="AP18" s="1133"/>
      <c r="AQ18" s="1133"/>
      <c r="AR18" s="135"/>
      <c r="AS18" s="145"/>
      <c r="AT18" s="145"/>
      <c r="AU18" s="1124" t="str">
        <f>IFERROR(IF(OR(C18="",F18="",L18="",Q18="",S18="",U18="",Z18="",AB18="",AD18="",AF18=""),"",((1+ELOSS)*PEAKTD*(1+INDEX(ELECCB[Capacity Reserve Margin],MATCH(AX18,ELECCB[Year Number],0)))*((AO18*INDEX(ELECCB[NPV AEC $/kWh],MATCH(AX18,ELECCB[Year Number],1)))+(AV18*INDEX(ELECCB[NPV ACC+T&amp;D $/kW],MATCH(AX18,ELECCB[Year Number],1))))/AH18)),0)</f>
        <v/>
      </c>
      <c r="AV18" s="1141" t="str">
        <f>IF(OR(C18="",F18="",L18="",Q18="",S18="",U18="",Z18="",AB18="",AD18="",AF18=""),"",ROUND(AO18*INDEX(ENDUSEALL[Factor],MATCH(AW18,ENDUSEALL[End Use to Coincident Peak Demand Factors],0)),4))</f>
        <v/>
      </c>
      <c r="AW18" s="987" t="str">
        <f>IF(OR(C18="",F18="",L18="",Q18="",S18="",U18="",Z18="",AB18="",AD18="",AF18=""),"",INDEX(CMECOMPAIR[End Use Category],MATCH(F18,CMECOMPAIR[Proj Desc 1],0)))</f>
        <v/>
      </c>
      <c r="AX18" s="1126" t="str">
        <f>IF(OR(C18="",F18="",L18="",Q18="",S18="",U18="",Z18="",AB18="",AD18="",AF18=""),"",INDEX(CMECOMPAIR[EUL],MATCH(F18,CMECOMPAIR[Proj Desc 1],0)))</f>
        <v/>
      </c>
      <c r="AY18" s="1122" t="str">
        <f>IF(OR(C18="",F18="",L18="",Q18="",S18="",U18="",Z18="",AB18="",AD18="",AF18=""),"",INDEX(CMECOMPAIR[Measure Number],MATCH(F18,CMECOMPAIR[Proj Desc 1],0)))</f>
        <v/>
      </c>
      <c r="AZ18" s="1118" t="str">
        <f>IFERROR(ROUND(MIN(AH18*0.5,AO18*INDEX(ENDUSEALL[Inc Rate],MATCH(AW18,ENDUSEALL[End Use to Coincident Peak Demand Factors],0))),2),"")</f>
        <v/>
      </c>
      <c r="BA18" s="1118" t="str">
        <f>IFERROR(ROUND(MIN(AH18,AO18*INDEX(ENDUSEALL[Inc Rate],MATCH(AW18,ENDUSEALL[End Use to Coincident Peak Demand Factors],0))),2),"")</f>
        <v/>
      </c>
      <c r="BB18" s="1118" t="str">
        <f>IFERROR(AH18/M02S02F35/AO18,"")</f>
        <v/>
      </c>
      <c r="BC18" s="1118" t="str">
        <f>IFERROR(IF((Q18*S18)-(Z18*AB18)&lt;=0,MEASURESAV,IF(M02S02F35="",MEASURERATE, IF(AH18/M02S02F35/AO18&lt;1,MEASUREPAY,IF(AU18&lt;1,MEASURECB,"")))),MEASURESUBMIT)</f>
        <v>Submit for Review</v>
      </c>
    </row>
    <row r="19" spans="2:55" ht="15.95" customHeight="1" x14ac:dyDescent="0.25">
      <c r="B19" s="1063"/>
      <c r="C19" s="1104"/>
      <c r="D19" s="1104"/>
      <c r="E19" s="1104"/>
      <c r="F19" s="1112"/>
      <c r="G19" s="1112"/>
      <c r="H19" s="1112"/>
      <c r="I19" s="1112"/>
      <c r="J19" s="1112"/>
      <c r="K19" s="1112"/>
      <c r="L19" s="1112"/>
      <c r="M19" s="1112"/>
      <c r="N19" s="1112"/>
      <c r="O19" s="1112"/>
      <c r="P19" s="1112"/>
      <c r="Q19" s="1106"/>
      <c r="R19" s="1106"/>
      <c r="S19" s="1109"/>
      <c r="T19" s="1110"/>
      <c r="U19" s="1033"/>
      <c r="V19" s="1112"/>
      <c r="W19" s="1112"/>
      <c r="X19" s="1112"/>
      <c r="Y19" s="1112"/>
      <c r="Z19" s="1106"/>
      <c r="AA19" s="1106"/>
      <c r="AB19" s="1109"/>
      <c r="AC19" s="1121"/>
      <c r="AD19" s="1051"/>
      <c r="AE19" s="1137"/>
      <c r="AF19" s="1137"/>
      <c r="AG19" s="1138"/>
      <c r="AH19" s="1129"/>
      <c r="AI19" s="1130"/>
      <c r="AJ19" s="1130"/>
      <c r="AK19" s="1132"/>
      <c r="AL19" s="1132"/>
      <c r="AM19" s="1132"/>
      <c r="AN19" s="1132"/>
      <c r="AO19" s="1134"/>
      <c r="AP19" s="1134"/>
      <c r="AQ19" s="1134"/>
      <c r="AR19" s="135"/>
      <c r="AS19" s="145"/>
      <c r="AT19" s="145"/>
      <c r="AU19" s="1125"/>
      <c r="AV19" s="1142"/>
      <c r="AW19" s="988"/>
      <c r="AX19" s="1127"/>
      <c r="AY19" s="1123"/>
      <c r="AZ19" s="1119"/>
      <c r="BA19" s="1119"/>
      <c r="BB19" s="1119"/>
      <c r="BC19" s="1119"/>
    </row>
    <row r="20" spans="2:55" ht="15.95" customHeight="1" x14ac:dyDescent="0.25">
      <c r="B20" s="1063">
        <v>3</v>
      </c>
      <c r="C20" s="1103"/>
      <c r="D20" s="1103"/>
      <c r="E20" s="1103"/>
      <c r="F20" s="1111"/>
      <c r="G20" s="1111"/>
      <c r="H20" s="1111"/>
      <c r="I20" s="1111"/>
      <c r="J20" s="1111"/>
      <c r="K20" s="1111"/>
      <c r="L20" s="1111"/>
      <c r="M20" s="1111"/>
      <c r="N20" s="1111"/>
      <c r="O20" s="1111"/>
      <c r="P20" s="1111"/>
      <c r="Q20" s="1105"/>
      <c r="R20" s="1105"/>
      <c r="S20" s="1107"/>
      <c r="T20" s="1108"/>
      <c r="U20" s="1030"/>
      <c r="V20" s="1111"/>
      <c r="W20" s="1111"/>
      <c r="X20" s="1111"/>
      <c r="Y20" s="1111"/>
      <c r="Z20" s="1105"/>
      <c r="AA20" s="1105"/>
      <c r="AB20" s="1107"/>
      <c r="AC20" s="1120"/>
      <c r="AD20" s="1049"/>
      <c r="AE20" s="1135"/>
      <c r="AF20" s="1135"/>
      <c r="AG20" s="1136"/>
      <c r="AH20" s="1027" t="str">
        <f t="shared" ref="AH20" si="3">IF(OR(C20="",F20="",L20="",Q20="",S20="",U20="",Z20="",AB20="",AD20="",AF20=""),"",ROUND(AD20+AF20,2))</f>
        <v/>
      </c>
      <c r="AI20" s="1128"/>
      <c r="AJ20" s="1128"/>
      <c r="AK20" s="1131" t="str">
        <f t="shared" ref="AK20" si="4">IF(OR(C20="",F20="",L20="",Q20="",S20="",U20="",Z20="",AB20="",AD20="",AF20=""),"",IF(BC20&lt;&gt;"",BC20,IF(C20="New/Replace Failed Equip.",BA20,AZ20)))</f>
        <v/>
      </c>
      <c r="AL20" s="1131"/>
      <c r="AM20" s="1131"/>
      <c r="AN20" s="1131"/>
      <c r="AO20" s="1133" t="str">
        <f t="shared" ref="AO20" si="5">IF(OR(C20="",F20="",L20="",Q20="",S20="",U20="",Z20="",AB20="",AD20="",AF20=""),"",IF((Q20*S20)-(Z20*AB20)&lt;=0,0,ROUND((Q20*S20)-(Z20*AB20),0)))</f>
        <v/>
      </c>
      <c r="AP20" s="1133"/>
      <c r="AQ20" s="1133"/>
      <c r="AR20" s="135"/>
      <c r="AS20" s="145"/>
      <c r="AT20" s="145"/>
      <c r="AU20" s="1124" t="str">
        <f>IFERROR(IF(OR(C20="",F20="",L20="",Q20="",S20="",U20="",Z20="",AB20="",AD20="",AF20=""),"",((1+ELOSS)*PEAKTD*(1+INDEX(ELECCB[Capacity Reserve Margin],MATCH(AX20,ELECCB[Year Number],0)))*((AO20*INDEX(ELECCB[NPV AEC $/kWh],MATCH(AX20,ELECCB[Year Number],1)))+(AV20*INDEX(ELECCB[NPV ACC+T&amp;D $/kW],MATCH(AX20,ELECCB[Year Number],1))))/AH20)),0)</f>
        <v/>
      </c>
      <c r="AV20" s="1141" t="str">
        <f>IF(OR(C20="",F20="",L20="",Q20="",S20="",U20="",Z20="",AB20="",AD20="",AF20=""),"",ROUND(AO20*INDEX(ENDUSEALL[Factor],MATCH(AW20,ENDUSEALL[End Use to Coincident Peak Demand Factors],0)),4))</f>
        <v/>
      </c>
      <c r="AW20" s="987" t="str">
        <f>IF(OR(C20="",F20="",L20="",Q20="",S20="",U20="",Z20="",AB20="",AD20="",AF20=""),"",INDEX(CMECOMPAIR[End Use Category],MATCH(F20,CMECOMPAIR[Proj Desc 1],0)))</f>
        <v/>
      </c>
      <c r="AX20" s="1126" t="str">
        <f>IF(OR(C20="",F20="",L20="",Q20="",S20="",U20="",Z20="",AB20="",AD20="",AF20=""),"",INDEX(CMECOMPAIR[EUL],MATCH(F20,CMECOMPAIR[Proj Desc 1],0)))</f>
        <v/>
      </c>
      <c r="AY20" s="1122" t="str">
        <f>IF(OR(C20="",F20="",L20="",Q20="",S20="",U20="",Z20="",AB20="",AD20="",AF20=""),"",INDEX(CMECOMPAIR[Measure Number],MATCH(F20,CMECOMPAIR[Proj Desc 1],0)))</f>
        <v/>
      </c>
      <c r="AZ20" s="1118" t="str">
        <f>IFERROR(ROUND(MIN(AH20*0.5,AO20*INDEX(ENDUSEALL[Inc Rate],MATCH(AW20,ENDUSEALL[End Use to Coincident Peak Demand Factors],0))),2),"")</f>
        <v/>
      </c>
      <c r="BA20" s="1118" t="str">
        <f>IFERROR(ROUND(MIN(AH20,AO20*INDEX(ENDUSEALL[Inc Rate],MATCH(AW20,ENDUSEALL[End Use to Coincident Peak Demand Factors],0))),2),"")</f>
        <v/>
      </c>
      <c r="BB20" s="1118" t="str">
        <f>IFERROR(AH20/M02S02F35/AO20,"")</f>
        <v/>
      </c>
      <c r="BC20" s="1118" t="str">
        <f>IFERROR(IF((Q20*S20)-(Z20*AB20)&lt;=0,MEASURESAV,IF(M02S02F35="",MEASURERATE, IF(AH20/M02S02F35/AO20&lt;1,MEASUREPAY,IF(AU20&lt;1,MEASURECB,"")))),MEASURESUBMIT)</f>
        <v>Submit for Review</v>
      </c>
    </row>
    <row r="21" spans="2:55" ht="15.95" customHeight="1" x14ac:dyDescent="0.25">
      <c r="B21" s="1063"/>
      <c r="C21" s="1104"/>
      <c r="D21" s="1104"/>
      <c r="E21" s="1104"/>
      <c r="F21" s="1112"/>
      <c r="G21" s="1112"/>
      <c r="H21" s="1112"/>
      <c r="I21" s="1112"/>
      <c r="J21" s="1112"/>
      <c r="K21" s="1112"/>
      <c r="L21" s="1112"/>
      <c r="M21" s="1112"/>
      <c r="N21" s="1112"/>
      <c r="O21" s="1112"/>
      <c r="P21" s="1112"/>
      <c r="Q21" s="1106"/>
      <c r="R21" s="1106"/>
      <c r="S21" s="1109"/>
      <c r="T21" s="1110"/>
      <c r="U21" s="1033"/>
      <c r="V21" s="1112"/>
      <c r="W21" s="1112"/>
      <c r="X21" s="1112"/>
      <c r="Y21" s="1112"/>
      <c r="Z21" s="1106"/>
      <c r="AA21" s="1106"/>
      <c r="AB21" s="1109"/>
      <c r="AC21" s="1121"/>
      <c r="AD21" s="1051"/>
      <c r="AE21" s="1137"/>
      <c r="AF21" s="1137"/>
      <c r="AG21" s="1138"/>
      <c r="AH21" s="1129"/>
      <c r="AI21" s="1130"/>
      <c r="AJ21" s="1130"/>
      <c r="AK21" s="1132"/>
      <c r="AL21" s="1132"/>
      <c r="AM21" s="1132"/>
      <c r="AN21" s="1132"/>
      <c r="AO21" s="1134"/>
      <c r="AP21" s="1134"/>
      <c r="AQ21" s="1134"/>
      <c r="AR21" s="135"/>
      <c r="AS21" s="145"/>
      <c r="AT21" s="145"/>
      <c r="AU21" s="1125"/>
      <c r="AV21" s="1142"/>
      <c r="AW21" s="988"/>
      <c r="AX21" s="1127"/>
      <c r="AY21" s="1123"/>
      <c r="AZ21" s="1119"/>
      <c r="BA21" s="1119"/>
      <c r="BB21" s="1119"/>
      <c r="BC21" s="1119"/>
    </row>
    <row r="22" spans="2:55" ht="15.95" customHeight="1" x14ac:dyDescent="0.25">
      <c r="B22" s="1063">
        <v>4</v>
      </c>
      <c r="C22" s="1103"/>
      <c r="D22" s="1103"/>
      <c r="E22" s="1103"/>
      <c r="F22" s="1111"/>
      <c r="G22" s="1111"/>
      <c r="H22" s="1111"/>
      <c r="I22" s="1111"/>
      <c r="J22" s="1111"/>
      <c r="K22" s="1111"/>
      <c r="L22" s="1111"/>
      <c r="M22" s="1111"/>
      <c r="N22" s="1111"/>
      <c r="O22" s="1111"/>
      <c r="P22" s="1111"/>
      <c r="Q22" s="1105"/>
      <c r="R22" s="1105"/>
      <c r="S22" s="1107"/>
      <c r="T22" s="1108"/>
      <c r="U22" s="1030"/>
      <c r="V22" s="1111"/>
      <c r="W22" s="1111"/>
      <c r="X22" s="1111"/>
      <c r="Y22" s="1111"/>
      <c r="Z22" s="1105"/>
      <c r="AA22" s="1105"/>
      <c r="AB22" s="1107"/>
      <c r="AC22" s="1120"/>
      <c r="AD22" s="1049"/>
      <c r="AE22" s="1135"/>
      <c r="AF22" s="1135"/>
      <c r="AG22" s="1136"/>
      <c r="AH22" s="1027" t="str">
        <f t="shared" ref="AH22" si="6">IF(OR(C22="",F22="",L22="",Q22="",S22="",U22="",Z22="",AB22="",AD22="",AF22=""),"",ROUND(AD22+AF22,2))</f>
        <v/>
      </c>
      <c r="AI22" s="1128"/>
      <c r="AJ22" s="1128"/>
      <c r="AK22" s="1131" t="str">
        <f t="shared" ref="AK22" si="7">IF(OR(C22="",F22="",L22="",Q22="",S22="",U22="",Z22="",AB22="",AD22="",AF22=""),"",IF(BC22&lt;&gt;"",BC22,IF(C22="New/Replace Failed Equip.",BA22,AZ22)))</f>
        <v/>
      </c>
      <c r="AL22" s="1131"/>
      <c r="AM22" s="1131"/>
      <c r="AN22" s="1131"/>
      <c r="AO22" s="1133" t="str">
        <f t="shared" ref="AO22" si="8">IF(OR(C22="",F22="",L22="",Q22="",S22="",U22="",Z22="",AB22="",AD22="",AF22=""),"",IF((Q22*S22)-(Z22*AB22)&lt;=0,0,ROUND((Q22*S22)-(Z22*AB22),0)))</f>
        <v/>
      </c>
      <c r="AP22" s="1133"/>
      <c r="AQ22" s="1133"/>
      <c r="AR22" s="135"/>
      <c r="AS22" s="145"/>
      <c r="AT22" s="145"/>
      <c r="AU22" s="1124" t="str">
        <f>IFERROR(IF(OR(C22="",F22="",L22="",Q22="",S22="",U22="",Z22="",AB22="",AD22="",AF22=""),"",((1+ELOSS)*PEAKTD*(1+INDEX(ELECCB[Capacity Reserve Margin],MATCH(AX22,ELECCB[Year Number],0)))*((AO22*INDEX(ELECCB[NPV AEC $/kWh],MATCH(AX22,ELECCB[Year Number],1)))+(AV22*INDEX(ELECCB[NPV ACC+T&amp;D $/kW],MATCH(AX22,ELECCB[Year Number],1))))/AH22)),0)</f>
        <v/>
      </c>
      <c r="AV22" s="1141" t="str">
        <f>IF(OR(C22="",F22="",L22="",Q22="",S22="",U22="",Z22="",AB22="",AD22="",AF22=""),"",ROUND(AO22*INDEX(ENDUSEALL[Factor],MATCH(AW22,ENDUSEALL[End Use to Coincident Peak Demand Factors],0)),4))</f>
        <v/>
      </c>
      <c r="AW22" s="987" t="str">
        <f>IF(OR(C22="",F22="",L22="",Q22="",S22="",U22="",Z22="",AB22="",AD22="",AF22=""),"",INDEX(CMECOMPAIR[End Use Category],MATCH(F22,CMECOMPAIR[Proj Desc 1],0)))</f>
        <v/>
      </c>
      <c r="AX22" s="1126" t="str">
        <f>IF(OR(C22="",F22="",L22="",Q22="",S22="",U22="",Z22="",AB22="",AD22="",AF22=""),"",INDEX(CMECOMPAIR[EUL],MATCH(F22,CMECOMPAIR[Proj Desc 1],0)))</f>
        <v/>
      </c>
      <c r="AY22" s="1122" t="str">
        <f>IF(OR(C22="",F22="",L22="",Q22="",S22="",U22="",Z22="",AB22="",AD22="",AF22=""),"",INDEX(CMECOMPAIR[Measure Number],MATCH(F22,CMECOMPAIR[Proj Desc 1],0)))</f>
        <v/>
      </c>
      <c r="AZ22" s="1118" t="str">
        <f>IFERROR(ROUND(MIN(AH22*0.5,AO22*INDEX(ENDUSEALL[Inc Rate],MATCH(AW22,ENDUSEALL[End Use to Coincident Peak Demand Factors],0))),2),"")</f>
        <v/>
      </c>
      <c r="BA22" s="1118" t="str">
        <f>IFERROR(ROUND(MIN(AH22,AO22*INDEX(ENDUSEALL[Inc Rate],MATCH(AW22,ENDUSEALL[End Use to Coincident Peak Demand Factors],0))),2),"")</f>
        <v/>
      </c>
      <c r="BB22" s="1118" t="str">
        <f>IFERROR(AH22/M02S02F35/AO22,"")</f>
        <v/>
      </c>
      <c r="BC22" s="1118" t="str">
        <f>IFERROR(IF((Q22*S22)-(Z22*AB22)&lt;=0,MEASURESAV,IF(M02S02F35="",MEASURERATE, IF(AH22/M02S02F35/AO22&lt;1,MEASUREPAY,IF(AU22&lt;1,MEASURECB,"")))),MEASURESUBMIT)</f>
        <v>Submit for Review</v>
      </c>
    </row>
    <row r="23" spans="2:55" ht="15.95" customHeight="1" x14ac:dyDescent="0.25">
      <c r="B23" s="1063"/>
      <c r="C23" s="1104"/>
      <c r="D23" s="1104"/>
      <c r="E23" s="1104"/>
      <c r="F23" s="1112"/>
      <c r="G23" s="1112"/>
      <c r="H23" s="1112"/>
      <c r="I23" s="1112"/>
      <c r="J23" s="1112"/>
      <c r="K23" s="1112"/>
      <c r="L23" s="1112"/>
      <c r="M23" s="1112"/>
      <c r="N23" s="1112"/>
      <c r="O23" s="1112"/>
      <c r="P23" s="1112"/>
      <c r="Q23" s="1106"/>
      <c r="R23" s="1106"/>
      <c r="S23" s="1109"/>
      <c r="T23" s="1110"/>
      <c r="U23" s="1033"/>
      <c r="V23" s="1112"/>
      <c r="W23" s="1112"/>
      <c r="X23" s="1112"/>
      <c r="Y23" s="1112"/>
      <c r="Z23" s="1106"/>
      <c r="AA23" s="1106"/>
      <c r="AB23" s="1109"/>
      <c r="AC23" s="1121"/>
      <c r="AD23" s="1051"/>
      <c r="AE23" s="1137"/>
      <c r="AF23" s="1137"/>
      <c r="AG23" s="1138"/>
      <c r="AH23" s="1129"/>
      <c r="AI23" s="1130"/>
      <c r="AJ23" s="1130"/>
      <c r="AK23" s="1132"/>
      <c r="AL23" s="1132"/>
      <c r="AM23" s="1132"/>
      <c r="AN23" s="1132"/>
      <c r="AO23" s="1134"/>
      <c r="AP23" s="1134"/>
      <c r="AQ23" s="1134"/>
      <c r="AR23" s="135"/>
      <c r="AS23" s="145"/>
      <c r="AT23" s="145"/>
      <c r="AU23" s="1125"/>
      <c r="AV23" s="1142"/>
      <c r="AW23" s="988"/>
      <c r="AX23" s="1127"/>
      <c r="AY23" s="1123"/>
      <c r="AZ23" s="1119"/>
      <c r="BA23" s="1119"/>
      <c r="BB23" s="1119"/>
      <c r="BC23" s="1119"/>
    </row>
    <row r="24" spans="2:55" ht="15.95" customHeight="1" x14ac:dyDescent="0.25">
      <c r="B24" s="1063">
        <v>5</v>
      </c>
      <c r="C24" s="1103"/>
      <c r="D24" s="1103"/>
      <c r="E24" s="1103"/>
      <c r="F24" s="1111"/>
      <c r="G24" s="1111"/>
      <c r="H24" s="1111"/>
      <c r="I24" s="1111"/>
      <c r="J24" s="1111"/>
      <c r="K24" s="1111"/>
      <c r="L24" s="1111"/>
      <c r="M24" s="1111"/>
      <c r="N24" s="1111"/>
      <c r="O24" s="1111"/>
      <c r="P24" s="1111"/>
      <c r="Q24" s="1105"/>
      <c r="R24" s="1105"/>
      <c r="S24" s="1107"/>
      <c r="T24" s="1108"/>
      <c r="U24" s="1030"/>
      <c r="V24" s="1111"/>
      <c r="W24" s="1111"/>
      <c r="X24" s="1111"/>
      <c r="Y24" s="1111"/>
      <c r="Z24" s="1105"/>
      <c r="AA24" s="1105"/>
      <c r="AB24" s="1107"/>
      <c r="AC24" s="1120"/>
      <c r="AD24" s="1049"/>
      <c r="AE24" s="1135"/>
      <c r="AF24" s="1135"/>
      <c r="AG24" s="1136"/>
      <c r="AH24" s="1027" t="str">
        <f t="shared" ref="AH24" si="9">IF(OR(C24="",F24="",L24="",Q24="",S24="",U24="",Z24="",AB24="",AD24="",AF24=""),"",ROUND(AD24+AF24,2))</f>
        <v/>
      </c>
      <c r="AI24" s="1128"/>
      <c r="AJ24" s="1128"/>
      <c r="AK24" s="1131" t="str">
        <f t="shared" ref="AK24" si="10">IF(OR(C24="",F24="",L24="",Q24="",S24="",U24="",Z24="",AB24="",AD24="",AF24=""),"",IF(BC24&lt;&gt;"",BC24,IF(C24="New/Replace Failed Equip.",BA24,AZ24)))</f>
        <v/>
      </c>
      <c r="AL24" s="1131"/>
      <c r="AM24" s="1131"/>
      <c r="AN24" s="1131"/>
      <c r="AO24" s="1133" t="str">
        <f t="shared" ref="AO24" si="11">IF(OR(C24="",F24="",L24="",Q24="",S24="",U24="",Z24="",AB24="",AD24="",AF24=""),"",IF((Q24*S24)-(Z24*AB24)&lt;=0,0,ROUND((Q24*S24)-(Z24*AB24),0)))</f>
        <v/>
      </c>
      <c r="AP24" s="1133"/>
      <c r="AQ24" s="1133"/>
      <c r="AR24" s="135"/>
      <c r="AS24" s="145"/>
      <c r="AT24" s="145"/>
      <c r="AU24" s="1124" t="str">
        <f>IFERROR(IF(OR(C24="",F24="",L24="",Q24="",S24="",U24="",Z24="",AB24="",AD24="",AF24=""),"",((1+ELOSS)*PEAKTD*(1+INDEX(ELECCB[Capacity Reserve Margin],MATCH(AX24,ELECCB[Year Number],0)))*((AO24*INDEX(ELECCB[NPV AEC $/kWh],MATCH(AX24,ELECCB[Year Number],1)))+(AV24*INDEX(ELECCB[NPV ACC+T&amp;D $/kW],MATCH(AX24,ELECCB[Year Number],1))))/AH24)),0)</f>
        <v/>
      </c>
      <c r="AV24" s="1141" t="str">
        <f>IF(OR(C24="",F24="",L24="",Q24="",S24="",U24="",Z24="",AB24="",AD24="",AF24=""),"",ROUND(AO24*INDEX(ENDUSEALL[Factor],MATCH(AW24,ENDUSEALL[End Use to Coincident Peak Demand Factors],0)),4))</f>
        <v/>
      </c>
      <c r="AW24" s="987" t="str">
        <f>IF(OR(C24="",F24="",L24="",Q24="",S24="",U24="",Z24="",AB24="",AD24="",AF24=""),"",INDEX(CMECOMPAIR[End Use Category],MATCH(F24,CMECOMPAIR[Proj Desc 1],0)))</f>
        <v/>
      </c>
      <c r="AX24" s="1126" t="str">
        <f>IF(OR(C24="",F24="",L24="",Q24="",S24="",U24="",Z24="",AB24="",AD24="",AF24=""),"",INDEX(CMECOMPAIR[EUL],MATCH(F24,CMECOMPAIR[Proj Desc 1],0)))</f>
        <v/>
      </c>
      <c r="AY24" s="1122" t="str">
        <f>IF(OR(C24="",F24="",L24="",Q24="",S24="",U24="",Z24="",AB24="",AD24="",AF24=""),"",INDEX(CMECOMPAIR[Measure Number],MATCH(F24,CMECOMPAIR[Proj Desc 1],0)))</f>
        <v/>
      </c>
      <c r="AZ24" s="1118" t="str">
        <f>IFERROR(ROUND(MIN(AH24*0.5,AO24*INDEX(ENDUSEALL[Inc Rate],MATCH(AW24,ENDUSEALL[End Use to Coincident Peak Demand Factors],0))),2),"")</f>
        <v/>
      </c>
      <c r="BA24" s="1118" t="str">
        <f>IFERROR(ROUND(MIN(AH24,AO24*INDEX(ENDUSEALL[Inc Rate],MATCH(AW24,ENDUSEALL[End Use to Coincident Peak Demand Factors],0))),2),"")</f>
        <v/>
      </c>
      <c r="BB24" s="1118" t="str">
        <f>IFERROR(AH24/M02S02F35/AO24,"")</f>
        <v/>
      </c>
      <c r="BC24" s="1118" t="str">
        <f>IFERROR(IF((Q24*S24)-(Z24*AB24)&lt;=0,MEASURESAV,IF(M02S02F35="",MEASURERATE, IF(AH24/M02S02F35/AO24&lt;1,MEASUREPAY,IF(AU24&lt;1,MEASURECB,"")))),MEASURESUBMIT)</f>
        <v>Submit for Review</v>
      </c>
    </row>
    <row r="25" spans="2:55" ht="15.95" customHeight="1" x14ac:dyDescent="0.25">
      <c r="B25" s="1063"/>
      <c r="C25" s="1104"/>
      <c r="D25" s="1104"/>
      <c r="E25" s="1104"/>
      <c r="F25" s="1112"/>
      <c r="G25" s="1112"/>
      <c r="H25" s="1112"/>
      <c r="I25" s="1112"/>
      <c r="J25" s="1112"/>
      <c r="K25" s="1112"/>
      <c r="L25" s="1112"/>
      <c r="M25" s="1112"/>
      <c r="N25" s="1112"/>
      <c r="O25" s="1112"/>
      <c r="P25" s="1112"/>
      <c r="Q25" s="1106"/>
      <c r="R25" s="1106"/>
      <c r="S25" s="1109"/>
      <c r="T25" s="1110"/>
      <c r="U25" s="1033"/>
      <c r="V25" s="1112"/>
      <c r="W25" s="1112"/>
      <c r="X25" s="1112"/>
      <c r="Y25" s="1112"/>
      <c r="Z25" s="1106"/>
      <c r="AA25" s="1106"/>
      <c r="AB25" s="1109"/>
      <c r="AC25" s="1121"/>
      <c r="AD25" s="1051"/>
      <c r="AE25" s="1137"/>
      <c r="AF25" s="1137"/>
      <c r="AG25" s="1138"/>
      <c r="AH25" s="1129"/>
      <c r="AI25" s="1130"/>
      <c r="AJ25" s="1130"/>
      <c r="AK25" s="1132"/>
      <c r="AL25" s="1132"/>
      <c r="AM25" s="1132"/>
      <c r="AN25" s="1132"/>
      <c r="AO25" s="1134"/>
      <c r="AP25" s="1134"/>
      <c r="AQ25" s="1134"/>
      <c r="AR25" s="135"/>
      <c r="AS25" s="145"/>
      <c r="AT25" s="145"/>
      <c r="AU25" s="1125"/>
      <c r="AV25" s="1142"/>
      <c r="AW25" s="988"/>
      <c r="AX25" s="1127"/>
      <c r="AY25" s="1123"/>
      <c r="AZ25" s="1119"/>
      <c r="BA25" s="1119"/>
      <c r="BB25" s="1119"/>
      <c r="BC25" s="1119"/>
    </row>
    <row r="26" spans="2:55" ht="15.95" customHeight="1" x14ac:dyDescent="0.25">
      <c r="B26" s="1063">
        <v>6</v>
      </c>
      <c r="C26" s="1103"/>
      <c r="D26" s="1103"/>
      <c r="E26" s="1103"/>
      <c r="F26" s="1111"/>
      <c r="G26" s="1111"/>
      <c r="H26" s="1111"/>
      <c r="I26" s="1111"/>
      <c r="J26" s="1111"/>
      <c r="K26" s="1111"/>
      <c r="L26" s="1111"/>
      <c r="M26" s="1111"/>
      <c r="N26" s="1111"/>
      <c r="O26" s="1111"/>
      <c r="P26" s="1111"/>
      <c r="Q26" s="1105"/>
      <c r="R26" s="1105"/>
      <c r="S26" s="1107"/>
      <c r="T26" s="1108"/>
      <c r="U26" s="1030"/>
      <c r="V26" s="1111"/>
      <c r="W26" s="1111"/>
      <c r="X26" s="1111"/>
      <c r="Y26" s="1111"/>
      <c r="Z26" s="1105"/>
      <c r="AA26" s="1105"/>
      <c r="AB26" s="1107"/>
      <c r="AC26" s="1120"/>
      <c r="AD26" s="1049"/>
      <c r="AE26" s="1135"/>
      <c r="AF26" s="1135"/>
      <c r="AG26" s="1136"/>
      <c r="AH26" s="1027" t="str">
        <f t="shared" ref="AH26" si="12">IF(OR(C26="",F26="",L26="",Q26="",S26="",U26="",Z26="",AB26="",AD26="",AF26=""),"",ROUND(AD26+AF26,2))</f>
        <v/>
      </c>
      <c r="AI26" s="1128"/>
      <c r="AJ26" s="1128"/>
      <c r="AK26" s="1131" t="str">
        <f t="shared" ref="AK26" si="13">IF(OR(C26="",F26="",L26="",Q26="",S26="",U26="",Z26="",AB26="",AD26="",AF26=""),"",IF(BC26&lt;&gt;"",BC26,IF(C26="New/Replace Failed Equip.",BA26,AZ26)))</f>
        <v/>
      </c>
      <c r="AL26" s="1131"/>
      <c r="AM26" s="1131"/>
      <c r="AN26" s="1131"/>
      <c r="AO26" s="1133" t="str">
        <f t="shared" ref="AO26" si="14">IF(OR(C26="",F26="",L26="",Q26="",S26="",U26="",Z26="",AB26="",AD26="",AF26=""),"",IF((Q26*S26)-(Z26*AB26)&lt;=0,0,ROUND((Q26*S26)-(Z26*AB26),0)))</f>
        <v/>
      </c>
      <c r="AP26" s="1133"/>
      <c r="AQ26" s="1133"/>
      <c r="AR26" s="135"/>
      <c r="AS26" s="145"/>
      <c r="AT26" s="145"/>
      <c r="AU26" s="1124" t="str">
        <f>IFERROR(IF(OR(C26="",F26="",L26="",Q26="",S26="",U26="",Z26="",AB26="",AD26="",AF26=""),"",((1+ELOSS)*PEAKTD*(1+INDEX(ELECCB[Capacity Reserve Margin],MATCH(AX26,ELECCB[Year Number],0)))*((AO26*INDEX(ELECCB[NPV AEC $/kWh],MATCH(AX26,ELECCB[Year Number],1)))+(AV26*INDEX(ELECCB[NPV ACC+T&amp;D $/kW],MATCH(AX26,ELECCB[Year Number],1))))/AH26)),0)</f>
        <v/>
      </c>
      <c r="AV26" s="1141" t="str">
        <f>IF(OR(C26="",F26="",L26="",Q26="",S26="",U26="",Z26="",AB26="",AD26="",AF26=""),"",ROUND(AO26*INDEX(ENDUSEALL[Factor],MATCH(AW26,ENDUSEALL[End Use to Coincident Peak Demand Factors],0)),4))</f>
        <v/>
      </c>
      <c r="AW26" s="987" t="str">
        <f>IF(OR(C26="",F26="",L26="",Q26="",S26="",U26="",Z26="",AB26="",AD26="",AF26=""),"",INDEX(CMECOMPAIR[End Use Category],MATCH(F26,CMECOMPAIR[Proj Desc 1],0)))</f>
        <v/>
      </c>
      <c r="AX26" s="1126" t="str">
        <f>IF(OR(C26="",F26="",L26="",Q26="",S26="",U26="",Z26="",AB26="",AD26="",AF26=""),"",INDEX(CMECOMPAIR[EUL],MATCH(F26,CMECOMPAIR[Proj Desc 1],0)))</f>
        <v/>
      </c>
      <c r="AY26" s="1122" t="str">
        <f>IF(OR(C26="",F26="",L26="",Q26="",S26="",U26="",Z26="",AB26="",AD26="",AF26=""),"",INDEX(CMECOMPAIR[Measure Number],MATCH(F26,CMECOMPAIR[Proj Desc 1],0)))</f>
        <v/>
      </c>
      <c r="AZ26" s="1118" t="str">
        <f>IFERROR(ROUND(MIN(AH26*0.5,AO26*INDEX(ENDUSEALL[Inc Rate],MATCH(AW26,ENDUSEALL[End Use to Coincident Peak Demand Factors],0))),2),"")</f>
        <v/>
      </c>
      <c r="BA26" s="1118" t="str">
        <f>IFERROR(ROUND(MIN(AH26,AO26*INDEX(ENDUSEALL[Inc Rate],MATCH(AW26,ENDUSEALL[End Use to Coincident Peak Demand Factors],0))),2),"")</f>
        <v/>
      </c>
      <c r="BB26" s="1118" t="str">
        <f>IFERROR(AH26/M02S02F35/AO26,"")</f>
        <v/>
      </c>
      <c r="BC26" s="1118" t="str">
        <f>IFERROR(IF((Q26*S26)-(Z26*AB26)&lt;=0,MEASURESAV,IF(M02S02F35="",MEASURERATE, IF(AH26/M02S02F35/AO26&lt;1,MEASUREPAY,IF(AU26&lt;1,MEASURECB,"")))),MEASURESUBMIT)</f>
        <v>Submit for Review</v>
      </c>
    </row>
    <row r="27" spans="2:55" ht="15.95" customHeight="1" x14ac:dyDescent="0.25">
      <c r="B27" s="1063"/>
      <c r="C27" s="1104"/>
      <c r="D27" s="1104"/>
      <c r="E27" s="1104"/>
      <c r="F27" s="1112"/>
      <c r="G27" s="1112"/>
      <c r="H27" s="1112"/>
      <c r="I27" s="1112"/>
      <c r="J27" s="1112"/>
      <c r="K27" s="1112"/>
      <c r="L27" s="1112"/>
      <c r="M27" s="1112"/>
      <c r="N27" s="1112"/>
      <c r="O27" s="1112"/>
      <c r="P27" s="1112"/>
      <c r="Q27" s="1106"/>
      <c r="R27" s="1106"/>
      <c r="S27" s="1109"/>
      <c r="T27" s="1110"/>
      <c r="U27" s="1033"/>
      <c r="V27" s="1112"/>
      <c r="W27" s="1112"/>
      <c r="X27" s="1112"/>
      <c r="Y27" s="1112"/>
      <c r="Z27" s="1106"/>
      <c r="AA27" s="1106"/>
      <c r="AB27" s="1109"/>
      <c r="AC27" s="1121"/>
      <c r="AD27" s="1051"/>
      <c r="AE27" s="1137"/>
      <c r="AF27" s="1137"/>
      <c r="AG27" s="1138"/>
      <c r="AH27" s="1129"/>
      <c r="AI27" s="1130"/>
      <c r="AJ27" s="1130"/>
      <c r="AK27" s="1132"/>
      <c r="AL27" s="1132"/>
      <c r="AM27" s="1132"/>
      <c r="AN27" s="1132"/>
      <c r="AO27" s="1134"/>
      <c r="AP27" s="1134"/>
      <c r="AQ27" s="1134"/>
      <c r="AR27" s="135"/>
      <c r="AS27" s="145"/>
      <c r="AT27" s="145"/>
      <c r="AU27" s="1125"/>
      <c r="AV27" s="1142"/>
      <c r="AW27" s="988"/>
      <c r="AX27" s="1127"/>
      <c r="AY27" s="1123"/>
      <c r="AZ27" s="1119"/>
      <c r="BA27" s="1119"/>
      <c r="BB27" s="1119"/>
      <c r="BC27" s="1119"/>
    </row>
    <row r="28" spans="2:55" ht="15.95" customHeight="1" x14ac:dyDescent="0.25">
      <c r="B28" s="1063">
        <v>7</v>
      </c>
      <c r="C28" s="1103"/>
      <c r="D28" s="1103"/>
      <c r="E28" s="1103"/>
      <c r="F28" s="1111"/>
      <c r="G28" s="1111"/>
      <c r="H28" s="1111"/>
      <c r="I28" s="1111"/>
      <c r="J28" s="1111"/>
      <c r="K28" s="1111"/>
      <c r="L28" s="1111"/>
      <c r="M28" s="1111"/>
      <c r="N28" s="1111"/>
      <c r="O28" s="1111"/>
      <c r="P28" s="1111"/>
      <c r="Q28" s="1105"/>
      <c r="R28" s="1105"/>
      <c r="S28" s="1107"/>
      <c r="T28" s="1108"/>
      <c r="U28" s="1030"/>
      <c r="V28" s="1111"/>
      <c r="W28" s="1111"/>
      <c r="X28" s="1111"/>
      <c r="Y28" s="1111"/>
      <c r="Z28" s="1105"/>
      <c r="AA28" s="1105"/>
      <c r="AB28" s="1107"/>
      <c r="AC28" s="1120"/>
      <c r="AD28" s="1049"/>
      <c r="AE28" s="1135"/>
      <c r="AF28" s="1135"/>
      <c r="AG28" s="1136"/>
      <c r="AH28" s="1027" t="str">
        <f t="shared" ref="AH28" si="15">IF(OR(C28="",F28="",L28="",Q28="",S28="",U28="",Z28="",AB28="",AD28="",AF28=""),"",ROUND(AD28+AF28,2))</f>
        <v/>
      </c>
      <c r="AI28" s="1128"/>
      <c r="AJ28" s="1128"/>
      <c r="AK28" s="1131" t="str">
        <f t="shared" ref="AK28" si="16">IF(OR(C28="",F28="",L28="",Q28="",S28="",U28="",Z28="",AB28="",AD28="",AF28=""),"",IF(BC28&lt;&gt;"",BC28,IF(C28="New/Replace Failed Equip.",BA28,AZ28)))</f>
        <v/>
      </c>
      <c r="AL28" s="1131"/>
      <c r="AM28" s="1131"/>
      <c r="AN28" s="1131"/>
      <c r="AO28" s="1133" t="str">
        <f t="shared" ref="AO28" si="17">IF(OR(C28="",F28="",L28="",Q28="",S28="",U28="",Z28="",AB28="",AD28="",AF28=""),"",IF((Q28*S28)-(Z28*AB28)&lt;=0,0,ROUND((Q28*S28)-(Z28*AB28),0)))</f>
        <v/>
      </c>
      <c r="AP28" s="1133"/>
      <c r="AQ28" s="1133"/>
      <c r="AR28" s="135"/>
      <c r="AS28" s="145"/>
      <c r="AT28" s="145"/>
      <c r="AU28" s="1124" t="str">
        <f>IFERROR(IF(OR(C28="",F28="",L28="",Q28="",S28="",U28="",Z28="",AB28="",AD28="",AF28=""),"",((1+ELOSS)*PEAKTD*(1+INDEX(ELECCB[Capacity Reserve Margin],MATCH(AX28,ELECCB[Year Number],0)))*((AO28*INDEX(ELECCB[NPV AEC $/kWh],MATCH(AX28,ELECCB[Year Number],1)))+(AV28*INDEX(ELECCB[NPV ACC+T&amp;D $/kW],MATCH(AX28,ELECCB[Year Number],1))))/AH28)),0)</f>
        <v/>
      </c>
      <c r="AV28" s="1141" t="str">
        <f>IF(OR(C28="",F28="",L28="",Q28="",S28="",U28="",Z28="",AB28="",AD28="",AF28=""),"",ROUND(AO28*INDEX(ENDUSEALL[Factor],MATCH(AW28,ENDUSEALL[End Use to Coincident Peak Demand Factors],0)),4))</f>
        <v/>
      </c>
      <c r="AW28" s="987" t="str">
        <f>IF(OR(C28="",F28="",L28="",Q28="",S28="",U28="",Z28="",AB28="",AD28="",AF28=""),"",INDEX(CMECOMPAIR[End Use Category],MATCH(F28,CMECOMPAIR[Proj Desc 1],0)))</f>
        <v/>
      </c>
      <c r="AX28" s="1126" t="str">
        <f>IF(OR(C28="",F28="",L28="",Q28="",S28="",U28="",Z28="",AB28="",AD28="",AF28=""),"",INDEX(CMECOMPAIR[EUL],MATCH(F28,CMECOMPAIR[Proj Desc 1],0)))</f>
        <v/>
      </c>
      <c r="AY28" s="1122" t="str">
        <f>IF(OR(C28="",F28="",L28="",Q28="",S28="",U28="",Z28="",AB28="",AD28="",AF28=""),"",INDEX(CMECOMPAIR[Measure Number],MATCH(F28,CMECOMPAIR[Proj Desc 1],0)))</f>
        <v/>
      </c>
      <c r="AZ28" s="1118" t="str">
        <f>IFERROR(ROUND(MIN(AH28*0.5,AO28*INDEX(ENDUSEALL[Inc Rate],MATCH(AW28,ENDUSEALL[End Use to Coincident Peak Demand Factors],0))),2),"")</f>
        <v/>
      </c>
      <c r="BA28" s="1118" t="str">
        <f>IFERROR(ROUND(MIN(AH28,AO28*INDEX(ENDUSEALL[Inc Rate],MATCH(AW28,ENDUSEALL[End Use to Coincident Peak Demand Factors],0))),2),"")</f>
        <v/>
      </c>
      <c r="BB28" s="1118" t="str">
        <f>IFERROR(AH28/M02S02F35/AO28,"")</f>
        <v/>
      </c>
      <c r="BC28" s="1118" t="str">
        <f>IFERROR(IF((Q28*S28)-(Z28*AB28)&lt;=0,MEASURESAV,IF(M02S02F35="",MEASURERATE, IF(AH28/M02S02F35/AO28&lt;1,MEASUREPAY,IF(AU28&lt;1,MEASURECB,"")))),MEASURESUBMIT)</f>
        <v>Submit for Review</v>
      </c>
    </row>
    <row r="29" spans="2:55" ht="15.95" customHeight="1" x14ac:dyDescent="0.25">
      <c r="B29" s="1063"/>
      <c r="C29" s="1104"/>
      <c r="D29" s="1104"/>
      <c r="E29" s="1104"/>
      <c r="F29" s="1112"/>
      <c r="G29" s="1112"/>
      <c r="H29" s="1112"/>
      <c r="I29" s="1112"/>
      <c r="J29" s="1112"/>
      <c r="K29" s="1112"/>
      <c r="L29" s="1112"/>
      <c r="M29" s="1112"/>
      <c r="N29" s="1112"/>
      <c r="O29" s="1112"/>
      <c r="P29" s="1112"/>
      <c r="Q29" s="1106"/>
      <c r="R29" s="1106"/>
      <c r="S29" s="1109"/>
      <c r="T29" s="1110"/>
      <c r="U29" s="1033"/>
      <c r="V29" s="1112"/>
      <c r="W29" s="1112"/>
      <c r="X29" s="1112"/>
      <c r="Y29" s="1112"/>
      <c r="Z29" s="1106"/>
      <c r="AA29" s="1106"/>
      <c r="AB29" s="1109"/>
      <c r="AC29" s="1121"/>
      <c r="AD29" s="1051"/>
      <c r="AE29" s="1137"/>
      <c r="AF29" s="1137"/>
      <c r="AG29" s="1138"/>
      <c r="AH29" s="1129"/>
      <c r="AI29" s="1130"/>
      <c r="AJ29" s="1130"/>
      <c r="AK29" s="1132"/>
      <c r="AL29" s="1132"/>
      <c r="AM29" s="1132"/>
      <c r="AN29" s="1132"/>
      <c r="AO29" s="1134"/>
      <c r="AP29" s="1134"/>
      <c r="AQ29" s="1134"/>
      <c r="AR29" s="135"/>
      <c r="AS29" s="145"/>
      <c r="AT29" s="145"/>
      <c r="AU29" s="1125"/>
      <c r="AV29" s="1142"/>
      <c r="AW29" s="988"/>
      <c r="AX29" s="1127"/>
      <c r="AY29" s="1123"/>
      <c r="AZ29" s="1119"/>
      <c r="BA29" s="1119"/>
      <c r="BB29" s="1119"/>
      <c r="BC29" s="1119"/>
    </row>
    <row r="30" spans="2:55" ht="15.95" customHeight="1" x14ac:dyDescent="0.25">
      <c r="B30" s="1063">
        <v>8</v>
      </c>
      <c r="C30" s="1103"/>
      <c r="D30" s="1103"/>
      <c r="E30" s="1103"/>
      <c r="F30" s="1111"/>
      <c r="G30" s="1111"/>
      <c r="H30" s="1111"/>
      <c r="I30" s="1111"/>
      <c r="J30" s="1111"/>
      <c r="K30" s="1111"/>
      <c r="L30" s="1111"/>
      <c r="M30" s="1111"/>
      <c r="N30" s="1111"/>
      <c r="O30" s="1111"/>
      <c r="P30" s="1111"/>
      <c r="Q30" s="1105"/>
      <c r="R30" s="1105"/>
      <c r="S30" s="1107"/>
      <c r="T30" s="1108"/>
      <c r="U30" s="1030"/>
      <c r="V30" s="1111"/>
      <c r="W30" s="1111"/>
      <c r="X30" s="1111"/>
      <c r="Y30" s="1111"/>
      <c r="Z30" s="1105"/>
      <c r="AA30" s="1105"/>
      <c r="AB30" s="1107"/>
      <c r="AC30" s="1120"/>
      <c r="AD30" s="1049"/>
      <c r="AE30" s="1135"/>
      <c r="AF30" s="1135"/>
      <c r="AG30" s="1136"/>
      <c r="AH30" s="1027" t="str">
        <f t="shared" ref="AH30" si="18">IF(OR(C30="",F30="",L30="",Q30="",S30="",U30="",Z30="",AB30="",AD30="",AF30=""),"",ROUND(AD30+AF30,2))</f>
        <v/>
      </c>
      <c r="AI30" s="1128"/>
      <c r="AJ30" s="1128"/>
      <c r="AK30" s="1131" t="str">
        <f t="shared" ref="AK30" si="19">IF(OR(C30="",F30="",L30="",Q30="",S30="",U30="",Z30="",AB30="",AD30="",AF30=""),"",IF(BC30&lt;&gt;"",BC30,IF(C30="New/Replace Failed Equip.",BA30,AZ30)))</f>
        <v/>
      </c>
      <c r="AL30" s="1131"/>
      <c r="AM30" s="1131"/>
      <c r="AN30" s="1131"/>
      <c r="AO30" s="1133" t="str">
        <f t="shared" ref="AO30" si="20">IF(OR(C30="",F30="",L30="",Q30="",S30="",U30="",Z30="",AB30="",AD30="",AF30=""),"",IF((Q30*S30)-(Z30*AB30)&lt;=0,0,ROUND((Q30*S30)-(Z30*AB30),0)))</f>
        <v/>
      </c>
      <c r="AP30" s="1133"/>
      <c r="AQ30" s="1133"/>
      <c r="AR30" s="135"/>
      <c r="AS30" s="145"/>
      <c r="AT30" s="145"/>
      <c r="AU30" s="1124" t="str">
        <f>IFERROR(IF(OR(C30="",F30="",L30="",Q30="",S30="",U30="",Z30="",AB30="",AD30="",AF30=""),"",((1+ELOSS)*PEAKTD*(1+INDEX(ELECCB[Capacity Reserve Margin],MATCH(AX30,ELECCB[Year Number],0)))*((AO30*INDEX(ELECCB[NPV AEC $/kWh],MATCH(AX30,ELECCB[Year Number],1)))+(AV30*INDEX(ELECCB[NPV ACC+T&amp;D $/kW],MATCH(AX30,ELECCB[Year Number],1))))/AH30)),0)</f>
        <v/>
      </c>
      <c r="AV30" s="1141" t="str">
        <f>IF(OR(C30="",F30="",L30="",Q30="",S30="",U30="",Z30="",AB30="",AD30="",AF30=""),"",ROUND(AO30*INDEX(ENDUSEALL[Factor],MATCH(AW30,ENDUSEALL[End Use to Coincident Peak Demand Factors],0)),4))</f>
        <v/>
      </c>
      <c r="AW30" s="987" t="str">
        <f>IF(OR(C30="",F30="",L30="",Q30="",S30="",U30="",Z30="",AB30="",AD30="",AF30=""),"",INDEX(CMECOMPAIR[End Use Category],MATCH(F30,CMECOMPAIR[Proj Desc 1],0)))</f>
        <v/>
      </c>
      <c r="AX30" s="1126" t="str">
        <f>IF(OR(C30="",F30="",L30="",Q30="",S30="",U30="",Z30="",AB30="",AD30="",AF30=""),"",INDEX(CMECOMPAIR[EUL],MATCH(F30,CMECOMPAIR[Proj Desc 1],0)))</f>
        <v/>
      </c>
      <c r="AY30" s="1122" t="str">
        <f>IF(OR(C30="",F30="",L30="",Q30="",S30="",U30="",Z30="",AB30="",AD30="",AF30=""),"",INDEX(CMECOMPAIR[Measure Number],MATCH(F30,CMECOMPAIR[Proj Desc 1],0)))</f>
        <v/>
      </c>
      <c r="AZ30" s="1118" t="str">
        <f>IFERROR(ROUND(MIN(AH30*0.5,AO30*INDEX(ENDUSEALL[Inc Rate],MATCH(AW30,ENDUSEALL[End Use to Coincident Peak Demand Factors],0))),2),"")</f>
        <v/>
      </c>
      <c r="BA30" s="1118" t="str">
        <f>IFERROR(ROUND(MIN(AH30,AO30*INDEX(ENDUSEALL[Inc Rate],MATCH(AW30,ENDUSEALL[End Use to Coincident Peak Demand Factors],0))),2),"")</f>
        <v/>
      </c>
      <c r="BB30" s="1118" t="str">
        <f>IFERROR(AH30/M02S02F35/AO30,"")</f>
        <v/>
      </c>
      <c r="BC30" s="1118" t="str">
        <f>IFERROR(IF((Q30*S30)-(Z30*AB30)&lt;=0,MEASURESAV,IF(M02S02F35="",MEASURERATE, IF(AH30/M02S02F35/AO30&lt;1,MEASUREPAY,IF(AU30&lt;1,MEASURECB,"")))),MEASURESUBMIT)</f>
        <v>Submit for Review</v>
      </c>
    </row>
    <row r="31" spans="2:55" ht="15.95" customHeight="1" x14ac:dyDescent="0.25">
      <c r="B31" s="1063"/>
      <c r="C31" s="1104"/>
      <c r="D31" s="1104"/>
      <c r="E31" s="1104"/>
      <c r="F31" s="1112"/>
      <c r="G31" s="1112"/>
      <c r="H31" s="1112"/>
      <c r="I31" s="1112"/>
      <c r="J31" s="1112"/>
      <c r="K31" s="1112"/>
      <c r="L31" s="1112"/>
      <c r="M31" s="1112"/>
      <c r="N31" s="1112"/>
      <c r="O31" s="1112"/>
      <c r="P31" s="1112"/>
      <c r="Q31" s="1106"/>
      <c r="R31" s="1106"/>
      <c r="S31" s="1109"/>
      <c r="T31" s="1110"/>
      <c r="U31" s="1033"/>
      <c r="V31" s="1112"/>
      <c r="W31" s="1112"/>
      <c r="X31" s="1112"/>
      <c r="Y31" s="1112"/>
      <c r="Z31" s="1106"/>
      <c r="AA31" s="1106"/>
      <c r="AB31" s="1109"/>
      <c r="AC31" s="1121"/>
      <c r="AD31" s="1051"/>
      <c r="AE31" s="1137"/>
      <c r="AF31" s="1137"/>
      <c r="AG31" s="1138"/>
      <c r="AH31" s="1129"/>
      <c r="AI31" s="1130"/>
      <c r="AJ31" s="1130"/>
      <c r="AK31" s="1132"/>
      <c r="AL31" s="1132"/>
      <c r="AM31" s="1132"/>
      <c r="AN31" s="1132"/>
      <c r="AO31" s="1134"/>
      <c r="AP31" s="1134"/>
      <c r="AQ31" s="1134"/>
      <c r="AR31" s="135"/>
      <c r="AS31" s="145"/>
      <c r="AT31" s="145"/>
      <c r="AU31" s="1125"/>
      <c r="AV31" s="1142"/>
      <c r="AW31" s="988"/>
      <c r="AX31" s="1127"/>
      <c r="AY31" s="1123"/>
      <c r="AZ31" s="1119"/>
      <c r="BA31" s="1119"/>
      <c r="BB31" s="1119"/>
      <c r="BC31" s="1119"/>
    </row>
    <row r="32" spans="2:55" ht="15.95" customHeight="1" x14ac:dyDescent="0.25">
      <c r="B32" s="1063">
        <v>9</v>
      </c>
      <c r="C32" s="1103"/>
      <c r="D32" s="1103"/>
      <c r="E32" s="1103"/>
      <c r="F32" s="1111"/>
      <c r="G32" s="1111"/>
      <c r="H32" s="1111"/>
      <c r="I32" s="1111"/>
      <c r="J32" s="1111"/>
      <c r="K32" s="1111"/>
      <c r="L32" s="1111"/>
      <c r="M32" s="1111"/>
      <c r="N32" s="1111"/>
      <c r="O32" s="1111"/>
      <c r="P32" s="1111"/>
      <c r="Q32" s="1105"/>
      <c r="R32" s="1105"/>
      <c r="S32" s="1107"/>
      <c r="T32" s="1108"/>
      <c r="U32" s="1030"/>
      <c r="V32" s="1111"/>
      <c r="W32" s="1111"/>
      <c r="X32" s="1111"/>
      <c r="Y32" s="1111"/>
      <c r="Z32" s="1105"/>
      <c r="AA32" s="1105"/>
      <c r="AB32" s="1107"/>
      <c r="AC32" s="1120"/>
      <c r="AD32" s="1049"/>
      <c r="AE32" s="1135"/>
      <c r="AF32" s="1135"/>
      <c r="AG32" s="1136"/>
      <c r="AH32" s="1027" t="str">
        <f t="shared" ref="AH32" si="21">IF(OR(C32="",F32="",L32="",Q32="",S32="",U32="",Z32="",AB32="",AD32="",AF32=""),"",ROUND(AD32+AF32,2))</f>
        <v/>
      </c>
      <c r="AI32" s="1128"/>
      <c r="AJ32" s="1128"/>
      <c r="AK32" s="1131" t="str">
        <f t="shared" ref="AK32" si="22">IF(OR(C32="",F32="",L32="",Q32="",S32="",U32="",Z32="",AB32="",AD32="",AF32=""),"",IF(BC32&lt;&gt;"",BC32,IF(C32="New/Replace Failed Equip.",BA32,AZ32)))</f>
        <v/>
      </c>
      <c r="AL32" s="1131"/>
      <c r="AM32" s="1131"/>
      <c r="AN32" s="1131"/>
      <c r="AO32" s="1133" t="str">
        <f t="shared" ref="AO32" si="23">IF(OR(C32="",F32="",L32="",Q32="",S32="",U32="",Z32="",AB32="",AD32="",AF32=""),"",IF((Q32*S32)-(Z32*AB32)&lt;=0,0,ROUND((Q32*S32)-(Z32*AB32),0)))</f>
        <v/>
      </c>
      <c r="AP32" s="1133"/>
      <c r="AQ32" s="1133"/>
      <c r="AR32" s="135"/>
      <c r="AS32" s="145"/>
      <c r="AT32" s="145"/>
      <c r="AU32" s="1124" t="str">
        <f>IFERROR(IF(OR(C32="",F32="",L32="",Q32="",S32="",U32="",Z32="",AB32="",AD32="",AF32=""),"",((1+ELOSS)*PEAKTD*(1+INDEX(ELECCB[Capacity Reserve Margin],MATCH(AX32,ELECCB[Year Number],0)))*((AO32*INDEX(ELECCB[NPV AEC $/kWh],MATCH(AX32,ELECCB[Year Number],1)))+(AV32*INDEX(ELECCB[NPV ACC+T&amp;D $/kW],MATCH(AX32,ELECCB[Year Number],1))))/AH32)),0)</f>
        <v/>
      </c>
      <c r="AV32" s="1141" t="str">
        <f>IF(OR(C32="",F32="",L32="",Q32="",S32="",U32="",Z32="",AB32="",AD32="",AF32=""),"",ROUND(AO32*INDEX(ENDUSEALL[Factor],MATCH(AW32,ENDUSEALL[End Use to Coincident Peak Demand Factors],0)),4))</f>
        <v/>
      </c>
      <c r="AW32" s="987" t="str">
        <f>IF(OR(C32="",F32="",L32="",Q32="",S32="",U32="",Z32="",AB32="",AD32="",AF32=""),"",INDEX(CMECOMPAIR[End Use Category],MATCH(F32,CMECOMPAIR[Proj Desc 1],0)))</f>
        <v/>
      </c>
      <c r="AX32" s="1126" t="str">
        <f>IF(OR(C32="",F32="",L32="",Q32="",S32="",U32="",Z32="",AB32="",AD32="",AF32=""),"",INDEX(CMECOMPAIR[EUL],MATCH(F32,CMECOMPAIR[Proj Desc 1],0)))</f>
        <v/>
      </c>
      <c r="AY32" s="1122" t="str">
        <f>IF(OR(C32="",F32="",L32="",Q32="",S32="",U32="",Z32="",AB32="",AD32="",AF32=""),"",INDEX(CMECOMPAIR[Measure Number],MATCH(F32,CMECOMPAIR[Proj Desc 1],0)))</f>
        <v/>
      </c>
      <c r="AZ32" s="1118" t="str">
        <f>IFERROR(ROUND(MIN(AH32*0.5,AO32*INDEX(ENDUSEALL[Inc Rate],MATCH(AW32,ENDUSEALL[End Use to Coincident Peak Demand Factors],0))),2),"")</f>
        <v/>
      </c>
      <c r="BA32" s="1118" t="str">
        <f>IFERROR(ROUND(MIN(AH32,AO32*INDEX(ENDUSEALL[Inc Rate],MATCH(AW32,ENDUSEALL[End Use to Coincident Peak Demand Factors],0))),2),"")</f>
        <v/>
      </c>
      <c r="BB32" s="1118" t="str">
        <f>IFERROR(AH32/M02S02F35/AO32,"")</f>
        <v/>
      </c>
      <c r="BC32" s="1118" t="str">
        <f>IFERROR(IF((Q32*S32)-(Z32*AB32)&lt;=0,MEASURESAV,IF(M02S02F35="",MEASURERATE, IF(AH32/M02S02F35/AO32&lt;1,MEASUREPAY,IF(AU32&lt;1,MEASURECB,"")))),MEASURESUBMIT)</f>
        <v>Submit for Review</v>
      </c>
    </row>
    <row r="33" spans="2:55" ht="15.95" customHeight="1" x14ac:dyDescent="0.25">
      <c r="B33" s="1063"/>
      <c r="C33" s="1104"/>
      <c r="D33" s="1104"/>
      <c r="E33" s="1104"/>
      <c r="F33" s="1112"/>
      <c r="G33" s="1112"/>
      <c r="H33" s="1112"/>
      <c r="I33" s="1112"/>
      <c r="J33" s="1112"/>
      <c r="K33" s="1112"/>
      <c r="L33" s="1112"/>
      <c r="M33" s="1112"/>
      <c r="N33" s="1112"/>
      <c r="O33" s="1112"/>
      <c r="P33" s="1112"/>
      <c r="Q33" s="1106"/>
      <c r="R33" s="1106"/>
      <c r="S33" s="1109"/>
      <c r="T33" s="1110"/>
      <c r="U33" s="1033"/>
      <c r="V33" s="1112"/>
      <c r="W33" s="1112"/>
      <c r="X33" s="1112"/>
      <c r="Y33" s="1112"/>
      <c r="Z33" s="1106"/>
      <c r="AA33" s="1106"/>
      <c r="AB33" s="1109"/>
      <c r="AC33" s="1121"/>
      <c r="AD33" s="1051"/>
      <c r="AE33" s="1137"/>
      <c r="AF33" s="1137"/>
      <c r="AG33" s="1138"/>
      <c r="AH33" s="1129"/>
      <c r="AI33" s="1130"/>
      <c r="AJ33" s="1130"/>
      <c r="AK33" s="1132"/>
      <c r="AL33" s="1132"/>
      <c r="AM33" s="1132"/>
      <c r="AN33" s="1132"/>
      <c r="AO33" s="1134"/>
      <c r="AP33" s="1134"/>
      <c r="AQ33" s="1134"/>
      <c r="AR33" s="135"/>
      <c r="AS33" s="145"/>
      <c r="AT33" s="145"/>
      <c r="AU33" s="1125"/>
      <c r="AV33" s="1142"/>
      <c r="AW33" s="988"/>
      <c r="AX33" s="1127"/>
      <c r="AY33" s="1123"/>
      <c r="AZ33" s="1119"/>
      <c r="BA33" s="1119"/>
      <c r="BB33" s="1119"/>
      <c r="BC33" s="1119"/>
    </row>
    <row r="34" spans="2:55" ht="15.95" customHeight="1" x14ac:dyDescent="0.25">
      <c r="B34" s="1063">
        <v>10</v>
      </c>
      <c r="C34" s="1103"/>
      <c r="D34" s="1103"/>
      <c r="E34" s="1103"/>
      <c r="F34" s="1111"/>
      <c r="G34" s="1111"/>
      <c r="H34" s="1111"/>
      <c r="I34" s="1111"/>
      <c r="J34" s="1111"/>
      <c r="K34" s="1111"/>
      <c r="L34" s="1111"/>
      <c r="M34" s="1111"/>
      <c r="N34" s="1111"/>
      <c r="O34" s="1111"/>
      <c r="P34" s="1111"/>
      <c r="Q34" s="1105"/>
      <c r="R34" s="1105"/>
      <c r="S34" s="1107"/>
      <c r="T34" s="1108"/>
      <c r="U34" s="1030"/>
      <c r="V34" s="1111"/>
      <c r="W34" s="1111"/>
      <c r="X34" s="1111"/>
      <c r="Y34" s="1111"/>
      <c r="Z34" s="1105"/>
      <c r="AA34" s="1105"/>
      <c r="AB34" s="1107"/>
      <c r="AC34" s="1120"/>
      <c r="AD34" s="1049"/>
      <c r="AE34" s="1135"/>
      <c r="AF34" s="1135"/>
      <c r="AG34" s="1136"/>
      <c r="AH34" s="1027" t="str">
        <f t="shared" ref="AH34" si="24">IF(OR(C34="",F34="",L34="",Q34="",S34="",U34="",Z34="",AB34="",AD34="",AF34=""),"",ROUND(AD34+AF34,2))</f>
        <v/>
      </c>
      <c r="AI34" s="1128"/>
      <c r="AJ34" s="1128"/>
      <c r="AK34" s="1131" t="str">
        <f t="shared" ref="AK34" si="25">IF(OR(C34="",F34="",L34="",Q34="",S34="",U34="",Z34="",AB34="",AD34="",AF34=""),"",IF(BC34&lt;&gt;"",BC34,IF(C34="New/Replace Failed Equip.",BA34,AZ34)))</f>
        <v/>
      </c>
      <c r="AL34" s="1131"/>
      <c r="AM34" s="1131"/>
      <c r="AN34" s="1131"/>
      <c r="AO34" s="1133" t="str">
        <f t="shared" ref="AO34" si="26">IF(OR(C34="",F34="",L34="",Q34="",S34="",U34="",Z34="",AB34="",AD34="",AF34=""),"",IF((Q34*S34)-(Z34*AB34)&lt;=0,0,ROUND((Q34*S34)-(Z34*AB34),0)))</f>
        <v/>
      </c>
      <c r="AP34" s="1133"/>
      <c r="AQ34" s="1133"/>
      <c r="AR34" s="135"/>
      <c r="AS34" s="145"/>
      <c r="AT34" s="145"/>
      <c r="AU34" s="1124" t="str">
        <f>IFERROR(IF(OR(C34="",F34="",L34="",Q34="",S34="",U34="",Z34="",AB34="",AD34="",AF34=""),"",((1+ELOSS)*PEAKTD*(1+INDEX(ELECCB[Capacity Reserve Margin],MATCH(AX34,ELECCB[Year Number],0)))*((AO34*INDEX(ELECCB[NPV AEC $/kWh],MATCH(AX34,ELECCB[Year Number],1)))+(AV34*INDEX(ELECCB[NPV ACC+T&amp;D $/kW],MATCH(AX34,ELECCB[Year Number],1))))/AH34)),0)</f>
        <v/>
      </c>
      <c r="AV34" s="1141" t="str">
        <f>IF(OR(C34="",F34="",L34="",Q34="",S34="",U34="",Z34="",AB34="",AD34="",AF34=""),"",ROUND(AO34*INDEX(ENDUSEALL[Factor],MATCH(AW34,ENDUSEALL[End Use to Coincident Peak Demand Factors],0)),4))</f>
        <v/>
      </c>
      <c r="AW34" s="987" t="str">
        <f>IF(OR(C34="",F34="",L34="",Q34="",S34="",U34="",Z34="",AB34="",AD34="",AF34=""),"",INDEX(CMECOMPAIR[End Use Category],MATCH(F34,CMECOMPAIR[Proj Desc 1],0)))</f>
        <v/>
      </c>
      <c r="AX34" s="1126" t="str">
        <f>IF(OR(C34="",F34="",L34="",Q34="",S34="",U34="",Z34="",AB34="",AD34="",AF34=""),"",INDEX(CMECOMPAIR[EUL],MATCH(F34,CMECOMPAIR[Proj Desc 1],0)))</f>
        <v/>
      </c>
      <c r="AY34" s="1122" t="str">
        <f>IF(OR(C34="",F34="",L34="",Q34="",S34="",U34="",Z34="",AB34="",AD34="",AF34=""),"",INDEX(CMECOMPAIR[Measure Number],MATCH(F34,CMECOMPAIR[Proj Desc 1],0)))</f>
        <v/>
      </c>
      <c r="AZ34" s="1118" t="str">
        <f>IFERROR(ROUND(MIN(AH34*0.5,AO34*INDEX(ENDUSEALL[Inc Rate],MATCH(AW34,ENDUSEALL[End Use to Coincident Peak Demand Factors],0))),2),"")</f>
        <v/>
      </c>
      <c r="BA34" s="1118" t="str">
        <f>IFERROR(ROUND(MIN(AH34,AO34*INDEX(ENDUSEALL[Inc Rate],MATCH(AW34,ENDUSEALL[End Use to Coincident Peak Demand Factors],0))),2),"")</f>
        <v/>
      </c>
      <c r="BB34" s="1118" t="str">
        <f>IFERROR(AH34/M02S02F35/AO34,"")</f>
        <v/>
      </c>
      <c r="BC34" s="1118" t="str">
        <f>IFERROR(IF((Q34*S34)-(Z34*AB34)&lt;=0,MEASURESAV,IF(M02S02F35="",MEASURERATE, IF(AH34/M02S02F35/AO34&lt;1,MEASUREPAY,IF(AU34&lt;1,MEASURECB,"")))),MEASURESUBMIT)</f>
        <v>Submit for Review</v>
      </c>
    </row>
    <row r="35" spans="2:55" ht="15.95" customHeight="1" x14ac:dyDescent="0.25">
      <c r="B35" s="1063"/>
      <c r="C35" s="1104"/>
      <c r="D35" s="1104"/>
      <c r="E35" s="1104"/>
      <c r="F35" s="1112"/>
      <c r="G35" s="1112"/>
      <c r="H35" s="1112"/>
      <c r="I35" s="1112"/>
      <c r="J35" s="1112"/>
      <c r="K35" s="1112"/>
      <c r="L35" s="1112"/>
      <c r="M35" s="1112"/>
      <c r="N35" s="1112"/>
      <c r="O35" s="1112"/>
      <c r="P35" s="1112"/>
      <c r="Q35" s="1106"/>
      <c r="R35" s="1106"/>
      <c r="S35" s="1109"/>
      <c r="T35" s="1110"/>
      <c r="U35" s="1033"/>
      <c r="V35" s="1112"/>
      <c r="W35" s="1112"/>
      <c r="X35" s="1112"/>
      <c r="Y35" s="1112"/>
      <c r="Z35" s="1106"/>
      <c r="AA35" s="1106"/>
      <c r="AB35" s="1109"/>
      <c r="AC35" s="1121"/>
      <c r="AD35" s="1051"/>
      <c r="AE35" s="1137"/>
      <c r="AF35" s="1137"/>
      <c r="AG35" s="1138"/>
      <c r="AH35" s="1129"/>
      <c r="AI35" s="1130"/>
      <c r="AJ35" s="1130"/>
      <c r="AK35" s="1132"/>
      <c r="AL35" s="1132"/>
      <c r="AM35" s="1132"/>
      <c r="AN35" s="1132"/>
      <c r="AO35" s="1134"/>
      <c r="AP35" s="1134"/>
      <c r="AQ35" s="1134"/>
      <c r="AR35" s="135"/>
      <c r="AS35" s="145"/>
      <c r="AT35" s="145"/>
      <c r="AU35" s="1125"/>
      <c r="AV35" s="1142"/>
      <c r="AW35" s="988"/>
      <c r="AX35" s="1127"/>
      <c r="AY35" s="1123"/>
      <c r="AZ35" s="1119"/>
      <c r="BA35" s="1119"/>
      <c r="BB35" s="1119"/>
      <c r="BC35" s="1119"/>
    </row>
    <row r="36" spans="2:55" ht="15.95" hidden="1" customHeight="1" x14ac:dyDescent="0.25">
      <c r="B36" s="1063">
        <v>11</v>
      </c>
      <c r="C36" s="135"/>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row>
    <row r="37" spans="2:55" ht="15.95" hidden="1" customHeight="1" x14ac:dyDescent="0.25">
      <c r="B37" s="1063"/>
      <c r="C37" s="135"/>
      <c r="D37" s="135"/>
      <c r="E37" s="135"/>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row>
    <row r="38" spans="2:55" ht="15.95" hidden="1" customHeight="1" x14ac:dyDescent="0.25">
      <c r="B38" s="1063">
        <v>12</v>
      </c>
      <c r="C38" s="135"/>
      <c r="D38" s="135"/>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5"/>
    </row>
    <row r="39" spans="2:55" ht="15.95" hidden="1" customHeight="1" x14ac:dyDescent="0.25">
      <c r="B39" s="1063"/>
      <c r="C39" s="135"/>
      <c r="D39" s="135"/>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row>
    <row r="40" spans="2:55" ht="15.95" hidden="1" customHeight="1" x14ac:dyDescent="0.25">
      <c r="B40" s="1063">
        <v>13</v>
      </c>
      <c r="C40" s="135"/>
      <c r="D40" s="135"/>
      <c r="E40" s="135"/>
      <c r="F40" s="135"/>
      <c r="G40" s="135"/>
      <c r="H40" s="135"/>
      <c r="I40" s="135"/>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5"/>
    </row>
    <row r="41" spans="2:55" ht="15.95" hidden="1" customHeight="1" x14ac:dyDescent="0.25">
      <c r="B41" s="1063"/>
      <c r="C41" s="135"/>
      <c r="D41" s="135"/>
      <c r="E41" s="135"/>
      <c r="F41" s="135"/>
      <c r="G41" s="135"/>
      <c r="H41" s="135"/>
      <c r="I41" s="135"/>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c r="AR41" s="135"/>
    </row>
    <row r="42" spans="2:55" ht="15.95" hidden="1" customHeight="1" x14ac:dyDescent="0.25">
      <c r="B42" s="1063">
        <v>14</v>
      </c>
      <c r="C42" s="148"/>
      <c r="D42" s="148"/>
      <c r="E42" s="148"/>
      <c r="F42" s="148"/>
      <c r="G42" s="148"/>
      <c r="H42" s="148"/>
      <c r="I42" s="148"/>
      <c r="J42" s="148"/>
      <c r="K42" s="148"/>
      <c r="L42" s="148"/>
      <c r="M42" s="148"/>
      <c r="N42" s="148"/>
      <c r="O42" s="148"/>
      <c r="P42" s="148"/>
      <c r="Q42" s="148"/>
      <c r="R42" s="148"/>
      <c r="S42" s="148"/>
      <c r="T42" s="148"/>
      <c r="U42" s="148"/>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35"/>
    </row>
    <row r="43" spans="2:55" ht="15.95" hidden="1" customHeight="1" x14ac:dyDescent="0.25">
      <c r="B43" s="1063"/>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35"/>
    </row>
    <row r="44" spans="2:55" ht="15.95" hidden="1" customHeight="1" x14ac:dyDescent="0.25">
      <c r="B44" s="1063">
        <v>15</v>
      </c>
      <c r="C44" s="148"/>
      <c r="D44" s="148"/>
      <c r="E44" s="148"/>
      <c r="F44" s="148"/>
      <c r="G44" s="148"/>
      <c r="H44" s="148"/>
      <c r="I44" s="148"/>
      <c r="J44" s="148"/>
      <c r="K44" s="148"/>
      <c r="L44" s="148"/>
      <c r="M44" s="148"/>
      <c r="N44" s="148"/>
      <c r="O44" s="148"/>
      <c r="P44" s="148"/>
      <c r="Q44" s="148"/>
      <c r="R44" s="148"/>
      <c r="S44" s="148"/>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35"/>
    </row>
    <row r="45" spans="2:55" ht="15.95" hidden="1" customHeight="1" x14ac:dyDescent="0.25">
      <c r="B45" s="1063"/>
      <c r="C45" s="148"/>
      <c r="D45" s="148"/>
      <c r="E45" s="148"/>
      <c r="F45" s="148"/>
      <c r="G45" s="148"/>
      <c r="H45" s="148"/>
      <c r="I45" s="148"/>
      <c r="J45" s="148"/>
      <c r="K45" s="148"/>
      <c r="L45" s="148"/>
      <c r="M45" s="148"/>
      <c r="N45" s="148"/>
      <c r="O45" s="148"/>
      <c r="P45" s="148"/>
      <c r="Q45" s="148"/>
      <c r="R45" s="148"/>
      <c r="S45" s="148"/>
      <c r="T45" s="148"/>
      <c r="U45" s="148"/>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35"/>
    </row>
    <row r="46" spans="2:55" ht="15.95" hidden="1" customHeight="1" x14ac:dyDescent="0.25">
      <c r="B46" s="1063">
        <v>16</v>
      </c>
      <c r="C46" s="148"/>
      <c r="D46" s="148"/>
      <c r="E46" s="148"/>
      <c r="F46" s="148"/>
      <c r="G46" s="148"/>
      <c r="H46" s="148"/>
      <c r="I46" s="148"/>
      <c r="J46" s="148"/>
      <c r="K46" s="148"/>
      <c r="L46" s="148"/>
      <c r="M46" s="148"/>
      <c r="N46" s="148"/>
      <c r="O46" s="148"/>
      <c r="P46" s="148"/>
      <c r="Q46" s="148"/>
      <c r="R46" s="148"/>
      <c r="S46" s="148"/>
      <c r="T46" s="148"/>
      <c r="U46" s="148"/>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35"/>
    </row>
    <row r="47" spans="2:55" ht="15.95" hidden="1" customHeight="1" x14ac:dyDescent="0.25">
      <c r="B47" s="1063"/>
      <c r="C47" s="148"/>
      <c r="D47" s="148"/>
      <c r="E47" s="148"/>
      <c r="F47" s="148"/>
      <c r="G47" s="148"/>
      <c r="H47" s="148"/>
      <c r="I47" s="148"/>
      <c r="J47" s="148"/>
      <c r="K47" s="148"/>
      <c r="L47" s="148"/>
      <c r="M47" s="148"/>
      <c r="N47" s="148"/>
      <c r="O47" s="148"/>
      <c r="P47" s="148"/>
      <c r="Q47" s="148"/>
      <c r="R47" s="148"/>
      <c r="S47" s="148"/>
      <c r="T47" s="148"/>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35"/>
    </row>
    <row r="48" spans="2:55" ht="15.95" hidden="1" customHeight="1" x14ac:dyDescent="0.25">
      <c r="B48" s="1063">
        <v>17</v>
      </c>
      <c r="C48" s="148"/>
      <c r="D48" s="148"/>
      <c r="E48" s="148"/>
      <c r="F48" s="148"/>
      <c r="G48" s="148"/>
      <c r="H48" s="148"/>
      <c r="I48" s="148"/>
      <c r="J48" s="148"/>
      <c r="K48" s="148"/>
      <c r="L48" s="148"/>
      <c r="M48" s="148"/>
      <c r="N48" s="148"/>
      <c r="O48" s="148"/>
      <c r="P48" s="148"/>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35"/>
    </row>
    <row r="49" spans="2:44" ht="15.95" hidden="1" customHeight="1" x14ac:dyDescent="0.25">
      <c r="B49" s="1063"/>
      <c r="C49" s="148"/>
      <c r="D49" s="148"/>
      <c r="E49" s="148"/>
      <c r="F49" s="148"/>
      <c r="G49" s="148"/>
      <c r="H49" s="148"/>
      <c r="I49" s="148"/>
      <c r="J49" s="148"/>
      <c r="K49" s="148"/>
      <c r="L49" s="148"/>
      <c r="M49" s="148"/>
      <c r="N49" s="148"/>
      <c r="O49" s="148"/>
      <c r="P49" s="148"/>
      <c r="Q49" s="148"/>
      <c r="R49" s="148"/>
      <c r="S49" s="148"/>
      <c r="T49" s="148"/>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35"/>
    </row>
    <row r="50" spans="2:44" ht="15.95" hidden="1" customHeight="1" x14ac:dyDescent="0.25">
      <c r="B50" s="1063">
        <v>18</v>
      </c>
      <c r="C50" s="148"/>
      <c r="D50" s="148"/>
      <c r="E50" s="148"/>
      <c r="F50" s="148"/>
      <c r="G50" s="148"/>
      <c r="H50" s="148"/>
      <c r="I50" s="148"/>
      <c r="J50" s="148"/>
      <c r="K50" s="148"/>
      <c r="L50" s="148"/>
      <c r="M50" s="148"/>
      <c r="N50" s="148"/>
      <c r="O50" s="148"/>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35"/>
    </row>
    <row r="51" spans="2:44" ht="15.95" hidden="1" customHeight="1" x14ac:dyDescent="0.25">
      <c r="B51" s="1063"/>
      <c r="C51" s="148"/>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35"/>
    </row>
    <row r="52" spans="2:44" ht="15.95" hidden="1" customHeight="1" x14ac:dyDescent="0.25">
      <c r="B52" s="1063">
        <v>19</v>
      </c>
      <c r="C52" s="148"/>
      <c r="D52" s="148"/>
      <c r="E52" s="148"/>
      <c r="F52" s="148"/>
      <c r="G52" s="148"/>
      <c r="H52" s="148"/>
      <c r="I52" s="148"/>
      <c r="J52" s="148"/>
      <c r="K52" s="148"/>
      <c r="L52" s="148"/>
      <c r="M52" s="148"/>
      <c r="N52" s="148"/>
      <c r="O52" s="148"/>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35"/>
    </row>
    <row r="53" spans="2:44" ht="15.95" hidden="1" customHeight="1" x14ac:dyDescent="0.25">
      <c r="B53" s="1063"/>
      <c r="C53" s="148"/>
      <c r="D53" s="148"/>
      <c r="E53" s="148"/>
      <c r="F53" s="148"/>
      <c r="G53" s="148"/>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35"/>
    </row>
    <row r="54" spans="2:44" ht="15.95" hidden="1" customHeight="1" x14ac:dyDescent="0.25">
      <c r="B54" s="1063">
        <v>20</v>
      </c>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35"/>
    </row>
    <row r="55" spans="2:44" ht="15.95" hidden="1" customHeight="1" x14ac:dyDescent="0.25">
      <c r="B55" s="1063"/>
      <c r="C55" s="148"/>
      <c r="D55" s="148"/>
      <c r="E55" s="148"/>
      <c r="F55" s="148"/>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35"/>
    </row>
    <row r="56" spans="2:44" ht="15.95" hidden="1" customHeight="1" x14ac:dyDescent="0.25">
      <c r="B56" s="1063">
        <v>21</v>
      </c>
      <c r="C56" s="148"/>
      <c r="D56" s="148"/>
      <c r="E56" s="148"/>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35"/>
    </row>
    <row r="57" spans="2:44" ht="15.95" hidden="1" customHeight="1" x14ac:dyDescent="0.25">
      <c r="B57" s="1063"/>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35"/>
    </row>
    <row r="58" spans="2:44" ht="15.95" hidden="1" customHeight="1" x14ac:dyDescent="0.25">
      <c r="B58" s="1063">
        <v>22</v>
      </c>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35"/>
    </row>
    <row r="59" spans="2:44" ht="15.95" hidden="1" customHeight="1" x14ac:dyDescent="0.25">
      <c r="B59" s="1063"/>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35"/>
    </row>
    <row r="60" spans="2:44" ht="15.95" hidden="1" customHeight="1" x14ac:dyDescent="0.25">
      <c r="B60" s="1063">
        <v>23</v>
      </c>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35"/>
    </row>
    <row r="61" spans="2:44" ht="15.95" hidden="1" customHeight="1" x14ac:dyDescent="0.25">
      <c r="B61" s="1063"/>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35"/>
    </row>
    <row r="62" spans="2:44" ht="15.95" hidden="1" customHeight="1" x14ac:dyDescent="0.25">
      <c r="B62" s="1063">
        <v>24</v>
      </c>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35"/>
    </row>
    <row r="63" spans="2:44" ht="15.95" hidden="1" customHeight="1" x14ac:dyDescent="0.25">
      <c r="B63" s="1063"/>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35"/>
    </row>
    <row r="64" spans="2:44" ht="15.95" hidden="1" customHeight="1" x14ac:dyDescent="0.25">
      <c r="B64" s="1063">
        <v>25</v>
      </c>
      <c r="C64" s="148"/>
      <c r="D64" s="148"/>
      <c r="E64" s="148"/>
      <c r="F64" s="148"/>
      <c r="G64" s="148"/>
      <c r="H64" s="148"/>
      <c r="I64" s="148"/>
      <c r="J64" s="148"/>
      <c r="K64" s="148"/>
      <c r="L64" s="148"/>
      <c r="M64" s="148"/>
      <c r="N64" s="148"/>
      <c r="O64" s="148"/>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35"/>
    </row>
    <row r="65" spans="2:44" ht="15.95" hidden="1" customHeight="1" x14ac:dyDescent="0.25">
      <c r="B65" s="1063"/>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35"/>
    </row>
    <row r="66" spans="2:44" ht="15.95" hidden="1" customHeight="1" x14ac:dyDescent="0.25">
      <c r="B66" s="1063">
        <v>26</v>
      </c>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35"/>
    </row>
    <row r="67" spans="2:44" ht="15.95" hidden="1" customHeight="1" x14ac:dyDescent="0.25">
      <c r="B67" s="1063"/>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35"/>
    </row>
    <row r="68" spans="2:44" ht="15.95" hidden="1" customHeight="1" x14ac:dyDescent="0.25">
      <c r="B68" s="1063">
        <v>27</v>
      </c>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35"/>
    </row>
    <row r="69" spans="2:44" ht="15.95" hidden="1" customHeight="1" x14ac:dyDescent="0.25">
      <c r="B69" s="1063"/>
      <c r="C69" s="148"/>
      <c r="D69" s="148"/>
      <c r="E69" s="148"/>
      <c r="F69" s="148"/>
      <c r="G69" s="148"/>
      <c r="H69" s="148"/>
      <c r="I69" s="148"/>
      <c r="J69" s="148"/>
      <c r="K69" s="148"/>
      <c r="L69" s="148"/>
      <c r="M69" s="148"/>
      <c r="N69" s="148"/>
      <c r="O69" s="148"/>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35"/>
    </row>
    <row r="70" spans="2:44" ht="15.95" hidden="1" customHeight="1" x14ac:dyDescent="0.25">
      <c r="B70" s="1063">
        <v>28</v>
      </c>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35"/>
    </row>
    <row r="71" spans="2:44" ht="15.95" hidden="1" customHeight="1" x14ac:dyDescent="0.25">
      <c r="B71" s="1063"/>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35"/>
    </row>
    <row r="72" spans="2:44" ht="15.95" hidden="1" customHeight="1" x14ac:dyDescent="0.25">
      <c r="B72" s="1063">
        <v>29</v>
      </c>
      <c r="C72" s="148"/>
      <c r="D72" s="148"/>
      <c r="E72" s="148"/>
      <c r="F72" s="148"/>
      <c r="G72" s="148"/>
      <c r="H72" s="148"/>
      <c r="I72" s="148"/>
      <c r="J72" s="148"/>
      <c r="K72" s="148"/>
      <c r="L72" s="148"/>
      <c r="M72" s="148"/>
      <c r="N72" s="148"/>
      <c r="O72" s="148"/>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35"/>
    </row>
    <row r="73" spans="2:44" ht="15.95" hidden="1" customHeight="1" x14ac:dyDescent="0.25">
      <c r="B73" s="1063"/>
      <c r="C73" s="148"/>
      <c r="D73" s="148"/>
      <c r="E73" s="148"/>
      <c r="F73" s="148"/>
      <c r="G73" s="148"/>
      <c r="H73" s="148"/>
      <c r="I73" s="148"/>
      <c r="J73" s="148"/>
      <c r="K73" s="148"/>
      <c r="L73" s="148"/>
      <c r="M73" s="148"/>
      <c r="N73" s="148"/>
      <c r="O73" s="148"/>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35"/>
    </row>
    <row r="74" spans="2:44" ht="15.95" hidden="1" customHeight="1" x14ac:dyDescent="0.25">
      <c r="B74" s="1063">
        <v>30</v>
      </c>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35"/>
    </row>
    <row r="75" spans="2:44" ht="15.95" hidden="1" customHeight="1" x14ac:dyDescent="0.25">
      <c r="B75" s="1063"/>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35"/>
    </row>
    <row r="76" spans="2:44" ht="15.95" hidden="1" customHeight="1" x14ac:dyDescent="0.25">
      <c r="B76" s="1063">
        <v>31</v>
      </c>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35"/>
    </row>
    <row r="77" spans="2:44" ht="15.95" hidden="1" customHeight="1" x14ac:dyDescent="0.25">
      <c r="B77" s="1063"/>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35"/>
    </row>
    <row r="78" spans="2:44" ht="15.95" hidden="1" customHeight="1" x14ac:dyDescent="0.25">
      <c r="B78" s="1063">
        <v>32</v>
      </c>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35"/>
    </row>
    <row r="79" spans="2:44" ht="15.95" hidden="1" customHeight="1" x14ac:dyDescent="0.25">
      <c r="B79" s="1063"/>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35"/>
    </row>
    <row r="80" spans="2:44" ht="15.95" hidden="1" customHeight="1" x14ac:dyDescent="0.25">
      <c r="B80" s="1063">
        <v>33</v>
      </c>
      <c r="C80" s="148"/>
      <c r="D80" s="148"/>
      <c r="E80" s="148"/>
      <c r="F80" s="148"/>
      <c r="G80" s="148"/>
      <c r="H80" s="148"/>
      <c r="I80" s="148"/>
      <c r="J80" s="148"/>
      <c r="K80" s="148"/>
      <c r="L80" s="148"/>
      <c r="M80" s="148"/>
      <c r="N80" s="148"/>
      <c r="O80" s="148"/>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35"/>
    </row>
    <row r="81" spans="2:44" ht="15.95" hidden="1" customHeight="1" x14ac:dyDescent="0.25">
      <c r="B81" s="1063"/>
      <c r="C81" s="148"/>
      <c r="D81" s="148"/>
      <c r="E81" s="148"/>
      <c r="F81" s="148"/>
      <c r="G81" s="148"/>
      <c r="H81" s="148"/>
      <c r="I81" s="148"/>
      <c r="J81" s="148"/>
      <c r="K81" s="148"/>
      <c r="L81" s="148"/>
      <c r="M81" s="148"/>
      <c r="N81" s="148"/>
      <c r="O81" s="148"/>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35"/>
    </row>
    <row r="82" spans="2:44" ht="15.95" hidden="1" customHeight="1" x14ac:dyDescent="0.25">
      <c r="B82" s="1063">
        <v>34</v>
      </c>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35"/>
    </row>
    <row r="83" spans="2:44" ht="15.95" hidden="1" customHeight="1" x14ac:dyDescent="0.25">
      <c r="B83" s="1063"/>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35"/>
    </row>
    <row r="84" spans="2:44" ht="15.95" hidden="1" customHeight="1" x14ac:dyDescent="0.25">
      <c r="B84" s="1063">
        <v>35</v>
      </c>
      <c r="C84" s="148"/>
      <c r="D84" s="148"/>
      <c r="E84" s="148"/>
      <c r="F84" s="148"/>
      <c r="G84" s="148"/>
      <c r="H84" s="148"/>
      <c r="I84" s="148"/>
      <c r="J84" s="148"/>
      <c r="K84" s="148"/>
      <c r="L84" s="148"/>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35"/>
    </row>
    <row r="85" spans="2:44" ht="15.95" hidden="1" customHeight="1" x14ac:dyDescent="0.25">
      <c r="B85" s="1063"/>
      <c r="C85" s="148"/>
      <c r="D85" s="148"/>
      <c r="E85" s="148"/>
      <c r="F85" s="148"/>
      <c r="G85" s="148"/>
      <c r="H85" s="148"/>
      <c r="I85" s="148"/>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35"/>
    </row>
    <row r="86" spans="2:44" ht="15.95" hidden="1" customHeight="1" x14ac:dyDescent="0.25">
      <c r="B86" s="1063">
        <v>36</v>
      </c>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35"/>
    </row>
    <row r="87" spans="2:44" ht="15.95" hidden="1" customHeight="1" x14ac:dyDescent="0.25">
      <c r="B87" s="1063"/>
      <c r="C87" s="148"/>
      <c r="D87" s="148"/>
      <c r="E87" s="148"/>
      <c r="F87" s="148"/>
      <c r="G87" s="148"/>
      <c r="H87" s="148"/>
      <c r="I87" s="148"/>
      <c r="J87" s="148"/>
      <c r="K87" s="148"/>
      <c r="L87" s="148"/>
      <c r="M87" s="148"/>
      <c r="N87" s="148"/>
      <c r="O87" s="148"/>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35"/>
    </row>
    <row r="88" spans="2:44" ht="15.95" hidden="1" customHeight="1" x14ac:dyDescent="0.25">
      <c r="B88" s="1063">
        <v>37</v>
      </c>
      <c r="C88" s="148"/>
      <c r="D88" s="148"/>
      <c r="E88" s="148"/>
      <c r="F88" s="148"/>
      <c r="G88" s="148"/>
      <c r="H88" s="148"/>
      <c r="I88" s="148"/>
      <c r="J88" s="148"/>
      <c r="K88" s="148"/>
      <c r="L88" s="148"/>
      <c r="M88" s="148"/>
      <c r="N88" s="148"/>
      <c r="O88" s="148"/>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35"/>
    </row>
    <row r="89" spans="2:44" ht="15.95" hidden="1" customHeight="1" x14ac:dyDescent="0.25">
      <c r="B89" s="1063"/>
      <c r="C89" s="148"/>
      <c r="D89" s="148"/>
      <c r="E89" s="148"/>
      <c r="F89" s="148"/>
      <c r="G89" s="148"/>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35"/>
    </row>
    <row r="90" spans="2:44" ht="15.95" hidden="1" customHeight="1" x14ac:dyDescent="0.25">
      <c r="B90" s="1063">
        <v>38</v>
      </c>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35"/>
    </row>
    <row r="91" spans="2:44" ht="15.95" hidden="1" customHeight="1" x14ac:dyDescent="0.25">
      <c r="B91" s="1063"/>
      <c r="C91" s="148"/>
      <c r="D91" s="148"/>
      <c r="E91" s="148"/>
      <c r="F91" s="148"/>
      <c r="G91" s="148"/>
      <c r="H91" s="148"/>
      <c r="I91" s="148"/>
      <c r="J91" s="148"/>
      <c r="K91" s="148"/>
      <c r="L91" s="148"/>
      <c r="M91" s="148"/>
      <c r="N91" s="148"/>
      <c r="O91" s="148"/>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35"/>
    </row>
    <row r="92" spans="2:44" ht="15.95" hidden="1" customHeight="1" x14ac:dyDescent="0.25">
      <c r="B92" s="1063">
        <v>39</v>
      </c>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35"/>
    </row>
    <row r="93" spans="2:44" ht="15.95" hidden="1" customHeight="1" x14ac:dyDescent="0.25">
      <c r="B93" s="1063"/>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35"/>
    </row>
    <row r="94" spans="2:44" ht="15.95" hidden="1" customHeight="1" x14ac:dyDescent="0.25">
      <c r="B94" s="1063">
        <v>40</v>
      </c>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35"/>
    </row>
    <row r="95" spans="2:44" ht="15.95" hidden="1" customHeight="1" x14ac:dyDescent="0.25">
      <c r="B95" s="1063"/>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35"/>
    </row>
    <row r="96" spans="2:44" ht="15.95" hidden="1" customHeight="1" x14ac:dyDescent="0.25">
      <c r="B96" s="1063">
        <v>41</v>
      </c>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35"/>
    </row>
    <row r="97" spans="2:44" ht="15.95" hidden="1" customHeight="1" x14ac:dyDescent="0.25">
      <c r="B97" s="1063"/>
      <c r="C97" s="148"/>
      <c r="D97" s="148"/>
      <c r="E97" s="148"/>
      <c r="F97" s="148"/>
      <c r="G97" s="148"/>
      <c r="H97" s="148"/>
      <c r="I97" s="148"/>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35"/>
    </row>
    <row r="98" spans="2:44" ht="15.95" hidden="1" customHeight="1" x14ac:dyDescent="0.25">
      <c r="B98" s="1063">
        <v>42</v>
      </c>
      <c r="C98" s="148"/>
      <c r="D98" s="148"/>
      <c r="E98" s="148"/>
      <c r="F98" s="148"/>
      <c r="G98" s="148"/>
      <c r="H98" s="148"/>
      <c r="I98" s="148"/>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35"/>
    </row>
    <row r="99" spans="2:44" ht="15.95" hidden="1" customHeight="1" x14ac:dyDescent="0.25">
      <c r="B99" s="1063"/>
      <c r="C99" s="148"/>
      <c r="D99" s="148"/>
      <c r="E99" s="148"/>
      <c r="F99" s="148"/>
      <c r="G99" s="148"/>
      <c r="H99" s="148"/>
      <c r="I99" s="148"/>
      <c r="J99" s="148"/>
      <c r="K99" s="148"/>
      <c r="L99" s="148"/>
      <c r="M99" s="148"/>
      <c r="N99" s="148"/>
      <c r="O99" s="148"/>
      <c r="P99" s="148"/>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35"/>
    </row>
    <row r="100" spans="2:44" ht="15.95" hidden="1" customHeight="1" x14ac:dyDescent="0.25">
      <c r="B100" s="1063">
        <v>43</v>
      </c>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35"/>
    </row>
    <row r="101" spans="2:44" ht="15.95" hidden="1" customHeight="1" x14ac:dyDescent="0.25">
      <c r="B101" s="1063"/>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35"/>
    </row>
    <row r="102" spans="2:44" ht="15.95" hidden="1" customHeight="1" x14ac:dyDescent="0.25">
      <c r="B102" s="1063">
        <v>44</v>
      </c>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35"/>
    </row>
    <row r="103" spans="2:44" ht="15.95" hidden="1" customHeight="1" x14ac:dyDescent="0.25">
      <c r="B103" s="1063"/>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35"/>
    </row>
    <row r="104" spans="2:44" ht="15.95" hidden="1" customHeight="1" x14ac:dyDescent="0.25">
      <c r="B104" s="1063">
        <v>45</v>
      </c>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8"/>
      <c r="AN104" s="148"/>
      <c r="AO104" s="148"/>
      <c r="AP104" s="148"/>
      <c r="AQ104" s="148"/>
      <c r="AR104" s="135"/>
    </row>
    <row r="105" spans="2:44" ht="15.95" hidden="1" customHeight="1" x14ac:dyDescent="0.25">
      <c r="B105" s="1063"/>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35"/>
    </row>
    <row r="106" spans="2:44" ht="15.95" hidden="1" customHeight="1" x14ac:dyDescent="0.25">
      <c r="B106" s="1063">
        <v>46</v>
      </c>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c r="AA106" s="148"/>
      <c r="AB106" s="148"/>
      <c r="AC106" s="148"/>
      <c r="AD106" s="148"/>
      <c r="AE106" s="148"/>
      <c r="AF106" s="148"/>
      <c r="AG106" s="148"/>
      <c r="AH106" s="148"/>
      <c r="AI106" s="148"/>
      <c r="AJ106" s="148"/>
      <c r="AK106" s="148"/>
      <c r="AL106" s="148"/>
      <c r="AM106" s="148"/>
      <c r="AN106" s="148"/>
      <c r="AO106" s="148"/>
      <c r="AP106" s="148"/>
      <c r="AQ106" s="148"/>
      <c r="AR106" s="135"/>
    </row>
    <row r="107" spans="2:44" ht="15.95" hidden="1" customHeight="1" x14ac:dyDescent="0.25">
      <c r="B107" s="1063"/>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c r="AA107" s="148"/>
      <c r="AB107" s="148"/>
      <c r="AC107" s="148"/>
      <c r="AD107" s="148"/>
      <c r="AE107" s="148"/>
      <c r="AF107" s="148"/>
      <c r="AG107" s="148"/>
      <c r="AH107" s="148"/>
      <c r="AI107" s="148"/>
      <c r="AJ107" s="148"/>
      <c r="AK107" s="148"/>
      <c r="AL107" s="148"/>
      <c r="AM107" s="148"/>
      <c r="AN107" s="148"/>
      <c r="AO107" s="148"/>
      <c r="AP107" s="148"/>
      <c r="AQ107" s="148"/>
      <c r="AR107" s="135"/>
    </row>
    <row r="108" spans="2:44" ht="15.95" hidden="1" customHeight="1" x14ac:dyDescent="0.25">
      <c r="B108" s="1063">
        <v>47</v>
      </c>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35"/>
    </row>
    <row r="109" spans="2:44" ht="15.95" hidden="1" customHeight="1" x14ac:dyDescent="0.25">
      <c r="B109" s="1063"/>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c r="AA109" s="148"/>
      <c r="AB109" s="148"/>
      <c r="AC109" s="148"/>
      <c r="AD109" s="148"/>
      <c r="AE109" s="148"/>
      <c r="AF109" s="148"/>
      <c r="AG109" s="148"/>
      <c r="AH109" s="148"/>
      <c r="AI109" s="148"/>
      <c r="AJ109" s="148"/>
      <c r="AK109" s="148"/>
      <c r="AL109" s="148"/>
      <c r="AM109" s="148"/>
      <c r="AN109" s="148"/>
      <c r="AO109" s="148"/>
      <c r="AP109" s="148"/>
      <c r="AQ109" s="148"/>
      <c r="AR109" s="135"/>
    </row>
    <row r="110" spans="2:44" ht="15.95" hidden="1" customHeight="1" x14ac:dyDescent="0.25">
      <c r="B110" s="1063">
        <v>48</v>
      </c>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35"/>
    </row>
    <row r="111" spans="2:44" ht="15.95" hidden="1" customHeight="1" x14ac:dyDescent="0.25">
      <c r="B111" s="1063"/>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c r="AA111" s="148"/>
      <c r="AB111" s="148"/>
      <c r="AC111" s="148"/>
      <c r="AD111" s="148"/>
      <c r="AE111" s="148"/>
      <c r="AF111" s="148"/>
      <c r="AG111" s="148"/>
      <c r="AH111" s="148"/>
      <c r="AI111" s="148"/>
      <c r="AJ111" s="148"/>
      <c r="AK111" s="148"/>
      <c r="AL111" s="148"/>
      <c r="AM111" s="148"/>
      <c r="AN111" s="148"/>
      <c r="AO111" s="148"/>
      <c r="AP111" s="148"/>
      <c r="AQ111" s="148"/>
      <c r="AR111" s="135"/>
    </row>
    <row r="112" spans="2:44" ht="15.95" hidden="1" customHeight="1" x14ac:dyDescent="0.25">
      <c r="B112" s="1063">
        <v>49</v>
      </c>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35"/>
    </row>
    <row r="113" spans="2:44" ht="15.95" hidden="1" customHeight="1" x14ac:dyDescent="0.25">
      <c r="B113" s="1063"/>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35"/>
    </row>
    <row r="114" spans="2:44" ht="15.95" hidden="1" customHeight="1" x14ac:dyDescent="0.25">
      <c r="B114" s="1063">
        <v>50</v>
      </c>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35"/>
    </row>
    <row r="115" spans="2:44" ht="15.95" hidden="1" customHeight="1" x14ac:dyDescent="0.25">
      <c r="B115" s="1063"/>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48"/>
      <c r="AR115" s="135"/>
    </row>
    <row r="116" spans="2:44" ht="15.95" hidden="1" customHeight="1" x14ac:dyDescent="0.25">
      <c r="B116" s="1063">
        <v>51</v>
      </c>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35"/>
    </row>
    <row r="117" spans="2:44" ht="15.95" hidden="1" customHeight="1" x14ac:dyDescent="0.25">
      <c r="B117" s="1063"/>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35"/>
    </row>
    <row r="118" spans="2:44" ht="15.95" hidden="1" customHeight="1" x14ac:dyDescent="0.25">
      <c r="B118" s="1063">
        <v>52</v>
      </c>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35"/>
    </row>
    <row r="119" spans="2:44" ht="15.95" hidden="1" customHeight="1" x14ac:dyDescent="0.25">
      <c r="B119" s="1063"/>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c r="AA119" s="148"/>
      <c r="AB119" s="148"/>
      <c r="AC119" s="148"/>
      <c r="AD119" s="148"/>
      <c r="AE119" s="148"/>
      <c r="AF119" s="148"/>
      <c r="AG119" s="148"/>
      <c r="AH119" s="148"/>
      <c r="AI119" s="148"/>
      <c r="AJ119" s="148"/>
      <c r="AK119" s="148"/>
      <c r="AL119" s="148"/>
      <c r="AM119" s="148"/>
      <c r="AN119" s="148"/>
      <c r="AO119" s="148"/>
      <c r="AP119" s="148"/>
      <c r="AQ119" s="148"/>
      <c r="AR119" s="135"/>
    </row>
    <row r="120" spans="2:44" ht="15.95" hidden="1" customHeight="1" x14ac:dyDescent="0.25">
      <c r="B120" s="1063">
        <v>53</v>
      </c>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48"/>
      <c r="AG120" s="148"/>
      <c r="AH120" s="148"/>
      <c r="AI120" s="148"/>
      <c r="AJ120" s="148"/>
      <c r="AK120" s="148"/>
      <c r="AL120" s="148"/>
      <c r="AM120" s="148"/>
      <c r="AN120" s="148"/>
      <c r="AO120" s="148"/>
      <c r="AP120" s="148"/>
      <c r="AQ120" s="148"/>
      <c r="AR120" s="135"/>
    </row>
    <row r="121" spans="2:44" ht="15.95" hidden="1" customHeight="1" x14ac:dyDescent="0.25">
      <c r="B121" s="1063"/>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c r="AK121" s="148"/>
      <c r="AL121" s="148"/>
      <c r="AM121" s="148"/>
      <c r="AN121" s="148"/>
      <c r="AO121" s="148"/>
      <c r="AP121" s="148"/>
      <c r="AQ121" s="148"/>
      <c r="AR121" s="135"/>
    </row>
    <row r="122" spans="2:44" ht="15.95" hidden="1" customHeight="1" x14ac:dyDescent="0.25">
      <c r="B122" s="1063">
        <v>54</v>
      </c>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148"/>
      <c r="AM122" s="148"/>
      <c r="AN122" s="148"/>
      <c r="AO122" s="148"/>
      <c r="AP122" s="148"/>
      <c r="AQ122" s="148"/>
      <c r="AR122" s="135"/>
    </row>
    <row r="123" spans="2:44" ht="15.95" hidden="1" customHeight="1" x14ac:dyDescent="0.25">
      <c r="B123" s="1063"/>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8"/>
      <c r="AN123" s="148"/>
      <c r="AO123" s="148"/>
      <c r="AP123" s="148"/>
      <c r="AQ123" s="148"/>
      <c r="AR123" s="135"/>
    </row>
    <row r="124" spans="2:44" ht="15.95" hidden="1" customHeight="1" x14ac:dyDescent="0.25">
      <c r="B124" s="1063">
        <v>55</v>
      </c>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c r="AA124" s="148"/>
      <c r="AB124" s="148"/>
      <c r="AC124" s="148"/>
      <c r="AD124" s="148"/>
      <c r="AE124" s="148"/>
      <c r="AF124" s="148"/>
      <c r="AG124" s="148"/>
      <c r="AH124" s="148"/>
      <c r="AI124" s="148"/>
      <c r="AJ124" s="148"/>
      <c r="AK124" s="148"/>
      <c r="AL124" s="148"/>
      <c r="AM124" s="148"/>
      <c r="AN124" s="148"/>
      <c r="AO124" s="148"/>
      <c r="AP124" s="148"/>
      <c r="AQ124" s="148"/>
      <c r="AR124" s="135"/>
    </row>
    <row r="125" spans="2:44" ht="15.95" hidden="1" customHeight="1" x14ac:dyDescent="0.25">
      <c r="B125" s="1063"/>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c r="AA125" s="148"/>
      <c r="AB125" s="148"/>
      <c r="AC125" s="148"/>
      <c r="AD125" s="148"/>
      <c r="AE125" s="148"/>
      <c r="AF125" s="148"/>
      <c r="AG125" s="148"/>
      <c r="AH125" s="148"/>
      <c r="AI125" s="148"/>
      <c r="AJ125" s="148"/>
      <c r="AK125" s="148"/>
      <c r="AL125" s="148"/>
      <c r="AM125" s="148"/>
      <c r="AN125" s="148"/>
      <c r="AO125" s="148"/>
      <c r="AP125" s="148"/>
      <c r="AQ125" s="148"/>
      <c r="AR125" s="135"/>
    </row>
    <row r="126" spans="2:44" ht="15.95" hidden="1" customHeight="1" x14ac:dyDescent="0.25">
      <c r="B126" s="1063">
        <v>56</v>
      </c>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8"/>
      <c r="AN126" s="148"/>
      <c r="AO126" s="148"/>
      <c r="AP126" s="148"/>
      <c r="AQ126" s="148"/>
      <c r="AR126" s="135"/>
    </row>
    <row r="127" spans="2:44" ht="15.95" hidden="1" customHeight="1" x14ac:dyDescent="0.25">
      <c r="B127" s="1063"/>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c r="AK127" s="148"/>
      <c r="AL127" s="148"/>
      <c r="AM127" s="148"/>
      <c r="AN127" s="148"/>
      <c r="AO127" s="148"/>
      <c r="AP127" s="148"/>
      <c r="AQ127" s="148"/>
      <c r="AR127" s="135"/>
    </row>
    <row r="128" spans="2:44" ht="15.95" hidden="1" customHeight="1" x14ac:dyDescent="0.25">
      <c r="B128" s="1063">
        <v>57</v>
      </c>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48"/>
      <c r="AG128" s="148"/>
      <c r="AH128" s="148"/>
      <c r="AI128" s="148"/>
      <c r="AJ128" s="148"/>
      <c r="AK128" s="148"/>
      <c r="AL128" s="148"/>
      <c r="AM128" s="148"/>
      <c r="AN128" s="148"/>
      <c r="AO128" s="148"/>
      <c r="AP128" s="148"/>
      <c r="AQ128" s="148"/>
      <c r="AR128" s="135"/>
    </row>
    <row r="129" spans="2:44" ht="15.95" hidden="1" customHeight="1" x14ac:dyDescent="0.25">
      <c r="B129" s="1063"/>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c r="AA129" s="148"/>
      <c r="AB129" s="148"/>
      <c r="AC129" s="148"/>
      <c r="AD129" s="148"/>
      <c r="AE129" s="148"/>
      <c r="AF129" s="148"/>
      <c r="AG129" s="148"/>
      <c r="AH129" s="148"/>
      <c r="AI129" s="148"/>
      <c r="AJ129" s="148"/>
      <c r="AK129" s="148"/>
      <c r="AL129" s="148"/>
      <c r="AM129" s="148"/>
      <c r="AN129" s="148"/>
      <c r="AO129" s="148"/>
      <c r="AP129" s="148"/>
      <c r="AQ129" s="148"/>
      <c r="AR129" s="135"/>
    </row>
    <row r="130" spans="2:44" ht="15.95" hidden="1" customHeight="1" x14ac:dyDescent="0.25">
      <c r="B130" s="1063">
        <v>58</v>
      </c>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c r="AA130" s="148"/>
      <c r="AB130" s="148"/>
      <c r="AC130" s="148"/>
      <c r="AD130" s="148"/>
      <c r="AE130" s="148"/>
      <c r="AF130" s="148"/>
      <c r="AG130" s="148"/>
      <c r="AH130" s="148"/>
      <c r="AI130" s="148"/>
      <c r="AJ130" s="148"/>
      <c r="AK130" s="148"/>
      <c r="AL130" s="148"/>
      <c r="AM130" s="148"/>
      <c r="AN130" s="148"/>
      <c r="AO130" s="148"/>
      <c r="AP130" s="148"/>
      <c r="AQ130" s="148"/>
      <c r="AR130" s="135"/>
    </row>
    <row r="131" spans="2:44" ht="15.95" hidden="1" customHeight="1" x14ac:dyDescent="0.25">
      <c r="B131" s="1063"/>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c r="AA131" s="148"/>
      <c r="AB131" s="148"/>
      <c r="AC131" s="148"/>
      <c r="AD131" s="148"/>
      <c r="AE131" s="148"/>
      <c r="AF131" s="148"/>
      <c r="AG131" s="148"/>
      <c r="AH131" s="148"/>
      <c r="AI131" s="148"/>
      <c r="AJ131" s="148"/>
      <c r="AK131" s="148"/>
      <c r="AL131" s="148"/>
      <c r="AM131" s="148"/>
      <c r="AN131" s="148"/>
      <c r="AO131" s="148"/>
      <c r="AP131" s="148"/>
      <c r="AQ131" s="148"/>
      <c r="AR131" s="135"/>
    </row>
    <row r="132" spans="2:44" ht="15.95" hidden="1" customHeight="1" x14ac:dyDescent="0.25">
      <c r="B132" s="1063">
        <v>59</v>
      </c>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35"/>
    </row>
    <row r="133" spans="2:44" ht="15.95" hidden="1" customHeight="1" x14ac:dyDescent="0.25">
      <c r="B133" s="1063"/>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35"/>
    </row>
    <row r="134" spans="2:44" ht="15.95" hidden="1" customHeight="1" x14ac:dyDescent="0.25">
      <c r="B134" s="1063">
        <v>60</v>
      </c>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35"/>
    </row>
    <row r="135" spans="2:44" ht="15.95" hidden="1" customHeight="1" x14ac:dyDescent="0.25">
      <c r="B135" s="1063"/>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48"/>
      <c r="AR135" s="135"/>
    </row>
    <row r="136" spans="2:44" ht="15.95" hidden="1" customHeight="1" x14ac:dyDescent="0.25">
      <c r="B136" s="1063">
        <v>61</v>
      </c>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148"/>
      <c r="AG136" s="148"/>
      <c r="AH136" s="148"/>
      <c r="AI136" s="148"/>
      <c r="AJ136" s="148"/>
      <c r="AK136" s="148"/>
      <c r="AL136" s="148"/>
      <c r="AM136" s="148"/>
      <c r="AN136" s="148"/>
      <c r="AO136" s="148"/>
      <c r="AP136" s="148"/>
      <c r="AQ136" s="148"/>
      <c r="AR136" s="135"/>
    </row>
    <row r="137" spans="2:44" ht="15.95" hidden="1" customHeight="1" x14ac:dyDescent="0.25">
      <c r="B137" s="1063"/>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c r="AA137" s="148"/>
      <c r="AB137" s="148"/>
      <c r="AC137" s="148"/>
      <c r="AD137" s="148"/>
      <c r="AE137" s="148"/>
      <c r="AF137" s="148"/>
      <c r="AG137" s="148"/>
      <c r="AH137" s="148"/>
      <c r="AI137" s="148"/>
      <c r="AJ137" s="148"/>
      <c r="AK137" s="148"/>
      <c r="AL137" s="148"/>
      <c r="AM137" s="148"/>
      <c r="AN137" s="148"/>
      <c r="AO137" s="148"/>
      <c r="AP137" s="148"/>
      <c r="AQ137" s="148"/>
      <c r="AR137" s="135"/>
    </row>
    <row r="138" spans="2:44" ht="15.95" hidden="1" customHeight="1" x14ac:dyDescent="0.25">
      <c r="B138" s="1063">
        <v>62</v>
      </c>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c r="AA138" s="148"/>
      <c r="AB138" s="148"/>
      <c r="AC138" s="148"/>
      <c r="AD138" s="148"/>
      <c r="AE138" s="148"/>
      <c r="AF138" s="148"/>
      <c r="AG138" s="148"/>
      <c r="AH138" s="148"/>
      <c r="AI138" s="148"/>
      <c r="AJ138" s="148"/>
      <c r="AK138" s="148"/>
      <c r="AL138" s="148"/>
      <c r="AM138" s="148"/>
      <c r="AN138" s="148"/>
      <c r="AO138" s="148"/>
      <c r="AP138" s="148"/>
      <c r="AQ138" s="148"/>
      <c r="AR138" s="135"/>
    </row>
    <row r="139" spans="2:44" ht="15.95" hidden="1" customHeight="1" x14ac:dyDescent="0.25">
      <c r="B139" s="1063"/>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c r="AA139" s="148"/>
      <c r="AB139" s="148"/>
      <c r="AC139" s="148"/>
      <c r="AD139" s="148"/>
      <c r="AE139" s="148"/>
      <c r="AF139" s="148"/>
      <c r="AG139" s="148"/>
      <c r="AH139" s="148"/>
      <c r="AI139" s="148"/>
      <c r="AJ139" s="148"/>
      <c r="AK139" s="148"/>
      <c r="AL139" s="148"/>
      <c r="AM139" s="148"/>
      <c r="AN139" s="148"/>
      <c r="AO139" s="148"/>
      <c r="AP139" s="148"/>
      <c r="AQ139" s="148"/>
      <c r="AR139" s="135"/>
    </row>
    <row r="140" spans="2:44" ht="15.95" hidden="1" customHeight="1" x14ac:dyDescent="0.25">
      <c r="B140" s="1063">
        <v>63</v>
      </c>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c r="AA140" s="148"/>
      <c r="AB140" s="148"/>
      <c r="AC140" s="148"/>
      <c r="AD140" s="148"/>
      <c r="AE140" s="148"/>
      <c r="AF140" s="148"/>
      <c r="AG140" s="148"/>
      <c r="AH140" s="148"/>
      <c r="AI140" s="148"/>
      <c r="AJ140" s="148"/>
      <c r="AK140" s="148"/>
      <c r="AL140" s="148"/>
      <c r="AM140" s="148"/>
      <c r="AN140" s="148"/>
      <c r="AO140" s="148"/>
      <c r="AP140" s="148"/>
      <c r="AQ140" s="148"/>
      <c r="AR140" s="135"/>
    </row>
    <row r="141" spans="2:44" ht="15.95" hidden="1" customHeight="1" x14ac:dyDescent="0.25">
      <c r="B141" s="1063"/>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c r="AA141" s="148"/>
      <c r="AB141" s="148"/>
      <c r="AC141" s="148"/>
      <c r="AD141" s="148"/>
      <c r="AE141" s="148"/>
      <c r="AF141" s="148"/>
      <c r="AG141" s="148"/>
      <c r="AH141" s="148"/>
      <c r="AI141" s="148"/>
      <c r="AJ141" s="148"/>
      <c r="AK141" s="148"/>
      <c r="AL141" s="148"/>
      <c r="AM141" s="148"/>
      <c r="AN141" s="148"/>
      <c r="AO141" s="148"/>
      <c r="AP141" s="148"/>
      <c r="AQ141" s="148"/>
      <c r="AR141" s="135"/>
    </row>
    <row r="142" spans="2:44" ht="15.95" hidden="1" customHeight="1" x14ac:dyDescent="0.25">
      <c r="B142" s="1063">
        <v>64</v>
      </c>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c r="AA142" s="148"/>
      <c r="AB142" s="148"/>
      <c r="AC142" s="148"/>
      <c r="AD142" s="148"/>
      <c r="AE142" s="148"/>
      <c r="AF142" s="148"/>
      <c r="AG142" s="148"/>
      <c r="AH142" s="148"/>
      <c r="AI142" s="148"/>
      <c r="AJ142" s="148"/>
      <c r="AK142" s="148"/>
      <c r="AL142" s="148"/>
      <c r="AM142" s="148"/>
      <c r="AN142" s="148"/>
      <c r="AO142" s="148"/>
      <c r="AP142" s="148"/>
      <c r="AQ142" s="148"/>
      <c r="AR142" s="135"/>
    </row>
    <row r="143" spans="2:44" ht="15.95" hidden="1" customHeight="1" x14ac:dyDescent="0.25">
      <c r="B143" s="1063"/>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c r="AA143" s="148"/>
      <c r="AB143" s="148"/>
      <c r="AC143" s="148"/>
      <c r="AD143" s="148"/>
      <c r="AE143" s="148"/>
      <c r="AF143" s="148"/>
      <c r="AG143" s="148"/>
      <c r="AH143" s="148"/>
      <c r="AI143" s="148"/>
      <c r="AJ143" s="148"/>
      <c r="AK143" s="148"/>
      <c r="AL143" s="148"/>
      <c r="AM143" s="148"/>
      <c r="AN143" s="148"/>
      <c r="AO143" s="148"/>
      <c r="AP143" s="148"/>
      <c r="AQ143" s="148"/>
      <c r="AR143" s="135"/>
    </row>
    <row r="144" spans="2:44" ht="15.95" hidden="1" customHeight="1" x14ac:dyDescent="0.25">
      <c r="B144" s="1063">
        <v>65</v>
      </c>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35"/>
    </row>
    <row r="145" spans="2:44" ht="15.95" hidden="1" customHeight="1" x14ac:dyDescent="0.25">
      <c r="B145" s="1063"/>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c r="AA145" s="148"/>
      <c r="AB145" s="148"/>
      <c r="AC145" s="148"/>
      <c r="AD145" s="148"/>
      <c r="AE145" s="148"/>
      <c r="AF145" s="148"/>
      <c r="AG145" s="148"/>
      <c r="AH145" s="148"/>
      <c r="AI145" s="148"/>
      <c r="AJ145" s="148"/>
      <c r="AK145" s="148"/>
      <c r="AL145" s="148"/>
      <c r="AM145" s="148"/>
      <c r="AN145" s="148"/>
      <c r="AO145" s="148"/>
      <c r="AP145" s="148"/>
      <c r="AQ145" s="148"/>
      <c r="AR145" s="135"/>
    </row>
    <row r="146" spans="2:44" ht="15.95" hidden="1" customHeight="1" x14ac:dyDescent="0.25">
      <c r="B146" s="1063">
        <v>66</v>
      </c>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c r="AA146" s="148"/>
      <c r="AB146" s="148"/>
      <c r="AC146" s="148"/>
      <c r="AD146" s="148"/>
      <c r="AE146" s="148"/>
      <c r="AF146" s="148"/>
      <c r="AG146" s="148"/>
      <c r="AH146" s="148"/>
      <c r="AI146" s="148"/>
      <c r="AJ146" s="148"/>
      <c r="AK146" s="148"/>
      <c r="AL146" s="148"/>
      <c r="AM146" s="148"/>
      <c r="AN146" s="148"/>
      <c r="AO146" s="148"/>
      <c r="AP146" s="148"/>
      <c r="AQ146" s="148"/>
      <c r="AR146" s="135"/>
    </row>
    <row r="147" spans="2:44" ht="15.95" hidden="1" customHeight="1" x14ac:dyDescent="0.25">
      <c r="B147" s="1063"/>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c r="AA147" s="148"/>
      <c r="AB147" s="148"/>
      <c r="AC147" s="148"/>
      <c r="AD147" s="148"/>
      <c r="AE147" s="148"/>
      <c r="AF147" s="148"/>
      <c r="AG147" s="148"/>
      <c r="AH147" s="148"/>
      <c r="AI147" s="148"/>
      <c r="AJ147" s="148"/>
      <c r="AK147" s="148"/>
      <c r="AL147" s="148"/>
      <c r="AM147" s="148"/>
      <c r="AN147" s="148"/>
      <c r="AO147" s="148"/>
      <c r="AP147" s="148"/>
      <c r="AQ147" s="148"/>
      <c r="AR147" s="135"/>
    </row>
    <row r="148" spans="2:44" ht="15.95" hidden="1" customHeight="1" x14ac:dyDescent="0.25">
      <c r="B148" s="1063">
        <v>67</v>
      </c>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c r="AA148" s="148"/>
      <c r="AB148" s="148"/>
      <c r="AC148" s="148"/>
      <c r="AD148" s="148"/>
      <c r="AE148" s="148"/>
      <c r="AF148" s="148"/>
      <c r="AG148" s="148"/>
      <c r="AH148" s="148"/>
      <c r="AI148" s="148"/>
      <c r="AJ148" s="148"/>
      <c r="AK148" s="148"/>
      <c r="AL148" s="148"/>
      <c r="AM148" s="148"/>
      <c r="AN148" s="148"/>
      <c r="AO148" s="148"/>
      <c r="AP148" s="148"/>
      <c r="AQ148" s="148"/>
      <c r="AR148" s="135"/>
    </row>
    <row r="149" spans="2:44" ht="15.95" hidden="1" customHeight="1" x14ac:dyDescent="0.25">
      <c r="B149" s="1063"/>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35"/>
    </row>
    <row r="150" spans="2:44" ht="15.95" hidden="1" customHeight="1" x14ac:dyDescent="0.25">
      <c r="B150" s="1063">
        <v>68</v>
      </c>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35"/>
    </row>
    <row r="151" spans="2:44" ht="15.95" hidden="1" customHeight="1" x14ac:dyDescent="0.25">
      <c r="B151" s="1063"/>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35"/>
    </row>
    <row r="152" spans="2:44" ht="15.95" hidden="1" customHeight="1" x14ac:dyDescent="0.25">
      <c r="B152" s="1063">
        <v>69</v>
      </c>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35"/>
    </row>
    <row r="153" spans="2:44" ht="15.95" hidden="1" customHeight="1" x14ac:dyDescent="0.25">
      <c r="B153" s="1063"/>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c r="AA153" s="148"/>
      <c r="AB153" s="148"/>
      <c r="AC153" s="148"/>
      <c r="AD153" s="148"/>
      <c r="AE153" s="148"/>
      <c r="AF153" s="148"/>
      <c r="AG153" s="148"/>
      <c r="AH153" s="148"/>
      <c r="AI153" s="148"/>
      <c r="AJ153" s="148"/>
      <c r="AK153" s="148"/>
      <c r="AL153" s="148"/>
      <c r="AM153" s="148"/>
      <c r="AN153" s="148"/>
      <c r="AO153" s="148"/>
      <c r="AP153" s="148"/>
      <c r="AQ153" s="148"/>
      <c r="AR153" s="135"/>
    </row>
    <row r="154" spans="2:44" ht="15.95" hidden="1" customHeight="1" x14ac:dyDescent="0.25">
      <c r="B154" s="1063">
        <v>70</v>
      </c>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c r="AA154" s="148"/>
      <c r="AB154" s="148"/>
      <c r="AC154" s="148"/>
      <c r="AD154" s="148"/>
      <c r="AE154" s="148"/>
      <c r="AF154" s="148"/>
      <c r="AG154" s="148"/>
      <c r="AH154" s="148"/>
      <c r="AI154" s="148"/>
      <c r="AJ154" s="148"/>
      <c r="AK154" s="148"/>
      <c r="AL154" s="148"/>
      <c r="AM154" s="148"/>
      <c r="AN154" s="148"/>
      <c r="AO154" s="148"/>
      <c r="AP154" s="148"/>
      <c r="AQ154" s="148"/>
      <c r="AR154" s="135"/>
    </row>
    <row r="155" spans="2:44" ht="15.95" hidden="1" customHeight="1" x14ac:dyDescent="0.25">
      <c r="B155" s="1063"/>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c r="AA155" s="148"/>
      <c r="AB155" s="148"/>
      <c r="AC155" s="148"/>
      <c r="AD155" s="148"/>
      <c r="AE155" s="148"/>
      <c r="AF155" s="148"/>
      <c r="AG155" s="148"/>
      <c r="AH155" s="148"/>
      <c r="AI155" s="148"/>
      <c r="AJ155" s="148"/>
      <c r="AK155" s="148"/>
      <c r="AL155" s="148"/>
      <c r="AM155" s="148"/>
      <c r="AN155" s="148"/>
      <c r="AO155" s="148"/>
      <c r="AP155" s="148"/>
      <c r="AQ155" s="148"/>
      <c r="AR155" s="135"/>
    </row>
    <row r="156" spans="2:44" ht="15.95" hidden="1" customHeight="1" x14ac:dyDescent="0.25">
      <c r="B156" s="1063">
        <v>71</v>
      </c>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35"/>
    </row>
    <row r="157" spans="2:44" ht="15.95" hidden="1" customHeight="1" x14ac:dyDescent="0.25">
      <c r="B157" s="1063"/>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c r="AA157" s="148"/>
      <c r="AB157" s="148"/>
      <c r="AC157" s="148"/>
      <c r="AD157" s="148"/>
      <c r="AE157" s="148"/>
      <c r="AF157" s="148"/>
      <c r="AG157" s="148"/>
      <c r="AH157" s="148"/>
      <c r="AI157" s="148"/>
      <c r="AJ157" s="148"/>
      <c r="AK157" s="148"/>
      <c r="AL157" s="148"/>
      <c r="AM157" s="148"/>
      <c r="AN157" s="148"/>
      <c r="AO157" s="148"/>
      <c r="AP157" s="148"/>
      <c r="AQ157" s="148"/>
      <c r="AR157" s="135"/>
    </row>
    <row r="158" spans="2:44" ht="15.95" hidden="1" customHeight="1" x14ac:dyDescent="0.25">
      <c r="B158" s="1063">
        <v>72</v>
      </c>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c r="AA158" s="148"/>
      <c r="AB158" s="148"/>
      <c r="AC158" s="148"/>
      <c r="AD158" s="148"/>
      <c r="AE158" s="148"/>
      <c r="AF158" s="148"/>
      <c r="AG158" s="148"/>
      <c r="AH158" s="148"/>
      <c r="AI158" s="148"/>
      <c r="AJ158" s="148"/>
      <c r="AK158" s="148"/>
      <c r="AL158" s="148"/>
      <c r="AM158" s="148"/>
      <c r="AN158" s="148"/>
      <c r="AO158" s="148"/>
      <c r="AP158" s="148"/>
      <c r="AQ158" s="148"/>
      <c r="AR158" s="135"/>
    </row>
    <row r="159" spans="2:44" ht="15.95" hidden="1" customHeight="1" x14ac:dyDescent="0.25">
      <c r="B159" s="1063"/>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c r="AA159" s="148"/>
      <c r="AB159" s="148"/>
      <c r="AC159" s="148"/>
      <c r="AD159" s="148"/>
      <c r="AE159" s="148"/>
      <c r="AF159" s="148"/>
      <c r="AG159" s="148"/>
      <c r="AH159" s="148"/>
      <c r="AI159" s="148"/>
      <c r="AJ159" s="148"/>
      <c r="AK159" s="148"/>
      <c r="AL159" s="148"/>
      <c r="AM159" s="148"/>
      <c r="AN159" s="148"/>
      <c r="AO159" s="148"/>
      <c r="AP159" s="148"/>
      <c r="AQ159" s="148"/>
      <c r="AR159" s="135"/>
    </row>
    <row r="160" spans="2:44" ht="15.95" hidden="1" customHeight="1" x14ac:dyDescent="0.25">
      <c r="B160" s="1063">
        <v>73</v>
      </c>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48"/>
      <c r="AG160" s="148"/>
      <c r="AH160" s="148"/>
      <c r="AI160" s="148"/>
      <c r="AJ160" s="148"/>
      <c r="AK160" s="148"/>
      <c r="AL160" s="148"/>
      <c r="AM160" s="148"/>
      <c r="AN160" s="148"/>
      <c r="AO160" s="148"/>
      <c r="AP160" s="148"/>
      <c r="AQ160" s="148"/>
      <c r="AR160" s="135"/>
    </row>
    <row r="161" spans="2:44" ht="15.95" hidden="1" customHeight="1" x14ac:dyDescent="0.25">
      <c r="B161" s="1063"/>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c r="AA161" s="148"/>
      <c r="AB161" s="148"/>
      <c r="AC161" s="148"/>
      <c r="AD161" s="148"/>
      <c r="AE161" s="148"/>
      <c r="AF161" s="148"/>
      <c r="AG161" s="148"/>
      <c r="AH161" s="148"/>
      <c r="AI161" s="148"/>
      <c r="AJ161" s="148"/>
      <c r="AK161" s="148"/>
      <c r="AL161" s="148"/>
      <c r="AM161" s="148"/>
      <c r="AN161" s="148"/>
      <c r="AO161" s="148"/>
      <c r="AP161" s="148"/>
      <c r="AQ161" s="148"/>
      <c r="AR161" s="135"/>
    </row>
    <row r="162" spans="2:44" ht="15.95" hidden="1" customHeight="1" x14ac:dyDescent="0.25">
      <c r="B162" s="1063">
        <v>74</v>
      </c>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c r="AA162" s="148"/>
      <c r="AB162" s="148"/>
      <c r="AC162" s="148"/>
      <c r="AD162" s="148"/>
      <c r="AE162" s="148"/>
      <c r="AF162" s="148"/>
      <c r="AG162" s="148"/>
      <c r="AH162" s="148"/>
      <c r="AI162" s="148"/>
      <c r="AJ162" s="148"/>
      <c r="AK162" s="148"/>
      <c r="AL162" s="148"/>
      <c r="AM162" s="148"/>
      <c r="AN162" s="148"/>
      <c r="AO162" s="148"/>
      <c r="AP162" s="148"/>
      <c r="AQ162" s="148"/>
      <c r="AR162" s="135"/>
    </row>
    <row r="163" spans="2:44" ht="15.95" hidden="1" customHeight="1" x14ac:dyDescent="0.25">
      <c r="B163" s="1063"/>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c r="AA163" s="148"/>
      <c r="AB163" s="148"/>
      <c r="AC163" s="148"/>
      <c r="AD163" s="148"/>
      <c r="AE163" s="148"/>
      <c r="AF163" s="148"/>
      <c r="AG163" s="148"/>
      <c r="AH163" s="148"/>
      <c r="AI163" s="148"/>
      <c r="AJ163" s="148"/>
      <c r="AK163" s="148"/>
      <c r="AL163" s="148"/>
      <c r="AM163" s="148"/>
      <c r="AN163" s="148"/>
      <c r="AO163" s="148"/>
      <c r="AP163" s="148"/>
      <c r="AQ163" s="148"/>
      <c r="AR163" s="135"/>
    </row>
    <row r="164" spans="2:44" ht="15.95" hidden="1" customHeight="1" x14ac:dyDescent="0.25">
      <c r="B164" s="1063">
        <v>75</v>
      </c>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c r="AA164" s="148"/>
      <c r="AB164" s="148"/>
      <c r="AC164" s="148"/>
      <c r="AD164" s="148"/>
      <c r="AE164" s="148"/>
      <c r="AF164" s="148"/>
      <c r="AG164" s="148"/>
      <c r="AH164" s="148"/>
      <c r="AI164" s="148"/>
      <c r="AJ164" s="148"/>
      <c r="AK164" s="148"/>
      <c r="AL164" s="148"/>
      <c r="AM164" s="148"/>
      <c r="AN164" s="148"/>
      <c r="AO164" s="148"/>
      <c r="AP164" s="148"/>
      <c r="AQ164" s="148"/>
      <c r="AR164" s="135"/>
    </row>
    <row r="165" spans="2:44" ht="15.95" hidden="1" customHeight="1" x14ac:dyDescent="0.25">
      <c r="B165" s="1063"/>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35"/>
    </row>
    <row r="166" spans="2:44" ht="15.95" hidden="1" customHeight="1" x14ac:dyDescent="0.25">
      <c r="B166" s="1063">
        <v>76</v>
      </c>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c r="AA166" s="148"/>
      <c r="AB166" s="148"/>
      <c r="AC166" s="148"/>
      <c r="AD166" s="148"/>
      <c r="AE166" s="148"/>
      <c r="AF166" s="148"/>
      <c r="AG166" s="148"/>
      <c r="AH166" s="148"/>
      <c r="AI166" s="148"/>
      <c r="AJ166" s="148"/>
      <c r="AK166" s="148"/>
      <c r="AL166" s="148"/>
      <c r="AM166" s="148"/>
      <c r="AN166" s="148"/>
      <c r="AO166" s="148"/>
      <c r="AP166" s="148"/>
      <c r="AQ166" s="148"/>
      <c r="AR166" s="135"/>
    </row>
    <row r="167" spans="2:44" ht="15.95" hidden="1" customHeight="1" x14ac:dyDescent="0.25">
      <c r="B167" s="1063"/>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c r="AA167" s="148"/>
      <c r="AB167" s="148"/>
      <c r="AC167" s="148"/>
      <c r="AD167" s="148"/>
      <c r="AE167" s="148"/>
      <c r="AF167" s="148"/>
      <c r="AG167" s="148"/>
      <c r="AH167" s="148"/>
      <c r="AI167" s="148"/>
      <c r="AJ167" s="148"/>
      <c r="AK167" s="148"/>
      <c r="AL167" s="148"/>
      <c r="AM167" s="148"/>
      <c r="AN167" s="148"/>
      <c r="AO167" s="148"/>
      <c r="AP167" s="148"/>
      <c r="AQ167" s="148"/>
      <c r="AR167" s="135"/>
    </row>
    <row r="168" spans="2:44" ht="15.95" hidden="1" customHeight="1" x14ac:dyDescent="0.25">
      <c r="B168" s="1063">
        <v>77</v>
      </c>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c r="AA168" s="148"/>
      <c r="AB168" s="148"/>
      <c r="AC168" s="148"/>
      <c r="AD168" s="148"/>
      <c r="AE168" s="148"/>
      <c r="AF168" s="148"/>
      <c r="AG168" s="148"/>
      <c r="AH168" s="148"/>
      <c r="AI168" s="148"/>
      <c r="AJ168" s="148"/>
      <c r="AK168" s="148"/>
      <c r="AL168" s="148"/>
      <c r="AM168" s="148"/>
      <c r="AN168" s="148"/>
      <c r="AO168" s="148"/>
      <c r="AP168" s="148"/>
      <c r="AQ168" s="148"/>
      <c r="AR168" s="135"/>
    </row>
    <row r="169" spans="2:44" ht="15.95" hidden="1" customHeight="1" x14ac:dyDescent="0.25">
      <c r="B169" s="1063"/>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c r="AA169" s="148"/>
      <c r="AB169" s="148"/>
      <c r="AC169" s="148"/>
      <c r="AD169" s="148"/>
      <c r="AE169" s="148"/>
      <c r="AF169" s="148"/>
      <c r="AG169" s="148"/>
      <c r="AH169" s="148"/>
      <c r="AI169" s="148"/>
      <c r="AJ169" s="148"/>
      <c r="AK169" s="148"/>
      <c r="AL169" s="148"/>
      <c r="AM169" s="148"/>
      <c r="AN169" s="148"/>
      <c r="AO169" s="148"/>
      <c r="AP169" s="148"/>
      <c r="AQ169" s="148"/>
      <c r="AR169" s="135"/>
    </row>
    <row r="170" spans="2:44" ht="15.95" hidden="1" customHeight="1" x14ac:dyDescent="0.25">
      <c r="B170" s="1063">
        <v>78</v>
      </c>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c r="AA170" s="148"/>
      <c r="AB170" s="148"/>
      <c r="AC170" s="148"/>
      <c r="AD170" s="148"/>
      <c r="AE170" s="148"/>
      <c r="AF170" s="148"/>
      <c r="AG170" s="148"/>
      <c r="AH170" s="148"/>
      <c r="AI170" s="148"/>
      <c r="AJ170" s="148"/>
      <c r="AK170" s="148"/>
      <c r="AL170" s="148"/>
      <c r="AM170" s="148"/>
      <c r="AN170" s="148"/>
      <c r="AO170" s="148"/>
      <c r="AP170" s="148"/>
      <c r="AQ170" s="148"/>
      <c r="AR170" s="135"/>
    </row>
    <row r="171" spans="2:44" ht="15.95" hidden="1" customHeight="1" x14ac:dyDescent="0.25">
      <c r="B171" s="1063"/>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c r="AA171" s="148"/>
      <c r="AB171" s="148"/>
      <c r="AC171" s="148"/>
      <c r="AD171" s="148"/>
      <c r="AE171" s="148"/>
      <c r="AF171" s="148"/>
      <c r="AG171" s="148"/>
      <c r="AH171" s="148"/>
      <c r="AI171" s="148"/>
      <c r="AJ171" s="148"/>
      <c r="AK171" s="148"/>
      <c r="AL171" s="148"/>
      <c r="AM171" s="148"/>
      <c r="AN171" s="148"/>
      <c r="AO171" s="148"/>
      <c r="AP171" s="148"/>
      <c r="AQ171" s="148"/>
      <c r="AR171" s="135"/>
    </row>
    <row r="172" spans="2:44" ht="15.95" hidden="1" customHeight="1" x14ac:dyDescent="0.25">
      <c r="B172" s="1063">
        <v>79</v>
      </c>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c r="AA172" s="148"/>
      <c r="AB172" s="148"/>
      <c r="AC172" s="148"/>
      <c r="AD172" s="148"/>
      <c r="AE172" s="148"/>
      <c r="AF172" s="148"/>
      <c r="AG172" s="148"/>
      <c r="AH172" s="148"/>
      <c r="AI172" s="148"/>
      <c r="AJ172" s="148"/>
      <c r="AK172" s="148"/>
      <c r="AL172" s="148"/>
      <c r="AM172" s="148"/>
      <c r="AN172" s="148"/>
      <c r="AO172" s="148"/>
      <c r="AP172" s="148"/>
      <c r="AQ172" s="148"/>
      <c r="AR172" s="135"/>
    </row>
    <row r="173" spans="2:44" ht="15.95" hidden="1" customHeight="1" x14ac:dyDescent="0.25">
      <c r="B173" s="1063"/>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c r="AA173" s="148"/>
      <c r="AB173" s="148"/>
      <c r="AC173" s="148"/>
      <c r="AD173" s="148"/>
      <c r="AE173" s="148"/>
      <c r="AF173" s="148"/>
      <c r="AG173" s="148"/>
      <c r="AH173" s="148"/>
      <c r="AI173" s="148"/>
      <c r="AJ173" s="148"/>
      <c r="AK173" s="148"/>
      <c r="AL173" s="148"/>
      <c r="AM173" s="148"/>
      <c r="AN173" s="148"/>
      <c r="AO173" s="148"/>
      <c r="AP173" s="148"/>
      <c r="AQ173" s="148"/>
      <c r="AR173" s="135"/>
    </row>
    <row r="174" spans="2:44" ht="15.95" hidden="1" customHeight="1" x14ac:dyDescent="0.25">
      <c r="B174" s="1063">
        <v>80</v>
      </c>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c r="AA174" s="148"/>
      <c r="AB174" s="148"/>
      <c r="AC174" s="148"/>
      <c r="AD174" s="148"/>
      <c r="AE174" s="148"/>
      <c r="AF174" s="148"/>
      <c r="AG174" s="148"/>
      <c r="AH174" s="148"/>
      <c r="AI174" s="148"/>
      <c r="AJ174" s="148"/>
      <c r="AK174" s="148"/>
      <c r="AL174" s="148"/>
      <c r="AM174" s="148"/>
      <c r="AN174" s="148"/>
      <c r="AO174" s="148"/>
      <c r="AP174" s="148"/>
      <c r="AQ174" s="148"/>
      <c r="AR174" s="135"/>
    </row>
    <row r="175" spans="2:44" ht="15.95" hidden="1" customHeight="1" x14ac:dyDescent="0.25">
      <c r="B175" s="1063"/>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c r="AA175" s="148"/>
      <c r="AB175" s="148"/>
      <c r="AC175" s="148"/>
      <c r="AD175" s="148"/>
      <c r="AE175" s="148"/>
      <c r="AF175" s="148"/>
      <c r="AG175" s="148"/>
      <c r="AH175" s="148"/>
      <c r="AI175" s="148"/>
      <c r="AJ175" s="148"/>
      <c r="AK175" s="148"/>
      <c r="AL175" s="148"/>
      <c r="AM175" s="148"/>
      <c r="AN175" s="148"/>
      <c r="AO175" s="148"/>
      <c r="AP175" s="148"/>
      <c r="AQ175" s="148"/>
      <c r="AR175" s="135"/>
    </row>
    <row r="176" spans="2:44" ht="15.95" hidden="1" customHeight="1" x14ac:dyDescent="0.25">
      <c r="B176" s="1063">
        <v>81</v>
      </c>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c r="AA176" s="148"/>
      <c r="AB176" s="148"/>
      <c r="AC176" s="148"/>
      <c r="AD176" s="148"/>
      <c r="AE176" s="148"/>
      <c r="AF176" s="148"/>
      <c r="AG176" s="148"/>
      <c r="AH176" s="148"/>
      <c r="AI176" s="148"/>
      <c r="AJ176" s="148"/>
      <c r="AK176" s="148"/>
      <c r="AL176" s="148"/>
      <c r="AM176" s="148"/>
      <c r="AN176" s="148"/>
      <c r="AO176" s="148"/>
      <c r="AP176" s="148"/>
      <c r="AQ176" s="148"/>
      <c r="AR176" s="135"/>
    </row>
    <row r="177" spans="2:44" ht="15.95" hidden="1" customHeight="1" x14ac:dyDescent="0.25">
      <c r="B177" s="1063"/>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c r="AA177" s="148"/>
      <c r="AB177" s="148"/>
      <c r="AC177" s="148"/>
      <c r="AD177" s="148"/>
      <c r="AE177" s="148"/>
      <c r="AF177" s="148"/>
      <c r="AG177" s="148"/>
      <c r="AH177" s="148"/>
      <c r="AI177" s="148"/>
      <c r="AJ177" s="148"/>
      <c r="AK177" s="148"/>
      <c r="AL177" s="148"/>
      <c r="AM177" s="148"/>
      <c r="AN177" s="148"/>
      <c r="AO177" s="148"/>
      <c r="AP177" s="148"/>
      <c r="AQ177" s="148"/>
      <c r="AR177" s="135"/>
    </row>
    <row r="178" spans="2:44" ht="15.95" hidden="1" customHeight="1" x14ac:dyDescent="0.25">
      <c r="B178" s="1063">
        <v>82</v>
      </c>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c r="AA178" s="148"/>
      <c r="AB178" s="148"/>
      <c r="AC178" s="148"/>
      <c r="AD178" s="148"/>
      <c r="AE178" s="148"/>
      <c r="AF178" s="148"/>
      <c r="AG178" s="148"/>
      <c r="AH178" s="148"/>
      <c r="AI178" s="148"/>
      <c r="AJ178" s="148"/>
      <c r="AK178" s="148"/>
      <c r="AL178" s="148"/>
      <c r="AM178" s="148"/>
      <c r="AN178" s="148"/>
      <c r="AO178" s="148"/>
      <c r="AP178" s="148"/>
      <c r="AQ178" s="148"/>
      <c r="AR178" s="135"/>
    </row>
    <row r="179" spans="2:44" ht="15.95" hidden="1" customHeight="1" x14ac:dyDescent="0.25">
      <c r="B179" s="1063"/>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c r="AA179" s="148"/>
      <c r="AB179" s="148"/>
      <c r="AC179" s="148"/>
      <c r="AD179" s="148"/>
      <c r="AE179" s="148"/>
      <c r="AF179" s="148"/>
      <c r="AG179" s="148"/>
      <c r="AH179" s="148"/>
      <c r="AI179" s="148"/>
      <c r="AJ179" s="148"/>
      <c r="AK179" s="148"/>
      <c r="AL179" s="148"/>
      <c r="AM179" s="148"/>
      <c r="AN179" s="148"/>
      <c r="AO179" s="148"/>
      <c r="AP179" s="148"/>
      <c r="AQ179" s="148"/>
      <c r="AR179" s="135"/>
    </row>
    <row r="180" spans="2:44" ht="15.95" hidden="1" customHeight="1" x14ac:dyDescent="0.25">
      <c r="B180" s="1063">
        <v>83</v>
      </c>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35"/>
    </row>
    <row r="181" spans="2:44" ht="15.95" hidden="1" customHeight="1" x14ac:dyDescent="0.25">
      <c r="B181" s="1063"/>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35"/>
    </row>
    <row r="182" spans="2:44" ht="15.95" hidden="1" customHeight="1" x14ac:dyDescent="0.25">
      <c r="B182" s="1063">
        <v>84</v>
      </c>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35"/>
    </row>
    <row r="183" spans="2:44" ht="15.95" hidden="1" customHeight="1" x14ac:dyDescent="0.25">
      <c r="B183" s="1063"/>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35"/>
    </row>
    <row r="184" spans="2:44" ht="15.95" hidden="1" customHeight="1" x14ac:dyDescent="0.25">
      <c r="B184" s="1063">
        <v>85</v>
      </c>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35"/>
    </row>
    <row r="185" spans="2:44" ht="15.95" hidden="1" customHeight="1" x14ac:dyDescent="0.25">
      <c r="B185" s="1063"/>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35"/>
    </row>
    <row r="186" spans="2:44" ht="15.95" hidden="1" customHeight="1" x14ac:dyDescent="0.25">
      <c r="B186" s="1063">
        <v>86</v>
      </c>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c r="AA186" s="148"/>
      <c r="AB186" s="148"/>
      <c r="AC186" s="148"/>
      <c r="AD186" s="148"/>
      <c r="AE186" s="148"/>
      <c r="AF186" s="148"/>
      <c r="AG186" s="148"/>
      <c r="AH186" s="148"/>
      <c r="AI186" s="148"/>
      <c r="AJ186" s="148"/>
      <c r="AK186" s="148"/>
      <c r="AL186" s="148"/>
      <c r="AM186" s="148"/>
      <c r="AN186" s="148"/>
      <c r="AO186" s="148"/>
      <c r="AP186" s="148"/>
      <c r="AQ186" s="148"/>
      <c r="AR186" s="135"/>
    </row>
    <row r="187" spans="2:44" ht="15.95" hidden="1" customHeight="1" x14ac:dyDescent="0.25">
      <c r="B187" s="1063"/>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c r="AA187" s="148"/>
      <c r="AB187" s="148"/>
      <c r="AC187" s="148"/>
      <c r="AD187" s="148"/>
      <c r="AE187" s="148"/>
      <c r="AF187" s="148"/>
      <c r="AG187" s="148"/>
      <c r="AH187" s="148"/>
      <c r="AI187" s="148"/>
      <c r="AJ187" s="148"/>
      <c r="AK187" s="148"/>
      <c r="AL187" s="148"/>
      <c r="AM187" s="148"/>
      <c r="AN187" s="148"/>
      <c r="AO187" s="148"/>
      <c r="AP187" s="148"/>
      <c r="AQ187" s="148"/>
      <c r="AR187" s="135"/>
    </row>
    <row r="188" spans="2:44" ht="15.95" hidden="1" customHeight="1" x14ac:dyDescent="0.25">
      <c r="B188" s="1062">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4" ht="15.95" hidden="1" customHeight="1" x14ac:dyDescent="0.25">
      <c r="B189" s="1062"/>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4" ht="15.95" hidden="1" customHeight="1" x14ac:dyDescent="0.25">
      <c r="B190" s="1062">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4" ht="15.95" hidden="1" customHeight="1" x14ac:dyDescent="0.25">
      <c r="B191" s="1062"/>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4" ht="15.95" hidden="1" customHeight="1" x14ac:dyDescent="0.25">
      <c r="B192" s="1062">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4" ht="15.95" hidden="1" customHeight="1" x14ac:dyDescent="0.25">
      <c r="B193" s="1062"/>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4" ht="15.95" hidden="1" customHeight="1" x14ac:dyDescent="0.25">
      <c r="B194" s="1062">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4" ht="15.95" hidden="1" customHeight="1" x14ac:dyDescent="0.25">
      <c r="B195" s="1062"/>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4" ht="15.95" hidden="1" customHeight="1" x14ac:dyDescent="0.25">
      <c r="B196" s="1062">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4" ht="15.95" hidden="1" customHeight="1" x14ac:dyDescent="0.25">
      <c r="B197" s="1062"/>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4" ht="15.95" hidden="1" customHeight="1" x14ac:dyDescent="0.25">
      <c r="B198" s="1062">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4" ht="15.95" hidden="1" customHeight="1" x14ac:dyDescent="0.25">
      <c r="B199" s="1062"/>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4" ht="15.95" customHeight="1" x14ac:dyDescent="0.25">
      <c r="B200" s="136" t="str">
        <f>FOOT1</f>
        <v>Ameren Missouri BizSavers program</v>
      </c>
      <c r="C200" s="136"/>
      <c r="D200" s="136"/>
      <c r="E200" s="136"/>
      <c r="F200" s="136"/>
      <c r="G200" s="136"/>
      <c r="H200" s="136"/>
      <c r="I200" s="136"/>
      <c r="J200" s="136"/>
      <c r="K200" s="136"/>
      <c r="L200" s="136"/>
      <c r="M200" s="729" t="str">
        <f>FOOTDISCLAIM</f>
        <v/>
      </c>
      <c r="N200" s="729"/>
      <c r="O200" s="729"/>
      <c r="P200" s="729"/>
      <c r="Q200" s="729"/>
      <c r="R200" s="729"/>
      <c r="S200" s="729"/>
      <c r="T200" s="729"/>
      <c r="U200" s="729"/>
      <c r="V200" s="729"/>
      <c r="W200" s="729"/>
      <c r="X200" s="729"/>
      <c r="Y200" s="729"/>
      <c r="Z200" s="729"/>
      <c r="AA200" s="729"/>
      <c r="AB200" s="729"/>
      <c r="AC200" s="729"/>
      <c r="AD200" s="729"/>
      <c r="AE200" s="729"/>
      <c r="AF200" s="729"/>
      <c r="AG200" s="729"/>
      <c r="AH200" s="136"/>
      <c r="AI200" s="136"/>
      <c r="AJ200" s="136"/>
      <c r="AK200" s="136"/>
      <c r="AL200" s="136"/>
      <c r="AM200" s="136"/>
      <c r="AN200" s="136"/>
      <c r="AO200" s="136"/>
      <c r="AP200" s="136"/>
      <c r="AQ200" s="136"/>
      <c r="AR200" s="300" t="str">
        <f>FOOT4</f>
        <v/>
      </c>
    </row>
    <row r="201" spans="2:44" ht="15.95" customHeight="1" x14ac:dyDescent="0.25">
      <c r="B201" s="136" t="str">
        <f>FOOT2</f>
        <v>Toll-Free 866-941-7299</v>
      </c>
      <c r="C201" s="136"/>
      <c r="D201" s="136"/>
      <c r="E201" s="136"/>
      <c r="F201" s="136"/>
      <c r="G201" s="136"/>
      <c r="H201" s="136"/>
      <c r="I201" s="136"/>
      <c r="J201" s="136"/>
      <c r="K201" s="136"/>
      <c r="L201" s="136"/>
      <c r="M201" s="729"/>
      <c r="N201" s="729"/>
      <c r="O201" s="729"/>
      <c r="P201" s="729"/>
      <c r="Q201" s="729"/>
      <c r="R201" s="729"/>
      <c r="S201" s="729"/>
      <c r="T201" s="729"/>
      <c r="U201" s="729"/>
      <c r="V201" s="729"/>
      <c r="W201" s="729"/>
      <c r="X201" s="729"/>
      <c r="Y201" s="729"/>
      <c r="Z201" s="729"/>
      <c r="AA201" s="729"/>
      <c r="AB201" s="729"/>
      <c r="AC201" s="729"/>
      <c r="AD201" s="729"/>
      <c r="AE201" s="729"/>
      <c r="AF201" s="729"/>
      <c r="AG201" s="729"/>
      <c r="AH201" s="136"/>
      <c r="AI201" s="136"/>
      <c r="AJ201" s="136"/>
      <c r="AK201" s="136"/>
      <c r="AL201" s="136"/>
      <c r="AM201" s="136"/>
      <c r="AN201" s="136"/>
      <c r="AO201" s="136"/>
      <c r="AP201" s="136"/>
      <c r="AQ201" s="136"/>
      <c r="AR201" s="300" t="str">
        <f>FOOT5</f>
        <v/>
      </c>
    </row>
    <row r="202" spans="2:44" ht="15.95" customHeight="1" x14ac:dyDescent="0.25">
      <c r="B202" s="138" t="str">
        <f>FOOT3</f>
        <v>BizSavers@ameren.com</v>
      </c>
      <c r="C202" s="136"/>
      <c r="D202" s="136"/>
      <c r="E202" s="136"/>
      <c r="F202" s="136"/>
      <c r="G202" s="136"/>
      <c r="H202" s="136"/>
      <c r="I202" s="136"/>
      <c r="J202" s="136"/>
      <c r="K202" s="136"/>
      <c r="L202" s="136"/>
      <c r="M202" s="139"/>
      <c r="N202" s="136"/>
      <c r="O202" s="136"/>
      <c r="P202" s="139"/>
      <c r="Q202" s="139"/>
      <c r="R202" s="139"/>
      <c r="S202" s="139"/>
      <c r="T202" s="139"/>
      <c r="U202" s="139"/>
      <c r="V202" s="139"/>
      <c r="W202" s="140" t="str">
        <f>VERSION</f>
        <v>New Construction v3.8.0</v>
      </c>
      <c r="X202" s="139"/>
      <c r="Y202" s="139"/>
      <c r="Z202" s="139"/>
      <c r="AA202" s="139"/>
      <c r="AB202" s="139"/>
      <c r="AC202" s="139"/>
      <c r="AD202" s="139"/>
      <c r="AE202" s="136"/>
      <c r="AF202" s="136"/>
      <c r="AG202" s="136"/>
      <c r="AH202" s="136"/>
      <c r="AI202" s="136"/>
      <c r="AJ202" s="136"/>
      <c r="AK202" s="136"/>
      <c r="AL202" s="136"/>
      <c r="AM202" s="136"/>
      <c r="AN202" s="136"/>
      <c r="AO202" s="136"/>
      <c r="AP202" s="136"/>
      <c r="AQ202" s="136"/>
      <c r="AR202" s="300" t="str">
        <f>FOOT6</f>
        <v>Product of TRC Companies</v>
      </c>
    </row>
    <row r="203" spans="2:44" ht="15" hidden="1" customHeight="1" x14ac:dyDescent="0.25"/>
  </sheetData>
  <sheetProtection algorithmName="SHA-512" hashValue="CRhYW8Hv08gF1HTvKk7DM2gbtvBF1Sd+abn7GKPedgjPweaQkBxMgNey6Dhse7KDAyZ6qEVuE9ADptFn/xpnmQ==" saltValue="JD0icdA4J1LXMZOR1/MUQw==" spinCount="100000" sheet="1" objects="1" scenarios="1" selectLockedCells="1"/>
  <mergeCells count="350">
    <mergeCell ref="BB34:BB35"/>
    <mergeCell ref="BC34:BC35"/>
    <mergeCell ref="BB24:BB25"/>
    <mergeCell ref="BC24:BC25"/>
    <mergeCell ref="BB26:BB27"/>
    <mergeCell ref="BC26:BC27"/>
    <mergeCell ref="BB28:BB29"/>
    <mergeCell ref="BC28:BC29"/>
    <mergeCell ref="BB30:BB31"/>
    <mergeCell ref="BC30:BC31"/>
    <mergeCell ref="BB32:BB33"/>
    <mergeCell ref="BC32:BC33"/>
    <mergeCell ref="BB14:BB15"/>
    <mergeCell ref="BC14:BC15"/>
    <mergeCell ref="BB16:BB17"/>
    <mergeCell ref="BC16:BC17"/>
    <mergeCell ref="BB18:BB19"/>
    <mergeCell ref="BC18:BC19"/>
    <mergeCell ref="BB20:BB21"/>
    <mergeCell ref="BC20:BC21"/>
    <mergeCell ref="BB22:BB23"/>
    <mergeCell ref="BC22:BC23"/>
    <mergeCell ref="B16:B17"/>
    <mergeCell ref="R11:U11"/>
    <mergeCell ref="V11:Y11"/>
    <mergeCell ref="Z11:AC11"/>
    <mergeCell ref="AD12:AG12"/>
    <mergeCell ref="B40:B41"/>
    <mergeCell ref="B18:B19"/>
    <mergeCell ref="B20:B21"/>
    <mergeCell ref="B22:B23"/>
    <mergeCell ref="B24:B25"/>
    <mergeCell ref="B26:B27"/>
    <mergeCell ref="B28:B29"/>
    <mergeCell ref="B30:B31"/>
    <mergeCell ref="B32:B33"/>
    <mergeCell ref="B34:B35"/>
    <mergeCell ref="B36:B37"/>
    <mergeCell ref="B38:B39"/>
    <mergeCell ref="C14:E15"/>
    <mergeCell ref="F14:K15"/>
    <mergeCell ref="L14:P15"/>
    <mergeCell ref="Q14:R15"/>
    <mergeCell ref="S14:T15"/>
    <mergeCell ref="U14:Y15"/>
    <mergeCell ref="Z14:AA15"/>
    <mergeCell ref="B64:B65"/>
    <mergeCell ref="B42:B43"/>
    <mergeCell ref="B44:B45"/>
    <mergeCell ref="B46:B47"/>
    <mergeCell ref="B48:B49"/>
    <mergeCell ref="B50:B51"/>
    <mergeCell ref="B52:B53"/>
    <mergeCell ref="B54:B55"/>
    <mergeCell ref="B56:B57"/>
    <mergeCell ref="B58:B59"/>
    <mergeCell ref="B60:B61"/>
    <mergeCell ref="B62:B63"/>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90:B91"/>
    <mergeCell ref="B92:B93"/>
    <mergeCell ref="B94:B95"/>
    <mergeCell ref="B96:B97"/>
    <mergeCell ref="B98:B99"/>
    <mergeCell ref="B100:B101"/>
    <mergeCell ref="B102:B103"/>
    <mergeCell ref="B104:B105"/>
    <mergeCell ref="B106:B107"/>
    <mergeCell ref="AQ1:AR1"/>
    <mergeCell ref="AQ2:AR3"/>
    <mergeCell ref="R9:AC10"/>
    <mergeCell ref="B168:B169"/>
    <mergeCell ref="B170:B17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8:B149"/>
    <mergeCell ref="B150:B151"/>
    <mergeCell ref="B152:B153"/>
    <mergeCell ref="B154:B155"/>
    <mergeCell ref="B156:B157"/>
    <mergeCell ref="B158:B159"/>
    <mergeCell ref="B112:B113"/>
    <mergeCell ref="B180:B181"/>
    <mergeCell ref="B182:B183"/>
    <mergeCell ref="B160:B161"/>
    <mergeCell ref="B138:B139"/>
    <mergeCell ref="B140:B141"/>
    <mergeCell ref="B142:B143"/>
    <mergeCell ref="B144:B145"/>
    <mergeCell ref="B146:B147"/>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72:B173"/>
    <mergeCell ref="B174:B175"/>
    <mergeCell ref="B176:B177"/>
    <mergeCell ref="B178:B179"/>
    <mergeCell ref="AB14:AC15"/>
    <mergeCell ref="AD14:AG14"/>
    <mergeCell ref="AH14:AJ15"/>
    <mergeCell ref="AK14:AN15"/>
    <mergeCell ref="AO14:AQ15"/>
    <mergeCell ref="AU14:AU15"/>
    <mergeCell ref="AV14:AV15"/>
    <mergeCell ref="AW14:AW15"/>
    <mergeCell ref="AX14:AX15"/>
    <mergeCell ref="AY14:AY15"/>
    <mergeCell ref="AZ14:AZ15"/>
    <mergeCell ref="BA14:BA15"/>
    <mergeCell ref="AD15:AE15"/>
    <mergeCell ref="AF15:AG15"/>
    <mergeCell ref="C16:E17"/>
    <mergeCell ref="F16:K17"/>
    <mergeCell ref="L16:P17"/>
    <mergeCell ref="Q16:R17"/>
    <mergeCell ref="S16:T17"/>
    <mergeCell ref="U16:Y17"/>
    <mergeCell ref="Z16:AA17"/>
    <mergeCell ref="AB16:AC17"/>
    <mergeCell ref="AD16:AE17"/>
    <mergeCell ref="AF16:AG17"/>
    <mergeCell ref="AH16:AJ17"/>
    <mergeCell ref="AK16:AN17"/>
    <mergeCell ref="AO16:AQ17"/>
    <mergeCell ref="AU16:AU17"/>
    <mergeCell ref="AV16:AV17"/>
    <mergeCell ref="AW16:AW17"/>
    <mergeCell ref="AX16:AX17"/>
    <mergeCell ref="AY16:AY17"/>
    <mergeCell ref="AZ16:AZ17"/>
    <mergeCell ref="BA16:BA17"/>
    <mergeCell ref="C18:E19"/>
    <mergeCell ref="F18:K19"/>
    <mergeCell ref="L18:P19"/>
    <mergeCell ref="Q18:R19"/>
    <mergeCell ref="S18:T19"/>
    <mergeCell ref="U18:Y19"/>
    <mergeCell ref="Z18:AA19"/>
    <mergeCell ref="AB18:AC19"/>
    <mergeCell ref="AD18:AE19"/>
    <mergeCell ref="AF18:AG19"/>
    <mergeCell ref="AH18:AJ19"/>
    <mergeCell ref="AK18:AN19"/>
    <mergeCell ref="AO18:AQ19"/>
    <mergeCell ref="AU18:AU19"/>
    <mergeCell ref="AV18:AV19"/>
    <mergeCell ref="AW18:AW19"/>
    <mergeCell ref="AX18:AX19"/>
    <mergeCell ref="AY18:AY19"/>
    <mergeCell ref="AZ18:AZ19"/>
    <mergeCell ref="BA18:BA19"/>
    <mergeCell ref="AK20:AN21"/>
    <mergeCell ref="AO20:AQ21"/>
    <mergeCell ref="AU20:AU21"/>
    <mergeCell ref="AV20:AV21"/>
    <mergeCell ref="AW20:AW21"/>
    <mergeCell ref="AX20:AX21"/>
    <mergeCell ref="AY20:AY21"/>
    <mergeCell ref="C20:E21"/>
    <mergeCell ref="F20:K21"/>
    <mergeCell ref="L20:P21"/>
    <mergeCell ref="Q20:R21"/>
    <mergeCell ref="S20:T21"/>
    <mergeCell ref="U20:Y21"/>
    <mergeCell ref="Z20:AA21"/>
    <mergeCell ref="AB20:AC21"/>
    <mergeCell ref="AD20:AE21"/>
    <mergeCell ref="AZ20:AZ21"/>
    <mergeCell ref="BA20:BA21"/>
    <mergeCell ref="C22:E23"/>
    <mergeCell ref="F22:K23"/>
    <mergeCell ref="L22:P23"/>
    <mergeCell ref="Q22:R23"/>
    <mergeCell ref="S22:T23"/>
    <mergeCell ref="U22:Y23"/>
    <mergeCell ref="Z22:AA23"/>
    <mergeCell ref="AB22:AC23"/>
    <mergeCell ref="AD22:AE23"/>
    <mergeCell ref="AF22:AG23"/>
    <mergeCell ref="AH22:AJ23"/>
    <mergeCell ref="AK22:AN23"/>
    <mergeCell ref="AO22:AQ23"/>
    <mergeCell ref="AU22:AU23"/>
    <mergeCell ref="AV22:AV23"/>
    <mergeCell ref="AW22:AW23"/>
    <mergeCell ref="AX22:AX23"/>
    <mergeCell ref="AY22:AY23"/>
    <mergeCell ref="AZ22:AZ23"/>
    <mergeCell ref="BA22:BA23"/>
    <mergeCell ref="AF20:AG21"/>
    <mergeCell ref="AH20:AJ21"/>
    <mergeCell ref="AK24:AN25"/>
    <mergeCell ref="AO24:AQ25"/>
    <mergeCell ref="AU24:AU25"/>
    <mergeCell ref="AV24:AV25"/>
    <mergeCell ref="AW24:AW25"/>
    <mergeCell ref="AX24:AX25"/>
    <mergeCell ref="AY24:AY25"/>
    <mergeCell ref="C24:E25"/>
    <mergeCell ref="F24:K25"/>
    <mergeCell ref="L24:P25"/>
    <mergeCell ref="Q24:R25"/>
    <mergeCell ref="S24:T25"/>
    <mergeCell ref="U24:Y25"/>
    <mergeCell ref="Z24:AA25"/>
    <mergeCell ref="AB24:AC25"/>
    <mergeCell ref="AD24:AE25"/>
    <mergeCell ref="AZ24:AZ25"/>
    <mergeCell ref="BA24:BA25"/>
    <mergeCell ref="C26:E27"/>
    <mergeCell ref="F26:K27"/>
    <mergeCell ref="L26:P27"/>
    <mergeCell ref="Q26:R27"/>
    <mergeCell ref="S26:T27"/>
    <mergeCell ref="U26:Y27"/>
    <mergeCell ref="Z26:AA27"/>
    <mergeCell ref="AB26:AC27"/>
    <mergeCell ref="AD26:AE27"/>
    <mergeCell ref="AF26:AG27"/>
    <mergeCell ref="AH26:AJ27"/>
    <mergeCell ref="AK26:AN27"/>
    <mergeCell ref="AO26:AQ27"/>
    <mergeCell ref="AU26:AU27"/>
    <mergeCell ref="AV26:AV27"/>
    <mergeCell ref="AW26:AW27"/>
    <mergeCell ref="AX26:AX27"/>
    <mergeCell ref="AY26:AY27"/>
    <mergeCell ref="AZ26:AZ27"/>
    <mergeCell ref="BA26:BA27"/>
    <mergeCell ref="AF24:AG25"/>
    <mergeCell ref="AH24:AJ25"/>
    <mergeCell ref="AK28:AN29"/>
    <mergeCell ref="AO28:AQ29"/>
    <mergeCell ref="AU28:AU29"/>
    <mergeCell ref="AV28:AV29"/>
    <mergeCell ref="AW28:AW29"/>
    <mergeCell ref="AX28:AX29"/>
    <mergeCell ref="AY28:AY29"/>
    <mergeCell ref="C28:E29"/>
    <mergeCell ref="F28:K29"/>
    <mergeCell ref="L28:P29"/>
    <mergeCell ref="Q28:R29"/>
    <mergeCell ref="S28:T29"/>
    <mergeCell ref="U28:Y29"/>
    <mergeCell ref="Z28:AA29"/>
    <mergeCell ref="AB28:AC29"/>
    <mergeCell ref="AD28:AE29"/>
    <mergeCell ref="C30:E31"/>
    <mergeCell ref="F30:K31"/>
    <mergeCell ref="L30:P31"/>
    <mergeCell ref="Q30:R31"/>
    <mergeCell ref="S30:T31"/>
    <mergeCell ref="U30:Y31"/>
    <mergeCell ref="Z30:AA31"/>
    <mergeCell ref="AB30:AC31"/>
    <mergeCell ref="AD30:AE31"/>
    <mergeCell ref="C32:E33"/>
    <mergeCell ref="F32:K33"/>
    <mergeCell ref="L32:P33"/>
    <mergeCell ref="Q32:R33"/>
    <mergeCell ref="S32:T33"/>
    <mergeCell ref="U32:Y33"/>
    <mergeCell ref="Z32:AA33"/>
    <mergeCell ref="AB32:AC33"/>
    <mergeCell ref="AD32:AE33"/>
    <mergeCell ref="AZ34:AZ35"/>
    <mergeCell ref="BA34:BA35"/>
    <mergeCell ref="AF32:AG33"/>
    <mergeCell ref="AH32:AJ33"/>
    <mergeCell ref="AK32:AN33"/>
    <mergeCell ref="AO32:AQ33"/>
    <mergeCell ref="AU32:AU33"/>
    <mergeCell ref="AV32:AV33"/>
    <mergeCell ref="AW32:AW33"/>
    <mergeCell ref="AX32:AX33"/>
    <mergeCell ref="AY32:AY33"/>
    <mergeCell ref="AF34:AG35"/>
    <mergeCell ref="AH34:AJ35"/>
    <mergeCell ref="AK34:AN35"/>
    <mergeCell ref="AO34:AQ35"/>
    <mergeCell ref="AU34:AU35"/>
    <mergeCell ref="AV34:AV35"/>
    <mergeCell ref="AW34:AW35"/>
    <mergeCell ref="AX34:AX35"/>
    <mergeCell ref="AY34:AY35"/>
    <mergeCell ref="C34:E35"/>
    <mergeCell ref="F34:K35"/>
    <mergeCell ref="L34:P35"/>
    <mergeCell ref="Q34:R35"/>
    <mergeCell ref="S34:T35"/>
    <mergeCell ref="U34:Y35"/>
    <mergeCell ref="Z34:AA35"/>
    <mergeCell ref="AB34:AC35"/>
    <mergeCell ref="AD34:AE35"/>
    <mergeCell ref="AH1:AK1"/>
    <mergeCell ref="AL1:AP1"/>
    <mergeCell ref="AH2:AK3"/>
    <mergeCell ref="AL2:AP3"/>
    <mergeCell ref="R12:U13"/>
    <mergeCell ref="V12:Y13"/>
    <mergeCell ref="Z12:AC13"/>
    <mergeCell ref="AZ32:AZ33"/>
    <mergeCell ref="BA32:BA33"/>
    <mergeCell ref="AZ28:AZ29"/>
    <mergeCell ref="BA28:BA29"/>
    <mergeCell ref="AF30:AG31"/>
    <mergeCell ref="AH30:AJ31"/>
    <mergeCell ref="AK30:AN31"/>
    <mergeCell ref="AO30:AQ31"/>
    <mergeCell ref="AU30:AU31"/>
    <mergeCell ref="AV30:AV31"/>
    <mergeCell ref="AW30:AW31"/>
    <mergeCell ref="AX30:AX31"/>
    <mergeCell ref="AY30:AY31"/>
    <mergeCell ref="AZ30:AZ31"/>
    <mergeCell ref="BA30:BA31"/>
    <mergeCell ref="AF28:AG29"/>
    <mergeCell ref="AH28:AJ29"/>
  </mergeCells>
  <conditionalFormatting sqref="AK16 AK18 AK20 AK22 AK24 AK26 AK28 AK30 AK32 AK34">
    <cfRule type="expression" dxfId="119" priority="20">
      <formula>ISNUMBER(AK16)=FALSE</formula>
    </cfRule>
  </conditionalFormatting>
  <conditionalFormatting sqref="Q16:AG17 Q20:AG35 U18:AG19">
    <cfRule type="expression" dxfId="118" priority="19">
      <formula>AND(ISBLANK($F16)=FALSE,ISBLANK(Q16)=TRUE)</formula>
    </cfRule>
  </conditionalFormatting>
  <conditionalFormatting sqref="Q18:T19">
    <cfRule type="expression" dxfId="117" priority="18">
      <formula>AND(ISBLANK($F18)=FALSE,ISBLANK(Q18)=TRUE)</formula>
    </cfRule>
  </conditionalFormatting>
  <conditionalFormatting sqref="L16:P17 L20:P35">
    <cfRule type="expression" dxfId="116" priority="17">
      <formula>AND(ISBLANK($F16)=FALSE,ISBLANK(L16)=TRUE)</formula>
    </cfRule>
  </conditionalFormatting>
  <conditionalFormatting sqref="L18:P19">
    <cfRule type="expression" dxfId="115" priority="16">
      <formula>AND(ISBLANK($F18)=FALSE,ISBLANK(L18)=TRUE)</formula>
    </cfRule>
  </conditionalFormatting>
  <conditionalFormatting sqref="AQ2:AR3">
    <cfRule type="cellIs" dxfId="114" priority="3" operator="equal">
      <formula>1</formula>
    </cfRule>
    <cfRule type="cellIs" dxfId="113" priority="4" operator="between">
      <formula>0.51</formula>
      <formula>0.99</formula>
    </cfRule>
    <cfRule type="cellIs" dxfId="112" priority="5" operator="lessThanOrEqual">
      <formula>0.5</formula>
    </cfRule>
  </conditionalFormatting>
  <conditionalFormatting sqref="AH2 AL2">
    <cfRule type="expression" dxfId="111" priority="1">
      <formula>OR(PROJSTATUS=PROJSTATELI,PROJSTATUS=PROJSTATEXP,PROJSTATUS=PROJSTATUNDER)</formula>
    </cfRule>
    <cfRule type="expression" dxfId="110" priority="2">
      <formula>PROJSTATUS=PROJSTATFILLINITIAL</formula>
    </cfRule>
    <cfRule type="expression" dxfId="109" priority="6">
      <formula>PROJSTATUS=PROJSTATPREAPPROVE</formula>
    </cfRule>
    <cfRule type="expression" dxfId="108" priority="7">
      <formula>OR(PROJSTATUS=PROJSTATSSUBMITINITIAL,PROJSTATUS=PROJSTATREVIEW)</formula>
    </cfRule>
  </conditionalFormatting>
  <dataValidations count="7">
    <dataValidation type="decimal" allowBlank="1" showInputMessage="1" showErrorMessage="1" prompt="Enter the kWh use per unit of equipment in one year." sqref="AB16 S16 AB34 S20 S22 S24 S26 S28 S30 S32 S34 S18 AB20 AB22 AB24 AB26 AB28 AB30 AB32 AB18" xr:uid="{00000000-0002-0000-2200-000000000000}">
      <formula1>0</formula1>
      <formula2>999999999</formula2>
    </dataValidation>
    <dataValidation type="decimal" allowBlank="1" showInputMessage="1" showErrorMessage="1" error="Please enter a numerical value" sqref="Z16 Q16 Z34 Q20 Q22 Q24 Q26 Q28 Q30 Q32 Q34 Q18 Z20 Z22 Z24 Z26 Z28 Z30 Z32 Z18" xr:uid="{00000000-0002-0000-2200-000001000000}">
      <formula1>0</formula1>
      <formula2>999999</formula2>
    </dataValidation>
    <dataValidation type="list" allowBlank="1" showInputMessage="1" showErrorMessage="1" sqref="AW16:AW35" xr:uid="{00000000-0002-0000-2200-000002000000}">
      <formula1>ENDUSECAT</formula1>
    </dataValidation>
    <dataValidation type="decimal" allowBlank="1" showInputMessage="1" showErrorMessage="1" error="Please enter a numerical value" prompt="NOTE: This is the TOTAL Masterial or Labor COST of the measure, not a per UNIT basis._x000a__x000a_For New or Failed Replacement, this is the total cost difference between purchasing the baseline equipment vs. what is being installed." sqref="AF16 AD16 AF32 AD20 AD22 AD24 AD26 AD28 AD30 AD32 AD34 AF34 AF20 AF22 AF24 AF26 AF28 AF30 AF18 AD18" xr:uid="{00000000-0002-0000-2200-000003000000}">
      <formula1>0</formula1>
      <formula2>999999999</formula2>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xr:uid="{00000000-0002-0000-2200-000004000000}">
      <formula1>IF(ISBLANK(F16),NONPRESCPROGRAM,"")</formula1>
    </dataValidation>
    <dataValidation allowBlank="1" showInputMessage="1" showErrorMessage="1" prompt="Baseline Detail is the equipment currently present that is being replaced._x000a__x000a_For New or Failed Replacement, this is the code-minimum equipment or control strategy that could be installed in lieu of the more efficient option." sqref="L16 L18 L34 L20 L22 L24 L26 L28 L30 L32" xr:uid="{00000000-0002-0000-2200-000005000000}"/>
    <dataValidation type="list" allowBlank="1" showInputMessage="1" showErrorMessage="1" prompt="Select the measure type that is closest to the selections in this list. If not listed, select &quot;Others&quot;" sqref="F16:K35" xr:uid="{00000000-0002-0000-2200-000006000000}">
      <formula1>CMECOMPAIRDESC</formula1>
    </dataValidation>
  </dataValidations>
  <hyperlinks>
    <hyperlink ref="B202" r:id="rId1" display="NIPSCO.Savings@LMCO.com" xr:uid="{00000000-0004-0000-2200-000000000000}"/>
  </hyperlinks>
  <pageMargins left="0.25" right="0.25" top="0.25" bottom="0.25" header="0.25" footer="0.25"/>
  <pageSetup scale="62" fitToHeight="0" orientation="landscape"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pageSetUpPr fitToPage="1"/>
  </sheetPr>
  <dimension ref="A1:BZ202"/>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135" customWidth="1"/>
    <col min="46" max="46" width="4.7109375" style="135" hidden="1" customWidth="1"/>
    <col min="47" max="78" width="9.140625" style="135" hidden="1" customWidth="1"/>
    <col min="79" max="16384" width="9.140625" hidden="1"/>
  </cols>
  <sheetData>
    <row r="1" spans="2:78" ht="15.95" customHeight="1" x14ac:dyDescent="0.3">
      <c r="AH1" s="711" t="s">
        <v>494</v>
      </c>
      <c r="AI1" s="712"/>
      <c r="AJ1" s="712"/>
      <c r="AK1" s="712"/>
      <c r="AL1" s="723" t="s">
        <v>911</v>
      </c>
      <c r="AM1" s="723"/>
      <c r="AN1" s="723"/>
      <c r="AO1" s="723"/>
      <c r="AP1" s="723"/>
      <c r="AQ1" s="717" t="s">
        <v>499</v>
      </c>
      <c r="AR1" s="718"/>
    </row>
    <row r="2" spans="2:78" ht="15.95" customHeight="1" x14ac:dyDescent="0.25">
      <c r="AH2" s="713" t="str">
        <f ca="1">INCENSTATUS</f>
        <v>---</v>
      </c>
      <c r="AI2" s="714"/>
      <c r="AJ2" s="714"/>
      <c r="AK2" s="714"/>
      <c r="AL2" s="724" t="str">
        <f ca="1">PROJSTATUS</f>
        <v>Please Complete Initial Application</v>
      </c>
      <c r="AM2" s="724"/>
      <c r="AN2" s="724"/>
      <c r="AO2" s="724"/>
      <c r="AP2" s="724"/>
      <c r="AQ2" s="719">
        <f ca="1">PROGRESSSTATUS</f>
        <v>0</v>
      </c>
      <c r="AR2" s="720"/>
    </row>
    <row r="3" spans="2:78" ht="15.95" customHeight="1" x14ac:dyDescent="0.25">
      <c r="AH3" s="715"/>
      <c r="AI3" s="716"/>
      <c r="AJ3" s="716"/>
      <c r="AK3" s="716"/>
      <c r="AL3" s="725"/>
      <c r="AM3" s="725"/>
      <c r="AN3" s="725"/>
      <c r="AO3" s="725"/>
      <c r="AP3" s="725"/>
      <c r="AQ3" s="721"/>
      <c r="AR3" s="722"/>
    </row>
    <row r="4" spans="2:78" ht="15.95" customHeight="1" x14ac:dyDescent="0.25"/>
    <row r="5" spans="2:78" ht="15.95" customHeight="1" x14ac:dyDescent="0.25"/>
    <row r="6" spans="2:78" ht="15.95" customHeight="1" x14ac:dyDescent="0.25">
      <c r="AU6" s="145" t="s">
        <v>1372</v>
      </c>
      <c r="AV6" s="145">
        <f>PROJID</f>
        <v>0</v>
      </c>
    </row>
    <row r="7" spans="2:78" ht="15.95" customHeight="1" x14ac:dyDescent="0.25">
      <c r="AU7" s="219"/>
      <c r="AV7" s="219" t="s">
        <v>1184</v>
      </c>
      <c r="AW7" s="219" t="s">
        <v>249</v>
      </c>
      <c r="AX7" s="219" t="s">
        <v>1336</v>
      </c>
      <c r="AY7" s="219"/>
    </row>
    <row r="8" spans="2:78" ht="15.95" customHeight="1" x14ac:dyDescent="0.25">
      <c r="AU8" s="219" t="s">
        <v>237</v>
      </c>
      <c r="AV8" s="219" t="str">
        <f>CBPRESE</f>
        <v>NA</v>
      </c>
      <c r="AW8" s="219" t="str">
        <f>CBCUSE</f>
        <v>NA</v>
      </c>
      <c r="AX8" s="219" t="str">
        <f>CBALL</f>
        <v>NA</v>
      </c>
      <c r="AY8" s="219"/>
    </row>
    <row r="9" spans="2:78" s="63" customFormat="1" ht="15.95" customHeight="1" x14ac:dyDescent="0.25">
      <c r="B9" s="135"/>
      <c r="C9" s="135"/>
      <c r="D9" s="135"/>
      <c r="E9" s="135"/>
      <c r="F9" s="135"/>
      <c r="G9" s="135"/>
      <c r="H9" s="135"/>
      <c r="I9" s="135"/>
      <c r="J9" s="135"/>
      <c r="K9" s="135"/>
      <c r="L9" s="135"/>
      <c r="M9" s="135"/>
      <c r="N9" s="135"/>
      <c r="O9" s="135"/>
      <c r="P9" s="135"/>
      <c r="Q9" s="135"/>
      <c r="R9" s="971" t="str">
        <f>CONCATENATE(M4S6," ","Summary")</f>
        <v>Refrigeration Summary</v>
      </c>
      <c r="S9" s="971"/>
      <c r="T9" s="971"/>
      <c r="U9" s="971"/>
      <c r="V9" s="971"/>
      <c r="W9" s="971"/>
      <c r="X9" s="971"/>
      <c r="Y9" s="971"/>
      <c r="Z9" s="971"/>
      <c r="AA9" s="971"/>
      <c r="AB9" s="971"/>
      <c r="AC9" s="971"/>
      <c r="AD9" s="135"/>
      <c r="AE9" s="135"/>
      <c r="AF9" s="135"/>
      <c r="AG9" s="135"/>
      <c r="AH9" s="135"/>
      <c r="AI9" s="135"/>
      <c r="AJ9" s="135"/>
      <c r="AK9" s="135"/>
      <c r="AL9" s="135"/>
      <c r="AM9" s="135"/>
      <c r="AN9" s="135"/>
      <c r="AO9" s="135"/>
      <c r="AP9" s="135"/>
      <c r="AQ9" s="135"/>
      <c r="AR9" s="135"/>
      <c r="AS9" s="135"/>
      <c r="AT9" s="135"/>
      <c r="AU9" s="219"/>
      <c r="AV9" s="219"/>
      <c r="AW9" s="219"/>
      <c r="AX9" s="219"/>
      <c r="AY9" s="219"/>
      <c r="AZ9" s="135"/>
      <c r="BA9" s="135"/>
      <c r="BB9" s="135"/>
      <c r="BC9" s="135"/>
      <c r="BD9" s="135"/>
      <c r="BE9" s="135"/>
      <c r="BF9" s="135"/>
      <c r="BG9" s="135"/>
      <c r="BH9" s="135"/>
      <c r="BI9" s="135"/>
      <c r="BJ9" s="135"/>
      <c r="BK9" s="135"/>
      <c r="BL9" s="135"/>
      <c r="BM9" s="135"/>
      <c r="BN9" s="135"/>
      <c r="BO9" s="135"/>
      <c r="BP9" s="135"/>
      <c r="BQ9" s="135"/>
      <c r="BR9" s="135"/>
      <c r="BS9" s="135"/>
      <c r="BT9" s="135"/>
      <c r="BU9" s="135"/>
      <c r="BV9" s="135"/>
      <c r="BW9" s="135"/>
      <c r="BX9" s="135"/>
      <c r="BY9" s="135"/>
      <c r="BZ9" s="135"/>
    </row>
    <row r="10" spans="2:78" ht="15.95" customHeight="1" x14ac:dyDescent="0.25">
      <c r="B10" s="135"/>
      <c r="C10" s="135"/>
      <c r="D10" s="135"/>
      <c r="E10" s="135"/>
      <c r="F10" s="135"/>
      <c r="G10" s="135"/>
      <c r="H10" s="135"/>
      <c r="I10" s="135"/>
      <c r="J10" s="135"/>
      <c r="K10" s="135"/>
      <c r="L10" s="135"/>
      <c r="M10" s="135"/>
      <c r="N10" s="135"/>
      <c r="O10" s="135"/>
      <c r="P10" s="147"/>
      <c r="Q10" s="147"/>
      <c r="R10" s="971"/>
      <c r="S10" s="971"/>
      <c r="T10" s="971"/>
      <c r="U10" s="971"/>
      <c r="V10" s="971"/>
      <c r="W10" s="971"/>
      <c r="X10" s="971"/>
      <c r="Y10" s="971"/>
      <c r="Z10" s="971"/>
      <c r="AA10" s="971"/>
      <c r="AB10" s="971"/>
      <c r="AC10" s="971"/>
      <c r="AD10" s="147"/>
      <c r="AE10" s="147"/>
      <c r="AF10" s="147"/>
      <c r="AG10" s="135"/>
      <c r="AH10" s="135"/>
      <c r="AI10" s="135"/>
      <c r="AJ10" s="135"/>
      <c r="AK10" s="135"/>
      <c r="AL10" s="135"/>
      <c r="AM10" s="135"/>
      <c r="AN10" s="135"/>
      <c r="AO10" s="135"/>
      <c r="AP10" s="135"/>
      <c r="AQ10" s="135"/>
      <c r="AR10" s="135"/>
      <c r="AU10" s="219" t="s">
        <v>642</v>
      </c>
      <c r="AV10" s="219" t="str">
        <f>PAYPRESE</f>
        <v>NA</v>
      </c>
      <c r="AW10" s="219" t="str">
        <f>PAYCUSE</f>
        <v>NA</v>
      </c>
      <c r="AX10" s="219" t="str">
        <f>PAYALL</f>
        <v>NA</v>
      </c>
      <c r="AY10" s="219"/>
    </row>
    <row r="11" spans="2:78" ht="15.95" customHeight="1" x14ac:dyDescent="0.3">
      <c r="B11" s="135"/>
      <c r="C11" s="135"/>
      <c r="D11" s="135"/>
      <c r="E11" s="135"/>
      <c r="F11" s="135"/>
      <c r="G11" s="135"/>
      <c r="H11" s="135"/>
      <c r="I11" s="135"/>
      <c r="J11" s="135"/>
      <c r="K11" s="135"/>
      <c r="L11" s="135"/>
      <c r="M11" s="135"/>
      <c r="N11" s="135"/>
      <c r="O11" s="135"/>
      <c r="P11" s="135"/>
      <c r="Q11" s="135"/>
      <c r="R11" s="974" t="s">
        <v>69</v>
      </c>
      <c r="S11" s="974"/>
      <c r="T11" s="974"/>
      <c r="U11" s="974"/>
      <c r="V11" s="974" t="s">
        <v>70</v>
      </c>
      <c r="W11" s="974"/>
      <c r="X11" s="974"/>
      <c r="Y11" s="974"/>
      <c r="Z11" s="974" t="s">
        <v>71</v>
      </c>
      <c r="AA11" s="974"/>
      <c r="AB11" s="974"/>
      <c r="AC11" s="974"/>
      <c r="AD11" s="135"/>
      <c r="AE11" s="135"/>
      <c r="AF11" s="135"/>
      <c r="AG11" s="135"/>
      <c r="AH11" s="135"/>
      <c r="AI11" s="135"/>
      <c r="AJ11" s="135"/>
      <c r="AK11" s="135"/>
      <c r="AL11" s="135"/>
      <c r="AM11" s="135"/>
      <c r="AN11" s="135"/>
      <c r="AO11" s="135"/>
      <c r="AP11" s="135"/>
      <c r="AQ11" s="135"/>
      <c r="AR11" s="135"/>
      <c r="AU11" s="220" t="s">
        <v>1324</v>
      </c>
      <c r="AV11" s="145"/>
      <c r="AW11" s="145"/>
      <c r="AX11" s="145"/>
      <c r="AY11" s="145"/>
    </row>
    <row r="12" spans="2:78" ht="15.95" customHeight="1" x14ac:dyDescent="0.25">
      <c r="B12" s="135"/>
      <c r="C12" s="135"/>
      <c r="D12" s="135"/>
      <c r="E12" s="135"/>
      <c r="F12" s="135"/>
      <c r="G12" s="135"/>
      <c r="H12" s="135"/>
      <c r="I12" s="135"/>
      <c r="J12" s="135"/>
      <c r="K12" s="135"/>
      <c r="L12" s="135"/>
      <c r="M12" s="135"/>
      <c r="N12" s="135"/>
      <c r="O12" s="135"/>
      <c r="P12" s="135"/>
      <c r="Q12" s="135"/>
      <c r="R12" s="1113">
        <f>SUM(AK16:AN199)</f>
        <v>0</v>
      </c>
      <c r="S12" s="1113"/>
      <c r="T12" s="1113"/>
      <c r="U12" s="1113"/>
      <c r="V12" s="1113">
        <f>SUM(AH16:AJ199)</f>
        <v>0</v>
      </c>
      <c r="W12" s="1113"/>
      <c r="X12" s="1113"/>
      <c r="Y12" s="1113"/>
      <c r="Z12" s="1114">
        <f>SUM(AO16:AQ199)</f>
        <v>0</v>
      </c>
      <c r="AA12" s="1114"/>
      <c r="AB12" s="1114"/>
      <c r="AC12" s="1114"/>
      <c r="AD12" s="1337"/>
      <c r="AE12" s="1337"/>
      <c r="AF12" s="1337"/>
      <c r="AG12" s="1337"/>
      <c r="AH12" s="135"/>
      <c r="AI12" s="135"/>
      <c r="AJ12" s="135"/>
      <c r="AK12" s="135"/>
      <c r="AL12" s="135"/>
      <c r="AM12" s="135"/>
      <c r="AN12" s="135"/>
      <c r="AO12" s="135"/>
      <c r="AP12" s="135"/>
      <c r="AQ12" s="135"/>
      <c r="AR12" s="135"/>
    </row>
    <row r="13" spans="2:78" s="63" customFormat="1" ht="15.95" customHeight="1" x14ac:dyDescent="0.25">
      <c r="B13" s="135"/>
      <c r="C13" s="135"/>
      <c r="D13" s="135"/>
      <c r="E13" s="135"/>
      <c r="F13" s="135"/>
      <c r="G13" s="135"/>
      <c r="H13" s="135"/>
      <c r="I13" s="135"/>
      <c r="J13" s="135"/>
      <c r="K13" s="135"/>
      <c r="L13" s="135"/>
      <c r="M13" s="135"/>
      <c r="N13" s="135"/>
      <c r="O13" s="135"/>
      <c r="P13" s="135"/>
      <c r="Q13" s="135"/>
      <c r="R13" s="1113"/>
      <c r="S13" s="1113"/>
      <c r="T13" s="1113"/>
      <c r="U13" s="1113"/>
      <c r="V13" s="1113"/>
      <c r="W13" s="1113"/>
      <c r="X13" s="1113"/>
      <c r="Y13" s="1113"/>
      <c r="Z13" s="1114"/>
      <c r="AA13" s="1114"/>
      <c r="AB13" s="1114"/>
      <c r="AC13" s="1114"/>
      <c r="AD13" s="187"/>
      <c r="AE13" s="187"/>
      <c r="AF13" s="187"/>
      <c r="AG13" s="187"/>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row>
    <row r="14" spans="2:78" ht="15.95" customHeight="1" x14ac:dyDescent="0.25">
      <c r="B14" s="135"/>
      <c r="C14" s="1060" t="s">
        <v>1005</v>
      </c>
      <c r="D14" s="1060"/>
      <c r="E14" s="1060"/>
      <c r="F14" s="1060" t="s">
        <v>912</v>
      </c>
      <c r="G14" s="1060"/>
      <c r="H14" s="1060"/>
      <c r="I14" s="1060"/>
      <c r="J14" s="1060"/>
      <c r="K14" s="1060"/>
      <c r="L14" s="1060" t="s">
        <v>909</v>
      </c>
      <c r="M14" s="1060"/>
      <c r="N14" s="1060"/>
      <c r="O14" s="1060"/>
      <c r="P14" s="1060"/>
      <c r="Q14" s="1060" t="s">
        <v>91</v>
      </c>
      <c r="R14" s="1060"/>
      <c r="S14" s="1115" t="s">
        <v>107</v>
      </c>
      <c r="T14" s="1115"/>
      <c r="U14" s="1060" t="s">
        <v>252</v>
      </c>
      <c r="V14" s="1060"/>
      <c r="W14" s="1060"/>
      <c r="X14" s="1060"/>
      <c r="Y14" s="1060"/>
      <c r="Z14" s="1060" t="s">
        <v>91</v>
      </c>
      <c r="AA14" s="1060"/>
      <c r="AB14" s="1115" t="s">
        <v>107</v>
      </c>
      <c r="AC14" s="1115"/>
      <c r="AD14" s="1060" t="s">
        <v>103</v>
      </c>
      <c r="AE14" s="1060"/>
      <c r="AF14" s="1060"/>
      <c r="AG14" s="1060"/>
      <c r="AH14" s="1060" t="s">
        <v>103</v>
      </c>
      <c r="AI14" s="1060"/>
      <c r="AJ14" s="1060"/>
      <c r="AK14" s="1060" t="s">
        <v>102</v>
      </c>
      <c r="AL14" s="1060"/>
      <c r="AM14" s="1060"/>
      <c r="AN14" s="1060"/>
      <c r="AO14" s="1060" t="s">
        <v>109</v>
      </c>
      <c r="AP14" s="1060"/>
      <c r="AQ14" s="1060"/>
      <c r="AR14" s="135"/>
      <c r="AS14" s="145"/>
      <c r="AT14" s="145"/>
      <c r="AU14" s="1012" t="s">
        <v>237</v>
      </c>
      <c r="AV14" s="1012" t="s">
        <v>643</v>
      </c>
      <c r="AW14" s="1012" t="s">
        <v>637</v>
      </c>
      <c r="AX14" s="1012" t="s">
        <v>152</v>
      </c>
      <c r="AY14" s="1012" t="s">
        <v>141</v>
      </c>
      <c r="AZ14" s="1012" t="s">
        <v>249</v>
      </c>
      <c r="BA14" s="1012" t="s">
        <v>910</v>
      </c>
      <c r="BB14" s="1012" t="s">
        <v>642</v>
      </c>
      <c r="BC14" s="1012" t="s">
        <v>521</v>
      </c>
    </row>
    <row r="15" spans="2:78" ht="15.95" customHeight="1" thickBot="1" x14ac:dyDescent="0.3">
      <c r="B15" s="135"/>
      <c r="C15" s="1061"/>
      <c r="D15" s="1061"/>
      <c r="E15" s="1061"/>
      <c r="F15" s="1061"/>
      <c r="G15" s="1061"/>
      <c r="H15" s="1061"/>
      <c r="I15" s="1061"/>
      <c r="J15" s="1061"/>
      <c r="K15" s="1061"/>
      <c r="L15" s="1061"/>
      <c r="M15" s="1061"/>
      <c r="N15" s="1061"/>
      <c r="O15" s="1061"/>
      <c r="P15" s="1061"/>
      <c r="Q15" s="1061"/>
      <c r="R15" s="1061"/>
      <c r="S15" s="1116"/>
      <c r="T15" s="1116"/>
      <c r="U15" s="1061"/>
      <c r="V15" s="1061"/>
      <c r="W15" s="1061"/>
      <c r="X15" s="1061"/>
      <c r="Y15" s="1061"/>
      <c r="Z15" s="1061"/>
      <c r="AA15" s="1061"/>
      <c r="AB15" s="1116"/>
      <c r="AC15" s="1116"/>
      <c r="AD15" s="1061" t="s">
        <v>104</v>
      </c>
      <c r="AE15" s="1061"/>
      <c r="AF15" s="1061" t="s">
        <v>105</v>
      </c>
      <c r="AG15" s="1061"/>
      <c r="AH15" s="1061"/>
      <c r="AI15" s="1061"/>
      <c r="AJ15" s="1061"/>
      <c r="AK15" s="1061"/>
      <c r="AL15" s="1061"/>
      <c r="AM15" s="1061"/>
      <c r="AN15" s="1061"/>
      <c r="AO15" s="1061"/>
      <c r="AP15" s="1061"/>
      <c r="AQ15" s="1061"/>
      <c r="AR15" s="135"/>
      <c r="AS15" s="145"/>
      <c r="AT15" s="145"/>
      <c r="AU15" s="1013"/>
      <c r="AV15" s="1013"/>
      <c r="AW15" s="1013"/>
      <c r="AX15" s="1013"/>
      <c r="AY15" s="1013"/>
      <c r="AZ15" s="1013"/>
      <c r="BA15" s="1013"/>
      <c r="BB15" s="1013"/>
      <c r="BC15" s="1013"/>
    </row>
    <row r="16" spans="2:78" ht="15.95" customHeight="1" x14ac:dyDescent="0.25">
      <c r="B16" s="1064">
        <v>1</v>
      </c>
      <c r="C16" s="1103"/>
      <c r="D16" s="1103"/>
      <c r="E16" s="1103"/>
      <c r="F16" s="1111"/>
      <c r="G16" s="1111"/>
      <c r="H16" s="1111"/>
      <c r="I16" s="1111"/>
      <c r="J16" s="1111"/>
      <c r="K16" s="1111"/>
      <c r="L16" s="1111"/>
      <c r="M16" s="1111"/>
      <c r="N16" s="1111"/>
      <c r="O16" s="1111"/>
      <c r="P16" s="1111"/>
      <c r="Q16" s="1105"/>
      <c r="R16" s="1105"/>
      <c r="S16" s="1107"/>
      <c r="T16" s="1108"/>
      <c r="U16" s="1030"/>
      <c r="V16" s="1111"/>
      <c r="W16" s="1111"/>
      <c r="X16" s="1111"/>
      <c r="Y16" s="1111"/>
      <c r="Z16" s="1105"/>
      <c r="AA16" s="1105"/>
      <c r="AB16" s="1107"/>
      <c r="AC16" s="1120"/>
      <c r="AD16" s="1049"/>
      <c r="AE16" s="1135"/>
      <c r="AF16" s="1135"/>
      <c r="AG16" s="1136"/>
      <c r="AH16" s="1027" t="str">
        <f>IF(OR(C16="",F16="",L16="",Q16="",S16="",U16="",Z16="",AB16="",AD16="",AF16=""),"",ROUND(AD16+AF16,2))</f>
        <v/>
      </c>
      <c r="AI16" s="1128"/>
      <c r="AJ16" s="1128"/>
      <c r="AK16" s="1131" t="str">
        <f>IF(OR(C16="",F16="",L16="",Q16="",S16="",U16="",Z16="",AB16="",AD16="",AF16=""),"",IF(BC16&lt;&gt;"",BC16,IF(C16="New/Replace Failed Equip.",BA16,AZ16)))</f>
        <v/>
      </c>
      <c r="AL16" s="1131"/>
      <c r="AM16" s="1131"/>
      <c r="AN16" s="1131"/>
      <c r="AO16" s="1133" t="str">
        <f>IF(OR(C16="",F16="",L16="",Q16="",S16="",U16="",Z16="",AB16="",AD16="",AF16=""),"",IF((Q16*S16)-(Z16*AB16)&lt;=0,0,ROUND((Q16*S16)-(Z16*AB16),0)))</f>
        <v/>
      </c>
      <c r="AP16" s="1133"/>
      <c r="AQ16" s="1133"/>
      <c r="AR16" s="135"/>
      <c r="AS16" s="145"/>
      <c r="AT16" s="145"/>
      <c r="AU16" s="1124" t="str">
        <f>IFERROR(IF(OR(C16="",F16="",L16="",Q16="",S16="",U16="",Z16="",AB16="",AD16="",AF16=""),"",((1+ELOSS)*PEAKTD*(1+INDEX(ELECCB[Capacity Reserve Margin],MATCH(AX16,ELECCB[Year Number],0)))*((AO16*INDEX(ELECCB[NPV AEC $/kWh],MATCH(AX16,ELECCB[Year Number],1)))+(AV16*INDEX(ELECCB[NPV ACC+T&amp;D $/kW],MATCH(AX16,ELECCB[Year Number],1))))/AH16)),0)</f>
        <v/>
      </c>
      <c r="AV16" s="1141" t="str">
        <f>IF(OR(C16="",F16="",L16="",Q16="",S16="",U16="",Z16="",AB16="",AD16="",AF16=""),"",ROUND(AO16*INDEX(ENDUSEALL[Factor],MATCH(AW16,ENDUSEALL[End Use to Coincident Peak Demand Factors],0)),4))</f>
        <v/>
      </c>
      <c r="AW16" s="987" t="str">
        <f>IF(OR(C16="",F16="",L16="",Q16="",S16="",U16="",Z16="",AB16="",AD16="",AF16=""),"",INDEX(CMEREFRI[End Use Category],MATCH(F16,CMEREFRI[Proj Desc 1],0)))</f>
        <v/>
      </c>
      <c r="AX16" s="1126" t="str">
        <f>IF(OR(C16="",F16="",L16="",Q16="",S16="",U16="",Z16="",AB16="",AD16="",AF16=""),"",INDEX(CMEREFRI[EUL],MATCH(F16,CMEREFRI[Proj Desc 1],0)))</f>
        <v/>
      </c>
      <c r="AY16" s="1122" t="str">
        <f>IF(OR(C16="",F16="",L16="",Q16="",S16="",U16="",Z16="",AB16="",AD16="",AF16=""),"",INDEX(CMEREFRI[Measure Number],MATCH(F16,CMEREFRI[Proj Desc 1],0)))</f>
        <v/>
      </c>
      <c r="AZ16" s="1118" t="str">
        <f>IFERROR(ROUND(MIN(AH16*0.5,AO16*INDEX(ENDUSEALL[Inc Rate],MATCH(AW16,ENDUSEALL[End Use to Coincident Peak Demand Factors],0))),2),"")</f>
        <v/>
      </c>
      <c r="BA16" s="1118" t="str">
        <f>IFERROR(ROUND(MIN(AH16,AO16*INDEX(ENDUSEALL[Inc Rate],MATCH(AW16,ENDUSEALL[End Use to Coincident Peak Demand Factors],0))),2),"")</f>
        <v/>
      </c>
      <c r="BB16" s="1118" t="str">
        <f>IFERROR(AH16/M02S02F35/AO16,"")</f>
        <v/>
      </c>
      <c r="BC16" s="1118" t="str">
        <f>IFERROR(IF((Q16*S16)-(Z16*AB16)&lt;=0,MEASURESAV,IF(M02S02F35="",MEASURERATE, IF(AH16/M02S02F35/AO16&lt;1,MEASUREPAY,IF(AU16&lt;1,MEASURECB,"")))),MEASURESUBMIT)</f>
        <v>Submit for Review</v>
      </c>
    </row>
    <row r="17" spans="2:55" ht="15.95" customHeight="1" x14ac:dyDescent="0.25">
      <c r="B17" s="1064"/>
      <c r="C17" s="1104"/>
      <c r="D17" s="1104"/>
      <c r="E17" s="1104"/>
      <c r="F17" s="1112"/>
      <c r="G17" s="1112"/>
      <c r="H17" s="1112"/>
      <c r="I17" s="1112"/>
      <c r="J17" s="1112"/>
      <c r="K17" s="1112"/>
      <c r="L17" s="1112"/>
      <c r="M17" s="1112"/>
      <c r="N17" s="1112"/>
      <c r="O17" s="1112"/>
      <c r="P17" s="1112"/>
      <c r="Q17" s="1106"/>
      <c r="R17" s="1106"/>
      <c r="S17" s="1109"/>
      <c r="T17" s="1110"/>
      <c r="U17" s="1033"/>
      <c r="V17" s="1112"/>
      <c r="W17" s="1112"/>
      <c r="X17" s="1112"/>
      <c r="Y17" s="1112"/>
      <c r="Z17" s="1106"/>
      <c r="AA17" s="1106"/>
      <c r="AB17" s="1109"/>
      <c r="AC17" s="1121"/>
      <c r="AD17" s="1051"/>
      <c r="AE17" s="1137"/>
      <c r="AF17" s="1137"/>
      <c r="AG17" s="1138"/>
      <c r="AH17" s="1129"/>
      <c r="AI17" s="1130"/>
      <c r="AJ17" s="1130"/>
      <c r="AK17" s="1132"/>
      <c r="AL17" s="1132"/>
      <c r="AM17" s="1132"/>
      <c r="AN17" s="1132"/>
      <c r="AO17" s="1134"/>
      <c r="AP17" s="1134"/>
      <c r="AQ17" s="1134"/>
      <c r="AR17" s="135"/>
      <c r="AS17" s="145"/>
      <c r="AT17" s="145"/>
      <c r="AU17" s="1125"/>
      <c r="AV17" s="1142"/>
      <c r="AW17" s="988"/>
      <c r="AX17" s="1127"/>
      <c r="AY17" s="1123"/>
      <c r="AZ17" s="1119"/>
      <c r="BA17" s="1119"/>
      <c r="BB17" s="1119"/>
      <c r="BC17" s="1119"/>
    </row>
    <row r="18" spans="2:55" ht="15.95" customHeight="1" x14ac:dyDescent="0.25">
      <c r="B18" s="1063">
        <v>2</v>
      </c>
      <c r="C18" s="1103"/>
      <c r="D18" s="1103"/>
      <c r="E18" s="1103"/>
      <c r="F18" s="1111"/>
      <c r="G18" s="1111"/>
      <c r="H18" s="1111"/>
      <c r="I18" s="1111"/>
      <c r="J18" s="1111"/>
      <c r="K18" s="1111"/>
      <c r="L18" s="1111"/>
      <c r="M18" s="1111"/>
      <c r="N18" s="1111"/>
      <c r="O18" s="1111"/>
      <c r="P18" s="1111"/>
      <c r="Q18" s="1105"/>
      <c r="R18" s="1105"/>
      <c r="S18" s="1107"/>
      <c r="T18" s="1108"/>
      <c r="U18" s="1030"/>
      <c r="V18" s="1111"/>
      <c r="W18" s="1111"/>
      <c r="X18" s="1111"/>
      <c r="Y18" s="1111"/>
      <c r="Z18" s="1105"/>
      <c r="AA18" s="1105"/>
      <c r="AB18" s="1107"/>
      <c r="AC18" s="1120"/>
      <c r="AD18" s="1049"/>
      <c r="AE18" s="1135"/>
      <c r="AF18" s="1135"/>
      <c r="AG18" s="1136"/>
      <c r="AH18" s="1027" t="str">
        <f t="shared" ref="AH18" si="0">IF(OR(C18="",F18="",L18="",Q18="",S18="",U18="",Z18="",AB18="",AD18="",AF18=""),"",ROUND(AD18+AF18,2))</f>
        <v/>
      </c>
      <c r="AI18" s="1128"/>
      <c r="AJ18" s="1128"/>
      <c r="AK18" s="1131" t="str">
        <f t="shared" ref="AK18" si="1">IF(OR(C18="",F18="",L18="",Q18="",S18="",U18="",Z18="",AB18="",AD18="",AF18=""),"",IF(BC18&lt;&gt;"",BC18,IF(C18="New/Replace Failed Equip.",BA18,AZ18)))</f>
        <v/>
      </c>
      <c r="AL18" s="1131"/>
      <c r="AM18" s="1131"/>
      <c r="AN18" s="1131"/>
      <c r="AO18" s="1133" t="str">
        <f t="shared" ref="AO18" si="2">IF(OR(C18="",F18="",L18="",Q18="",S18="",U18="",Z18="",AB18="",AD18="",AF18=""),"",IF((Q18*S18)-(Z18*AB18)&lt;=0,0,ROUND((Q18*S18)-(Z18*AB18),0)))</f>
        <v/>
      </c>
      <c r="AP18" s="1133"/>
      <c r="AQ18" s="1133"/>
      <c r="AR18" s="135"/>
      <c r="AS18" s="145"/>
      <c r="AT18" s="145"/>
      <c r="AU18" s="1124" t="str">
        <f>IFERROR(IF(OR(C18="",F18="",L18="",Q18="",S18="",U18="",Z18="",AB18="",AD18="",AF18=""),"",((1+ELOSS)*PEAKTD*(1+INDEX(ELECCB[Capacity Reserve Margin],MATCH(AX18,ELECCB[Year Number],0)))*((AO18*INDEX(ELECCB[NPV AEC $/kWh],MATCH(AX18,ELECCB[Year Number],1)))+(AV18*INDEX(ELECCB[NPV ACC+T&amp;D $/kW],MATCH(AX18,ELECCB[Year Number],1))))/AH18)),0)</f>
        <v/>
      </c>
      <c r="AV18" s="1141" t="str">
        <f>IF(OR(C18="",F18="",L18="",Q18="",S18="",U18="",Z18="",AB18="",AD18="",AF18=""),"",ROUND(AO18*INDEX(ENDUSEALL[Factor],MATCH(AW18,ENDUSEALL[End Use to Coincident Peak Demand Factors],0)),4))</f>
        <v/>
      </c>
      <c r="AW18" s="987" t="str">
        <f>IF(OR(C18="",F18="",L18="",Q18="",S18="",U18="",Z18="",AB18="",AD18="",AF18=""),"",INDEX(CMEREFRI[End Use Category],MATCH(F18,CMEREFRI[Proj Desc 1],0)))</f>
        <v/>
      </c>
      <c r="AX18" s="1126" t="str">
        <f>IF(OR(C18="",F18="",L18="",Q18="",S18="",U18="",Z18="",AB18="",AD18="",AF18=""),"",INDEX(CMEREFRI[EUL],MATCH(F18,CMEREFRI[Proj Desc 1],0)))</f>
        <v/>
      </c>
      <c r="AY18" s="1122" t="str">
        <f>IF(OR(C18="",F18="",L18="",Q18="",S18="",U18="",Z18="",AB18="",AD18="",AF18=""),"",INDEX(CMEREFRI[Measure Number],MATCH(F18,CMEREFRI[Proj Desc 1],0)))</f>
        <v/>
      </c>
      <c r="AZ18" s="1118" t="str">
        <f>IFERROR(ROUND(MIN(AH18*0.5,AO18*INDEX(ENDUSEALL[Inc Rate],MATCH(AW18,ENDUSEALL[End Use to Coincident Peak Demand Factors],0))),2),"")</f>
        <v/>
      </c>
      <c r="BA18" s="1118" t="str">
        <f>IFERROR(ROUND(MIN(AH18,AO18*INDEX(ENDUSEALL[Inc Rate],MATCH(AW18,ENDUSEALL[End Use to Coincident Peak Demand Factors],0))),2),"")</f>
        <v/>
      </c>
      <c r="BB18" s="1118" t="str">
        <f>IFERROR(AH18/M02S02F35/AO18,"")</f>
        <v/>
      </c>
      <c r="BC18" s="1118" t="str">
        <f>IFERROR(IF((Q18*S18)-(Z18*AB18)&lt;=0,MEASURESAV,IF(M02S02F35="",MEASURERATE, IF(AH18/M02S02F35/AO18&lt;1,MEASUREPAY,IF(AU18&lt;1,MEASURECB,"")))),MEASURESUBMIT)</f>
        <v>Submit for Review</v>
      </c>
    </row>
    <row r="19" spans="2:55" ht="15.95" customHeight="1" x14ac:dyDescent="0.25">
      <c r="B19" s="1063"/>
      <c r="C19" s="1104"/>
      <c r="D19" s="1104"/>
      <c r="E19" s="1104"/>
      <c r="F19" s="1112"/>
      <c r="G19" s="1112"/>
      <c r="H19" s="1112"/>
      <c r="I19" s="1112"/>
      <c r="J19" s="1112"/>
      <c r="K19" s="1112"/>
      <c r="L19" s="1112"/>
      <c r="M19" s="1112"/>
      <c r="N19" s="1112"/>
      <c r="O19" s="1112"/>
      <c r="P19" s="1112"/>
      <c r="Q19" s="1106"/>
      <c r="R19" s="1106"/>
      <c r="S19" s="1109"/>
      <c r="T19" s="1110"/>
      <c r="U19" s="1033"/>
      <c r="V19" s="1112"/>
      <c r="W19" s="1112"/>
      <c r="X19" s="1112"/>
      <c r="Y19" s="1112"/>
      <c r="Z19" s="1106"/>
      <c r="AA19" s="1106"/>
      <c r="AB19" s="1109"/>
      <c r="AC19" s="1121"/>
      <c r="AD19" s="1051"/>
      <c r="AE19" s="1137"/>
      <c r="AF19" s="1137"/>
      <c r="AG19" s="1138"/>
      <c r="AH19" s="1129"/>
      <c r="AI19" s="1130"/>
      <c r="AJ19" s="1130"/>
      <c r="AK19" s="1132"/>
      <c r="AL19" s="1132"/>
      <c r="AM19" s="1132"/>
      <c r="AN19" s="1132"/>
      <c r="AO19" s="1134"/>
      <c r="AP19" s="1134"/>
      <c r="AQ19" s="1134"/>
      <c r="AR19" s="135"/>
      <c r="AS19" s="145"/>
      <c r="AT19" s="145"/>
      <c r="AU19" s="1125"/>
      <c r="AV19" s="1142"/>
      <c r="AW19" s="988"/>
      <c r="AX19" s="1127"/>
      <c r="AY19" s="1123"/>
      <c r="AZ19" s="1119"/>
      <c r="BA19" s="1119"/>
      <c r="BB19" s="1119"/>
      <c r="BC19" s="1119"/>
    </row>
    <row r="20" spans="2:55" ht="15.95" customHeight="1" x14ac:dyDescent="0.25">
      <c r="B20" s="1063">
        <v>3</v>
      </c>
      <c r="C20" s="1103"/>
      <c r="D20" s="1103"/>
      <c r="E20" s="1103"/>
      <c r="F20" s="1111"/>
      <c r="G20" s="1111"/>
      <c r="H20" s="1111"/>
      <c r="I20" s="1111"/>
      <c r="J20" s="1111"/>
      <c r="K20" s="1111"/>
      <c r="L20" s="1111"/>
      <c r="M20" s="1111"/>
      <c r="N20" s="1111"/>
      <c r="O20" s="1111"/>
      <c r="P20" s="1111"/>
      <c r="Q20" s="1105"/>
      <c r="R20" s="1105"/>
      <c r="S20" s="1107"/>
      <c r="T20" s="1108"/>
      <c r="U20" s="1030"/>
      <c r="V20" s="1111"/>
      <c r="W20" s="1111"/>
      <c r="X20" s="1111"/>
      <c r="Y20" s="1111"/>
      <c r="Z20" s="1105"/>
      <c r="AA20" s="1105"/>
      <c r="AB20" s="1107"/>
      <c r="AC20" s="1120"/>
      <c r="AD20" s="1049"/>
      <c r="AE20" s="1135"/>
      <c r="AF20" s="1135"/>
      <c r="AG20" s="1136"/>
      <c r="AH20" s="1027" t="str">
        <f t="shared" ref="AH20" si="3">IF(OR(C20="",F20="",L20="",Q20="",S20="",U20="",Z20="",AB20="",AD20="",AF20=""),"",ROUND(AD20+AF20,2))</f>
        <v/>
      </c>
      <c r="AI20" s="1128"/>
      <c r="AJ20" s="1128"/>
      <c r="AK20" s="1131" t="str">
        <f t="shared" ref="AK20" si="4">IF(OR(C20="",F20="",L20="",Q20="",S20="",U20="",Z20="",AB20="",AD20="",AF20=""),"",IF(BC20&lt;&gt;"",BC20,IF(C20="New/Replace Failed Equip.",BA20,AZ20)))</f>
        <v/>
      </c>
      <c r="AL20" s="1131"/>
      <c r="AM20" s="1131"/>
      <c r="AN20" s="1131"/>
      <c r="AO20" s="1133" t="str">
        <f t="shared" ref="AO20" si="5">IF(OR(C20="",F20="",L20="",Q20="",S20="",U20="",Z20="",AB20="",AD20="",AF20=""),"",IF((Q20*S20)-(Z20*AB20)&lt;=0,0,ROUND((Q20*S20)-(Z20*AB20),0)))</f>
        <v/>
      </c>
      <c r="AP20" s="1133"/>
      <c r="AQ20" s="1133"/>
      <c r="AR20" s="135"/>
      <c r="AS20" s="145"/>
      <c r="AT20" s="145"/>
      <c r="AU20" s="1124" t="str">
        <f>IFERROR(IF(OR(C20="",F20="",L20="",Q20="",S20="",U20="",Z20="",AB20="",AD20="",AF20=""),"",((1+ELOSS)*PEAKTD*(1+INDEX(ELECCB[Capacity Reserve Margin],MATCH(AX20,ELECCB[Year Number],0)))*((AO20*INDEX(ELECCB[NPV AEC $/kWh],MATCH(AX20,ELECCB[Year Number],1)))+(AV20*INDEX(ELECCB[NPV ACC+T&amp;D $/kW],MATCH(AX20,ELECCB[Year Number],1))))/AH20)),0)</f>
        <v/>
      </c>
      <c r="AV20" s="1141" t="str">
        <f>IF(OR(C20="",F20="",L20="",Q20="",S20="",U20="",Z20="",AB20="",AD20="",AF20=""),"",ROUND(AO20*INDEX(ENDUSEALL[Factor],MATCH(AW20,ENDUSEALL[End Use to Coincident Peak Demand Factors],0)),4))</f>
        <v/>
      </c>
      <c r="AW20" s="987" t="str">
        <f>IF(OR(C20="",F20="",L20="",Q20="",S20="",U20="",Z20="",AB20="",AD20="",AF20=""),"",INDEX(CMEREFRI[End Use Category],MATCH(F20,CMEREFRI[Proj Desc 1],0)))</f>
        <v/>
      </c>
      <c r="AX20" s="1126" t="str">
        <f>IF(OR(C20="",F20="",L20="",Q20="",S20="",U20="",Z20="",AB20="",AD20="",AF20=""),"",INDEX(CMEREFRI[EUL],MATCH(F20,CMEREFRI[Proj Desc 1],0)))</f>
        <v/>
      </c>
      <c r="AY20" s="1122" t="str">
        <f>IF(OR(C20="",F20="",L20="",Q20="",S20="",U20="",Z20="",AB20="",AD20="",AF20=""),"",INDEX(CMEREFRI[Measure Number],MATCH(F20,CMEREFRI[Proj Desc 1],0)))</f>
        <v/>
      </c>
      <c r="AZ20" s="1118" t="str">
        <f>IFERROR(ROUND(MIN(AH20*0.5,AO20*INDEX(ENDUSEALL[Inc Rate],MATCH(AW20,ENDUSEALL[End Use to Coincident Peak Demand Factors],0))),2),"")</f>
        <v/>
      </c>
      <c r="BA20" s="1118" t="str">
        <f>IFERROR(ROUND(MIN(AH20,AO20*INDEX(ENDUSEALL[Inc Rate],MATCH(AW20,ENDUSEALL[End Use to Coincident Peak Demand Factors],0))),2),"")</f>
        <v/>
      </c>
      <c r="BB20" s="1118" t="str">
        <f>IFERROR(AH20/M02S02F35/AO20,"")</f>
        <v/>
      </c>
      <c r="BC20" s="1118" t="str">
        <f>IFERROR(IF((Q20*S20)-(Z20*AB20)&lt;=0,MEASURESAV,IF(M02S02F35="",MEASURERATE, IF(AH20/M02S02F35/AO20&lt;1,MEASUREPAY,IF(AU20&lt;1,MEASURECB,"")))),MEASURESUBMIT)</f>
        <v>Submit for Review</v>
      </c>
    </row>
    <row r="21" spans="2:55" ht="15.95" customHeight="1" x14ac:dyDescent="0.25">
      <c r="B21" s="1063"/>
      <c r="C21" s="1104"/>
      <c r="D21" s="1104"/>
      <c r="E21" s="1104"/>
      <c r="F21" s="1112"/>
      <c r="G21" s="1112"/>
      <c r="H21" s="1112"/>
      <c r="I21" s="1112"/>
      <c r="J21" s="1112"/>
      <c r="K21" s="1112"/>
      <c r="L21" s="1112"/>
      <c r="M21" s="1112"/>
      <c r="N21" s="1112"/>
      <c r="O21" s="1112"/>
      <c r="P21" s="1112"/>
      <c r="Q21" s="1106"/>
      <c r="R21" s="1106"/>
      <c r="S21" s="1109"/>
      <c r="T21" s="1110"/>
      <c r="U21" s="1033"/>
      <c r="V21" s="1112"/>
      <c r="W21" s="1112"/>
      <c r="X21" s="1112"/>
      <c r="Y21" s="1112"/>
      <c r="Z21" s="1106"/>
      <c r="AA21" s="1106"/>
      <c r="AB21" s="1109"/>
      <c r="AC21" s="1121"/>
      <c r="AD21" s="1051"/>
      <c r="AE21" s="1137"/>
      <c r="AF21" s="1137"/>
      <c r="AG21" s="1138"/>
      <c r="AH21" s="1129"/>
      <c r="AI21" s="1130"/>
      <c r="AJ21" s="1130"/>
      <c r="AK21" s="1132"/>
      <c r="AL21" s="1132"/>
      <c r="AM21" s="1132"/>
      <c r="AN21" s="1132"/>
      <c r="AO21" s="1134"/>
      <c r="AP21" s="1134"/>
      <c r="AQ21" s="1134"/>
      <c r="AR21" s="135"/>
      <c r="AS21" s="145"/>
      <c r="AT21" s="145"/>
      <c r="AU21" s="1125"/>
      <c r="AV21" s="1142"/>
      <c r="AW21" s="988"/>
      <c r="AX21" s="1127"/>
      <c r="AY21" s="1123"/>
      <c r="AZ21" s="1119"/>
      <c r="BA21" s="1119"/>
      <c r="BB21" s="1119"/>
      <c r="BC21" s="1119"/>
    </row>
    <row r="22" spans="2:55" ht="15.95" customHeight="1" x14ac:dyDescent="0.25">
      <c r="B22" s="1063">
        <v>4</v>
      </c>
      <c r="C22" s="1103"/>
      <c r="D22" s="1103"/>
      <c r="E22" s="1103"/>
      <c r="F22" s="1111"/>
      <c r="G22" s="1111"/>
      <c r="H22" s="1111"/>
      <c r="I22" s="1111"/>
      <c r="J22" s="1111"/>
      <c r="K22" s="1111"/>
      <c r="L22" s="1111"/>
      <c r="M22" s="1111"/>
      <c r="N22" s="1111"/>
      <c r="O22" s="1111"/>
      <c r="P22" s="1111"/>
      <c r="Q22" s="1105"/>
      <c r="R22" s="1105"/>
      <c r="S22" s="1107"/>
      <c r="T22" s="1108"/>
      <c r="U22" s="1030"/>
      <c r="V22" s="1111"/>
      <c r="W22" s="1111"/>
      <c r="X22" s="1111"/>
      <c r="Y22" s="1111"/>
      <c r="Z22" s="1105"/>
      <c r="AA22" s="1105"/>
      <c r="AB22" s="1107"/>
      <c r="AC22" s="1120"/>
      <c r="AD22" s="1049"/>
      <c r="AE22" s="1135"/>
      <c r="AF22" s="1135"/>
      <c r="AG22" s="1136"/>
      <c r="AH22" s="1027" t="str">
        <f t="shared" ref="AH22" si="6">IF(OR(C22="",F22="",L22="",Q22="",S22="",U22="",Z22="",AB22="",AD22="",AF22=""),"",ROUND(AD22+AF22,2))</f>
        <v/>
      </c>
      <c r="AI22" s="1128"/>
      <c r="AJ22" s="1128"/>
      <c r="AK22" s="1131" t="str">
        <f t="shared" ref="AK22" si="7">IF(OR(C22="",F22="",L22="",Q22="",S22="",U22="",Z22="",AB22="",AD22="",AF22=""),"",IF(BC22&lt;&gt;"",BC22,IF(C22="New/Replace Failed Equip.",BA22,AZ22)))</f>
        <v/>
      </c>
      <c r="AL22" s="1131"/>
      <c r="AM22" s="1131"/>
      <c r="AN22" s="1131"/>
      <c r="AO22" s="1133" t="str">
        <f t="shared" ref="AO22" si="8">IF(OR(C22="",F22="",L22="",Q22="",S22="",U22="",Z22="",AB22="",AD22="",AF22=""),"",IF((Q22*S22)-(Z22*AB22)&lt;=0,0,ROUND((Q22*S22)-(Z22*AB22),0)))</f>
        <v/>
      </c>
      <c r="AP22" s="1133"/>
      <c r="AQ22" s="1133"/>
      <c r="AR22" s="135"/>
      <c r="AS22" s="145"/>
      <c r="AT22" s="145"/>
      <c r="AU22" s="1124" t="str">
        <f>IFERROR(IF(OR(C22="",F22="",L22="",Q22="",S22="",U22="",Z22="",AB22="",AD22="",AF22=""),"",((1+ELOSS)*PEAKTD*(1+INDEX(ELECCB[Capacity Reserve Margin],MATCH(AX22,ELECCB[Year Number],0)))*((AO22*INDEX(ELECCB[NPV AEC $/kWh],MATCH(AX22,ELECCB[Year Number],1)))+(AV22*INDEX(ELECCB[NPV ACC+T&amp;D $/kW],MATCH(AX22,ELECCB[Year Number],1))))/AH22)),0)</f>
        <v/>
      </c>
      <c r="AV22" s="1141" t="str">
        <f>IF(OR(C22="",F22="",L22="",Q22="",S22="",U22="",Z22="",AB22="",AD22="",AF22=""),"",ROUND(AO22*INDEX(ENDUSEALL[Factor],MATCH(AW22,ENDUSEALL[End Use to Coincident Peak Demand Factors],0)),4))</f>
        <v/>
      </c>
      <c r="AW22" s="987" t="str">
        <f>IF(OR(C22="",F22="",L22="",Q22="",S22="",U22="",Z22="",AB22="",AD22="",AF22=""),"",INDEX(CMEREFRI[End Use Category],MATCH(F22,CMEREFRI[Proj Desc 1],0)))</f>
        <v/>
      </c>
      <c r="AX22" s="1126" t="str">
        <f>IF(OR(C22="",F22="",L22="",Q22="",S22="",U22="",Z22="",AB22="",AD22="",AF22=""),"",INDEX(CMEREFRI[EUL],MATCH(F22,CMEREFRI[Proj Desc 1],0)))</f>
        <v/>
      </c>
      <c r="AY22" s="1122" t="str">
        <f>IF(OR(C22="",F22="",L22="",Q22="",S22="",U22="",Z22="",AB22="",AD22="",AF22=""),"",INDEX(CMEREFRI[Measure Number],MATCH(F22,CMEREFRI[Proj Desc 1],0)))</f>
        <v/>
      </c>
      <c r="AZ22" s="1118" t="str">
        <f>IFERROR(ROUND(MIN(AH22*0.5,AO22*INDEX(ENDUSEALL[Inc Rate],MATCH(AW22,ENDUSEALL[End Use to Coincident Peak Demand Factors],0))),2),"")</f>
        <v/>
      </c>
      <c r="BA22" s="1118" t="str">
        <f>IFERROR(ROUND(MIN(AH22,AO22*INDEX(ENDUSEALL[Inc Rate],MATCH(AW22,ENDUSEALL[End Use to Coincident Peak Demand Factors],0))),2),"")</f>
        <v/>
      </c>
      <c r="BB22" s="1118" t="str">
        <f>IFERROR(AH22/M02S02F35/AO22,"")</f>
        <v/>
      </c>
      <c r="BC22" s="1118" t="str">
        <f>IFERROR(IF((Q22*S22)-(Z22*AB22)&lt;=0,MEASURESAV,IF(M02S02F35="",MEASURERATE, IF(AH22/M02S02F35/AO22&lt;1,MEASUREPAY,IF(AU22&lt;1,MEASURECB,"")))),MEASURESUBMIT)</f>
        <v>Submit for Review</v>
      </c>
    </row>
    <row r="23" spans="2:55" ht="15.95" customHeight="1" x14ac:dyDescent="0.25">
      <c r="B23" s="1063"/>
      <c r="C23" s="1104"/>
      <c r="D23" s="1104"/>
      <c r="E23" s="1104"/>
      <c r="F23" s="1112"/>
      <c r="G23" s="1112"/>
      <c r="H23" s="1112"/>
      <c r="I23" s="1112"/>
      <c r="J23" s="1112"/>
      <c r="K23" s="1112"/>
      <c r="L23" s="1112"/>
      <c r="M23" s="1112"/>
      <c r="N23" s="1112"/>
      <c r="O23" s="1112"/>
      <c r="P23" s="1112"/>
      <c r="Q23" s="1106"/>
      <c r="R23" s="1106"/>
      <c r="S23" s="1109"/>
      <c r="T23" s="1110"/>
      <c r="U23" s="1033"/>
      <c r="V23" s="1112"/>
      <c r="W23" s="1112"/>
      <c r="X23" s="1112"/>
      <c r="Y23" s="1112"/>
      <c r="Z23" s="1106"/>
      <c r="AA23" s="1106"/>
      <c r="AB23" s="1109"/>
      <c r="AC23" s="1121"/>
      <c r="AD23" s="1051"/>
      <c r="AE23" s="1137"/>
      <c r="AF23" s="1137"/>
      <c r="AG23" s="1138"/>
      <c r="AH23" s="1129"/>
      <c r="AI23" s="1130"/>
      <c r="AJ23" s="1130"/>
      <c r="AK23" s="1132"/>
      <c r="AL23" s="1132"/>
      <c r="AM23" s="1132"/>
      <c r="AN23" s="1132"/>
      <c r="AO23" s="1134"/>
      <c r="AP23" s="1134"/>
      <c r="AQ23" s="1134"/>
      <c r="AR23" s="135"/>
      <c r="AS23" s="145"/>
      <c r="AT23" s="145"/>
      <c r="AU23" s="1125"/>
      <c r="AV23" s="1142"/>
      <c r="AW23" s="988"/>
      <c r="AX23" s="1127"/>
      <c r="AY23" s="1123"/>
      <c r="AZ23" s="1119"/>
      <c r="BA23" s="1119"/>
      <c r="BB23" s="1119"/>
      <c r="BC23" s="1119"/>
    </row>
    <row r="24" spans="2:55" ht="15.95" customHeight="1" x14ac:dyDescent="0.25">
      <c r="B24" s="1063">
        <v>5</v>
      </c>
      <c r="C24" s="1103"/>
      <c r="D24" s="1103"/>
      <c r="E24" s="1103"/>
      <c r="F24" s="1111"/>
      <c r="G24" s="1111"/>
      <c r="H24" s="1111"/>
      <c r="I24" s="1111"/>
      <c r="J24" s="1111"/>
      <c r="K24" s="1111"/>
      <c r="L24" s="1111"/>
      <c r="M24" s="1111"/>
      <c r="N24" s="1111"/>
      <c r="O24" s="1111"/>
      <c r="P24" s="1111"/>
      <c r="Q24" s="1105"/>
      <c r="R24" s="1105"/>
      <c r="S24" s="1107"/>
      <c r="T24" s="1108"/>
      <c r="U24" s="1030"/>
      <c r="V24" s="1111"/>
      <c r="W24" s="1111"/>
      <c r="X24" s="1111"/>
      <c r="Y24" s="1111"/>
      <c r="Z24" s="1105"/>
      <c r="AA24" s="1105"/>
      <c r="AB24" s="1107"/>
      <c r="AC24" s="1120"/>
      <c r="AD24" s="1049"/>
      <c r="AE24" s="1135"/>
      <c r="AF24" s="1135"/>
      <c r="AG24" s="1136"/>
      <c r="AH24" s="1027" t="str">
        <f t="shared" ref="AH24" si="9">IF(OR(C24="",F24="",L24="",Q24="",S24="",U24="",Z24="",AB24="",AD24="",AF24=""),"",ROUND(AD24+AF24,2))</f>
        <v/>
      </c>
      <c r="AI24" s="1128"/>
      <c r="AJ24" s="1128"/>
      <c r="AK24" s="1131" t="str">
        <f t="shared" ref="AK24" si="10">IF(OR(C24="",F24="",L24="",Q24="",S24="",U24="",Z24="",AB24="",AD24="",AF24=""),"",IF(BC24&lt;&gt;"",BC24,IF(C24="New/Replace Failed Equip.",BA24,AZ24)))</f>
        <v/>
      </c>
      <c r="AL24" s="1131"/>
      <c r="AM24" s="1131"/>
      <c r="AN24" s="1131"/>
      <c r="AO24" s="1133" t="str">
        <f t="shared" ref="AO24" si="11">IF(OR(C24="",F24="",L24="",Q24="",S24="",U24="",Z24="",AB24="",AD24="",AF24=""),"",IF((Q24*S24)-(Z24*AB24)&lt;=0,0,ROUND((Q24*S24)-(Z24*AB24),0)))</f>
        <v/>
      </c>
      <c r="AP24" s="1133"/>
      <c r="AQ24" s="1133"/>
      <c r="AR24" s="135"/>
      <c r="AS24" s="145"/>
      <c r="AT24" s="145"/>
      <c r="AU24" s="1124" t="str">
        <f>IFERROR(IF(OR(C24="",F24="",L24="",Q24="",S24="",U24="",Z24="",AB24="",AD24="",AF24=""),"",((1+ELOSS)*PEAKTD*(1+INDEX(ELECCB[Capacity Reserve Margin],MATCH(AX24,ELECCB[Year Number],0)))*((AO24*INDEX(ELECCB[NPV AEC $/kWh],MATCH(AX24,ELECCB[Year Number],1)))+(AV24*INDEX(ELECCB[NPV ACC+T&amp;D $/kW],MATCH(AX24,ELECCB[Year Number],1))))/AH24)),0)</f>
        <v/>
      </c>
      <c r="AV24" s="1141" t="str">
        <f>IF(OR(C24="",F24="",L24="",Q24="",S24="",U24="",Z24="",AB24="",AD24="",AF24=""),"",ROUND(AO24*INDEX(ENDUSEALL[Factor],MATCH(AW24,ENDUSEALL[End Use to Coincident Peak Demand Factors],0)),4))</f>
        <v/>
      </c>
      <c r="AW24" s="987" t="str">
        <f>IF(OR(C24="",F24="",L24="",Q24="",S24="",U24="",Z24="",AB24="",AD24="",AF24=""),"",INDEX(CMEREFRI[End Use Category],MATCH(F24,CMEREFRI[Proj Desc 1],0)))</f>
        <v/>
      </c>
      <c r="AX24" s="1126" t="str">
        <f>IF(OR(C24="",F24="",L24="",Q24="",S24="",U24="",Z24="",AB24="",AD24="",AF24=""),"",INDEX(CMEREFRI[EUL],MATCH(F24,CMEREFRI[Proj Desc 1],0)))</f>
        <v/>
      </c>
      <c r="AY24" s="1122" t="str">
        <f>IF(OR(C24="",F24="",L24="",Q24="",S24="",U24="",Z24="",AB24="",AD24="",AF24=""),"",INDEX(CMEREFRI[Measure Number],MATCH(F24,CMEREFRI[Proj Desc 1],0)))</f>
        <v/>
      </c>
      <c r="AZ24" s="1118" t="str">
        <f>IFERROR(ROUND(MIN(AH24*0.5,AO24*INDEX(ENDUSEALL[Inc Rate],MATCH(AW24,ENDUSEALL[End Use to Coincident Peak Demand Factors],0))),2),"")</f>
        <v/>
      </c>
      <c r="BA24" s="1118" t="str">
        <f>IFERROR(ROUND(MIN(AH24,AO24*INDEX(ENDUSEALL[Inc Rate],MATCH(AW24,ENDUSEALL[End Use to Coincident Peak Demand Factors],0))),2),"")</f>
        <v/>
      </c>
      <c r="BB24" s="1118" t="str">
        <f>IFERROR(AH24/M02S02F35/AO24,"")</f>
        <v/>
      </c>
      <c r="BC24" s="1118" t="str">
        <f>IFERROR(IF((Q24*S24)-(Z24*AB24)&lt;=0,MEASURESAV,IF(M02S02F35="",MEASURERATE, IF(AH24/M02S02F35/AO24&lt;1,MEASUREPAY,IF(AU24&lt;1,MEASURECB,"")))),MEASURESUBMIT)</f>
        <v>Submit for Review</v>
      </c>
    </row>
    <row r="25" spans="2:55" ht="15.95" customHeight="1" x14ac:dyDescent="0.25">
      <c r="B25" s="1063"/>
      <c r="C25" s="1104"/>
      <c r="D25" s="1104"/>
      <c r="E25" s="1104"/>
      <c r="F25" s="1112"/>
      <c r="G25" s="1112"/>
      <c r="H25" s="1112"/>
      <c r="I25" s="1112"/>
      <c r="J25" s="1112"/>
      <c r="K25" s="1112"/>
      <c r="L25" s="1112"/>
      <c r="M25" s="1112"/>
      <c r="N25" s="1112"/>
      <c r="O25" s="1112"/>
      <c r="P25" s="1112"/>
      <c r="Q25" s="1106"/>
      <c r="R25" s="1106"/>
      <c r="S25" s="1109"/>
      <c r="T25" s="1110"/>
      <c r="U25" s="1033"/>
      <c r="V25" s="1112"/>
      <c r="W25" s="1112"/>
      <c r="X25" s="1112"/>
      <c r="Y25" s="1112"/>
      <c r="Z25" s="1106"/>
      <c r="AA25" s="1106"/>
      <c r="AB25" s="1109"/>
      <c r="AC25" s="1121"/>
      <c r="AD25" s="1051"/>
      <c r="AE25" s="1137"/>
      <c r="AF25" s="1137"/>
      <c r="AG25" s="1138"/>
      <c r="AH25" s="1129"/>
      <c r="AI25" s="1130"/>
      <c r="AJ25" s="1130"/>
      <c r="AK25" s="1132"/>
      <c r="AL25" s="1132"/>
      <c r="AM25" s="1132"/>
      <c r="AN25" s="1132"/>
      <c r="AO25" s="1134"/>
      <c r="AP25" s="1134"/>
      <c r="AQ25" s="1134"/>
      <c r="AR25" s="135"/>
      <c r="AS25" s="145"/>
      <c r="AT25" s="145"/>
      <c r="AU25" s="1125"/>
      <c r="AV25" s="1142"/>
      <c r="AW25" s="988"/>
      <c r="AX25" s="1127"/>
      <c r="AY25" s="1123"/>
      <c r="AZ25" s="1119"/>
      <c r="BA25" s="1119"/>
      <c r="BB25" s="1119"/>
      <c r="BC25" s="1119"/>
    </row>
    <row r="26" spans="2:55" ht="15.95" customHeight="1" x14ac:dyDescent="0.25">
      <c r="B26" s="1063">
        <v>6</v>
      </c>
      <c r="C26" s="1103"/>
      <c r="D26" s="1103"/>
      <c r="E26" s="1103"/>
      <c r="F26" s="1111"/>
      <c r="G26" s="1111"/>
      <c r="H26" s="1111"/>
      <c r="I26" s="1111"/>
      <c r="J26" s="1111"/>
      <c r="K26" s="1111"/>
      <c r="L26" s="1111"/>
      <c r="M26" s="1111"/>
      <c r="N26" s="1111"/>
      <c r="O26" s="1111"/>
      <c r="P26" s="1111"/>
      <c r="Q26" s="1105"/>
      <c r="R26" s="1105"/>
      <c r="S26" s="1107"/>
      <c r="T26" s="1108"/>
      <c r="U26" s="1030"/>
      <c r="V26" s="1111"/>
      <c r="W26" s="1111"/>
      <c r="X26" s="1111"/>
      <c r="Y26" s="1111"/>
      <c r="Z26" s="1105"/>
      <c r="AA26" s="1105"/>
      <c r="AB26" s="1107"/>
      <c r="AC26" s="1120"/>
      <c r="AD26" s="1049"/>
      <c r="AE26" s="1135"/>
      <c r="AF26" s="1135"/>
      <c r="AG26" s="1136"/>
      <c r="AH26" s="1027" t="str">
        <f t="shared" ref="AH26" si="12">IF(OR(C26="",F26="",L26="",Q26="",S26="",U26="",Z26="",AB26="",AD26="",AF26=""),"",ROUND(AD26+AF26,2))</f>
        <v/>
      </c>
      <c r="AI26" s="1128"/>
      <c r="AJ26" s="1128"/>
      <c r="AK26" s="1131" t="str">
        <f t="shared" ref="AK26" si="13">IF(OR(C26="",F26="",L26="",Q26="",S26="",U26="",Z26="",AB26="",AD26="",AF26=""),"",IF(BC26&lt;&gt;"",BC26,IF(C26="New/Replace Failed Equip.",BA26,AZ26)))</f>
        <v/>
      </c>
      <c r="AL26" s="1131"/>
      <c r="AM26" s="1131"/>
      <c r="AN26" s="1131"/>
      <c r="AO26" s="1133" t="str">
        <f t="shared" ref="AO26" si="14">IF(OR(C26="",F26="",L26="",Q26="",S26="",U26="",Z26="",AB26="",AD26="",AF26=""),"",IF((Q26*S26)-(Z26*AB26)&lt;=0,0,ROUND((Q26*S26)-(Z26*AB26),0)))</f>
        <v/>
      </c>
      <c r="AP26" s="1133"/>
      <c r="AQ26" s="1133"/>
      <c r="AR26" s="135"/>
      <c r="AS26" s="145"/>
      <c r="AT26" s="145"/>
      <c r="AU26" s="1124" t="str">
        <f>IFERROR(IF(OR(C26="",F26="",L26="",Q26="",S26="",U26="",Z26="",AB26="",AD26="",AF26=""),"",((1+ELOSS)*PEAKTD*(1+INDEX(ELECCB[Capacity Reserve Margin],MATCH(AX26,ELECCB[Year Number],0)))*((AO26*INDEX(ELECCB[NPV AEC $/kWh],MATCH(AX26,ELECCB[Year Number],1)))+(AV26*INDEX(ELECCB[NPV ACC+T&amp;D $/kW],MATCH(AX26,ELECCB[Year Number],1))))/AH26)),0)</f>
        <v/>
      </c>
      <c r="AV26" s="1141" t="str">
        <f>IF(OR(C26="",F26="",L26="",Q26="",S26="",U26="",Z26="",AB26="",AD26="",AF26=""),"",ROUND(AO26*INDEX(ENDUSEALL[Factor],MATCH(AW26,ENDUSEALL[End Use to Coincident Peak Demand Factors],0)),4))</f>
        <v/>
      </c>
      <c r="AW26" s="987" t="str">
        <f>IF(OR(C26="",F26="",L26="",Q26="",S26="",U26="",Z26="",AB26="",AD26="",AF26=""),"",INDEX(CMEREFRI[End Use Category],MATCH(F26,CMEREFRI[Proj Desc 1],0)))</f>
        <v/>
      </c>
      <c r="AX26" s="1126" t="str">
        <f>IF(OR(C26="",F26="",L26="",Q26="",S26="",U26="",Z26="",AB26="",AD26="",AF26=""),"",INDEX(CMEREFRI[EUL],MATCH(F26,CMEREFRI[Proj Desc 1],0)))</f>
        <v/>
      </c>
      <c r="AY26" s="1122" t="str">
        <f>IF(OR(C26="",F26="",L26="",Q26="",S26="",U26="",Z26="",AB26="",AD26="",AF26=""),"",INDEX(CMEREFRI[Measure Number],MATCH(F26,CMEREFRI[Proj Desc 1],0)))</f>
        <v/>
      </c>
      <c r="AZ26" s="1118" t="str">
        <f>IFERROR(ROUND(MIN(AH26*0.5,AO26*INDEX(ENDUSEALL[Inc Rate],MATCH(AW26,ENDUSEALL[End Use to Coincident Peak Demand Factors],0))),2),"")</f>
        <v/>
      </c>
      <c r="BA26" s="1118" t="str">
        <f>IFERROR(ROUND(MIN(AH26,AO26*INDEX(ENDUSEALL[Inc Rate],MATCH(AW26,ENDUSEALL[End Use to Coincident Peak Demand Factors],0))),2),"")</f>
        <v/>
      </c>
      <c r="BB26" s="1118" t="str">
        <f>IFERROR(AH26/M02S02F35/AO26,"")</f>
        <v/>
      </c>
      <c r="BC26" s="1118" t="str">
        <f>IFERROR(IF((Q26*S26)-(Z26*AB26)&lt;=0,MEASURESAV,IF(M02S02F35="",MEASURERATE, IF(AH26/M02S02F35/AO26&lt;1,MEASUREPAY,IF(AU26&lt;1,MEASURECB,"")))),MEASURESUBMIT)</f>
        <v>Submit for Review</v>
      </c>
    </row>
    <row r="27" spans="2:55" ht="15.95" customHeight="1" x14ac:dyDescent="0.25">
      <c r="B27" s="1063"/>
      <c r="C27" s="1104"/>
      <c r="D27" s="1104"/>
      <c r="E27" s="1104"/>
      <c r="F27" s="1112"/>
      <c r="G27" s="1112"/>
      <c r="H27" s="1112"/>
      <c r="I27" s="1112"/>
      <c r="J27" s="1112"/>
      <c r="K27" s="1112"/>
      <c r="L27" s="1112"/>
      <c r="M27" s="1112"/>
      <c r="N27" s="1112"/>
      <c r="O27" s="1112"/>
      <c r="P27" s="1112"/>
      <c r="Q27" s="1106"/>
      <c r="R27" s="1106"/>
      <c r="S27" s="1109"/>
      <c r="T27" s="1110"/>
      <c r="U27" s="1033"/>
      <c r="V27" s="1112"/>
      <c r="W27" s="1112"/>
      <c r="X27" s="1112"/>
      <c r="Y27" s="1112"/>
      <c r="Z27" s="1106"/>
      <c r="AA27" s="1106"/>
      <c r="AB27" s="1109"/>
      <c r="AC27" s="1121"/>
      <c r="AD27" s="1051"/>
      <c r="AE27" s="1137"/>
      <c r="AF27" s="1137"/>
      <c r="AG27" s="1138"/>
      <c r="AH27" s="1129"/>
      <c r="AI27" s="1130"/>
      <c r="AJ27" s="1130"/>
      <c r="AK27" s="1132"/>
      <c r="AL27" s="1132"/>
      <c r="AM27" s="1132"/>
      <c r="AN27" s="1132"/>
      <c r="AO27" s="1134"/>
      <c r="AP27" s="1134"/>
      <c r="AQ27" s="1134"/>
      <c r="AR27" s="135"/>
      <c r="AS27" s="145"/>
      <c r="AT27" s="145"/>
      <c r="AU27" s="1125"/>
      <c r="AV27" s="1142"/>
      <c r="AW27" s="988"/>
      <c r="AX27" s="1127"/>
      <c r="AY27" s="1123"/>
      <c r="AZ27" s="1119"/>
      <c r="BA27" s="1119"/>
      <c r="BB27" s="1119"/>
      <c r="BC27" s="1119"/>
    </row>
    <row r="28" spans="2:55" ht="15.95" customHeight="1" x14ac:dyDescent="0.25">
      <c r="B28" s="1063">
        <v>7</v>
      </c>
      <c r="C28" s="1103"/>
      <c r="D28" s="1103"/>
      <c r="E28" s="1103"/>
      <c r="F28" s="1111"/>
      <c r="G28" s="1111"/>
      <c r="H28" s="1111"/>
      <c r="I28" s="1111"/>
      <c r="J28" s="1111"/>
      <c r="K28" s="1111"/>
      <c r="L28" s="1111"/>
      <c r="M28" s="1111"/>
      <c r="N28" s="1111"/>
      <c r="O28" s="1111"/>
      <c r="P28" s="1111"/>
      <c r="Q28" s="1105"/>
      <c r="R28" s="1105"/>
      <c r="S28" s="1107"/>
      <c r="T28" s="1108"/>
      <c r="U28" s="1030"/>
      <c r="V28" s="1111"/>
      <c r="W28" s="1111"/>
      <c r="X28" s="1111"/>
      <c r="Y28" s="1111"/>
      <c r="Z28" s="1105"/>
      <c r="AA28" s="1105"/>
      <c r="AB28" s="1107"/>
      <c r="AC28" s="1120"/>
      <c r="AD28" s="1049"/>
      <c r="AE28" s="1135"/>
      <c r="AF28" s="1135"/>
      <c r="AG28" s="1136"/>
      <c r="AH28" s="1027" t="str">
        <f t="shared" ref="AH28" si="15">IF(OR(C28="",F28="",L28="",Q28="",S28="",U28="",Z28="",AB28="",AD28="",AF28=""),"",ROUND(AD28+AF28,2))</f>
        <v/>
      </c>
      <c r="AI28" s="1128"/>
      <c r="AJ28" s="1128"/>
      <c r="AK28" s="1131" t="str">
        <f t="shared" ref="AK28" si="16">IF(OR(C28="",F28="",L28="",Q28="",S28="",U28="",Z28="",AB28="",AD28="",AF28=""),"",IF(BC28&lt;&gt;"",BC28,IF(C28="New/Replace Failed Equip.",BA28,AZ28)))</f>
        <v/>
      </c>
      <c r="AL28" s="1131"/>
      <c r="AM28" s="1131"/>
      <c r="AN28" s="1131"/>
      <c r="AO28" s="1133" t="str">
        <f t="shared" ref="AO28" si="17">IF(OR(C28="",F28="",L28="",Q28="",S28="",U28="",Z28="",AB28="",AD28="",AF28=""),"",IF((Q28*S28)-(Z28*AB28)&lt;=0,0,ROUND((Q28*S28)-(Z28*AB28),0)))</f>
        <v/>
      </c>
      <c r="AP28" s="1133"/>
      <c r="AQ28" s="1133"/>
      <c r="AR28" s="135"/>
      <c r="AS28" s="145"/>
      <c r="AT28" s="145"/>
      <c r="AU28" s="1124" t="str">
        <f>IFERROR(IF(OR(C28="",F28="",L28="",Q28="",S28="",U28="",Z28="",AB28="",AD28="",AF28=""),"",((1+ELOSS)*PEAKTD*(1+INDEX(ELECCB[Capacity Reserve Margin],MATCH(AX28,ELECCB[Year Number],0)))*((AO28*INDEX(ELECCB[NPV AEC $/kWh],MATCH(AX28,ELECCB[Year Number],1)))+(AV28*INDEX(ELECCB[NPV ACC+T&amp;D $/kW],MATCH(AX28,ELECCB[Year Number],1))))/AH28)),0)</f>
        <v/>
      </c>
      <c r="AV28" s="1141" t="str">
        <f>IF(OR(C28="",F28="",L28="",Q28="",S28="",U28="",Z28="",AB28="",AD28="",AF28=""),"",ROUND(AO28*INDEX(ENDUSEALL[Factor],MATCH(AW28,ENDUSEALL[End Use to Coincident Peak Demand Factors],0)),4))</f>
        <v/>
      </c>
      <c r="AW28" s="987" t="str">
        <f>IF(OR(C28="",F28="",L28="",Q28="",S28="",U28="",Z28="",AB28="",AD28="",AF28=""),"",INDEX(CMEREFRI[End Use Category],MATCH(F28,CMEREFRI[Proj Desc 1],0)))</f>
        <v/>
      </c>
      <c r="AX28" s="1126" t="str">
        <f>IF(OR(C28="",F28="",L28="",Q28="",S28="",U28="",Z28="",AB28="",AD28="",AF28=""),"",INDEX(CMEREFRI[EUL],MATCH(F28,CMEREFRI[Proj Desc 1],0)))</f>
        <v/>
      </c>
      <c r="AY28" s="1122" t="str">
        <f>IF(OR(C28="",F28="",L28="",Q28="",S28="",U28="",Z28="",AB28="",AD28="",AF28=""),"",INDEX(CMEREFRI[Measure Number],MATCH(F28,CMEREFRI[Proj Desc 1],0)))</f>
        <v/>
      </c>
      <c r="AZ28" s="1118" t="str">
        <f>IFERROR(ROUND(MIN(AH28*0.5,AO28*INDEX(ENDUSEALL[Inc Rate],MATCH(AW28,ENDUSEALL[End Use to Coincident Peak Demand Factors],0))),2),"")</f>
        <v/>
      </c>
      <c r="BA28" s="1118" t="str">
        <f>IFERROR(ROUND(MIN(AH28,AO28*INDEX(ENDUSEALL[Inc Rate],MATCH(AW28,ENDUSEALL[End Use to Coincident Peak Demand Factors],0))),2),"")</f>
        <v/>
      </c>
      <c r="BB28" s="1118" t="str">
        <f>IFERROR(AH28/M02S02F35/AO28,"")</f>
        <v/>
      </c>
      <c r="BC28" s="1118" t="str">
        <f>IFERROR(IF((Q28*S28)-(Z28*AB28)&lt;=0,MEASURESAV,IF(M02S02F35="",MEASURERATE, IF(AH28/M02S02F35/AO28&lt;1,MEASUREPAY,IF(AU28&lt;1,MEASURECB,"")))),MEASURESUBMIT)</f>
        <v>Submit for Review</v>
      </c>
    </row>
    <row r="29" spans="2:55" ht="15.95" customHeight="1" x14ac:dyDescent="0.25">
      <c r="B29" s="1063"/>
      <c r="C29" s="1104"/>
      <c r="D29" s="1104"/>
      <c r="E29" s="1104"/>
      <c r="F29" s="1112"/>
      <c r="G29" s="1112"/>
      <c r="H29" s="1112"/>
      <c r="I29" s="1112"/>
      <c r="J29" s="1112"/>
      <c r="K29" s="1112"/>
      <c r="L29" s="1112"/>
      <c r="M29" s="1112"/>
      <c r="N29" s="1112"/>
      <c r="O29" s="1112"/>
      <c r="P29" s="1112"/>
      <c r="Q29" s="1106"/>
      <c r="R29" s="1106"/>
      <c r="S29" s="1109"/>
      <c r="T29" s="1110"/>
      <c r="U29" s="1033"/>
      <c r="V29" s="1112"/>
      <c r="W29" s="1112"/>
      <c r="X29" s="1112"/>
      <c r="Y29" s="1112"/>
      <c r="Z29" s="1106"/>
      <c r="AA29" s="1106"/>
      <c r="AB29" s="1109"/>
      <c r="AC29" s="1121"/>
      <c r="AD29" s="1051"/>
      <c r="AE29" s="1137"/>
      <c r="AF29" s="1137"/>
      <c r="AG29" s="1138"/>
      <c r="AH29" s="1129"/>
      <c r="AI29" s="1130"/>
      <c r="AJ29" s="1130"/>
      <c r="AK29" s="1132"/>
      <c r="AL29" s="1132"/>
      <c r="AM29" s="1132"/>
      <c r="AN29" s="1132"/>
      <c r="AO29" s="1134"/>
      <c r="AP29" s="1134"/>
      <c r="AQ29" s="1134"/>
      <c r="AR29" s="135"/>
      <c r="AS29" s="145"/>
      <c r="AT29" s="145"/>
      <c r="AU29" s="1125"/>
      <c r="AV29" s="1142"/>
      <c r="AW29" s="988"/>
      <c r="AX29" s="1127"/>
      <c r="AY29" s="1123"/>
      <c r="AZ29" s="1119"/>
      <c r="BA29" s="1119"/>
      <c r="BB29" s="1119"/>
      <c r="BC29" s="1119"/>
    </row>
    <row r="30" spans="2:55" ht="15.95" customHeight="1" x14ac:dyDescent="0.25">
      <c r="B30" s="1063">
        <v>8</v>
      </c>
      <c r="C30" s="1103"/>
      <c r="D30" s="1103"/>
      <c r="E30" s="1103"/>
      <c r="F30" s="1111"/>
      <c r="G30" s="1111"/>
      <c r="H30" s="1111"/>
      <c r="I30" s="1111"/>
      <c r="J30" s="1111"/>
      <c r="K30" s="1111"/>
      <c r="L30" s="1111"/>
      <c r="M30" s="1111"/>
      <c r="N30" s="1111"/>
      <c r="O30" s="1111"/>
      <c r="P30" s="1111"/>
      <c r="Q30" s="1105"/>
      <c r="R30" s="1105"/>
      <c r="S30" s="1107"/>
      <c r="T30" s="1108"/>
      <c r="U30" s="1030"/>
      <c r="V30" s="1111"/>
      <c r="W30" s="1111"/>
      <c r="X30" s="1111"/>
      <c r="Y30" s="1111"/>
      <c r="Z30" s="1105"/>
      <c r="AA30" s="1105"/>
      <c r="AB30" s="1107"/>
      <c r="AC30" s="1120"/>
      <c r="AD30" s="1049"/>
      <c r="AE30" s="1135"/>
      <c r="AF30" s="1135"/>
      <c r="AG30" s="1136"/>
      <c r="AH30" s="1027" t="str">
        <f t="shared" ref="AH30" si="18">IF(OR(C30="",F30="",L30="",Q30="",S30="",U30="",Z30="",AB30="",AD30="",AF30=""),"",ROUND(AD30+AF30,2))</f>
        <v/>
      </c>
      <c r="AI30" s="1128"/>
      <c r="AJ30" s="1128"/>
      <c r="AK30" s="1131" t="str">
        <f t="shared" ref="AK30" si="19">IF(OR(C30="",F30="",L30="",Q30="",S30="",U30="",Z30="",AB30="",AD30="",AF30=""),"",IF(BC30&lt;&gt;"",BC30,IF(C30="New/Replace Failed Equip.",BA30,AZ30)))</f>
        <v/>
      </c>
      <c r="AL30" s="1131"/>
      <c r="AM30" s="1131"/>
      <c r="AN30" s="1131"/>
      <c r="AO30" s="1133" t="str">
        <f t="shared" ref="AO30" si="20">IF(OR(C30="",F30="",L30="",Q30="",S30="",U30="",Z30="",AB30="",AD30="",AF30=""),"",IF((Q30*S30)-(Z30*AB30)&lt;=0,0,ROUND((Q30*S30)-(Z30*AB30),0)))</f>
        <v/>
      </c>
      <c r="AP30" s="1133"/>
      <c r="AQ30" s="1133"/>
      <c r="AR30" s="135"/>
      <c r="AS30" s="145"/>
      <c r="AT30" s="145"/>
      <c r="AU30" s="1124" t="str">
        <f>IFERROR(IF(OR(C30="",F30="",L30="",Q30="",S30="",U30="",Z30="",AB30="",AD30="",AF30=""),"",((1+ELOSS)*PEAKTD*(1+INDEX(ELECCB[Capacity Reserve Margin],MATCH(AX30,ELECCB[Year Number],0)))*((AO30*INDEX(ELECCB[NPV AEC $/kWh],MATCH(AX30,ELECCB[Year Number],1)))+(AV30*INDEX(ELECCB[NPV ACC+T&amp;D $/kW],MATCH(AX30,ELECCB[Year Number],1))))/AH30)),0)</f>
        <v/>
      </c>
      <c r="AV30" s="1141" t="str">
        <f>IF(OR(C30="",F30="",L30="",Q30="",S30="",U30="",Z30="",AB30="",AD30="",AF30=""),"",ROUND(AO30*INDEX(ENDUSEALL[Factor],MATCH(AW30,ENDUSEALL[End Use to Coincident Peak Demand Factors],0)),4))</f>
        <v/>
      </c>
      <c r="AW30" s="987" t="str">
        <f>IF(OR(C30="",F30="",L30="",Q30="",S30="",U30="",Z30="",AB30="",AD30="",AF30=""),"",INDEX(CMEREFRI[End Use Category],MATCH(F30,CMEREFRI[Proj Desc 1],0)))</f>
        <v/>
      </c>
      <c r="AX30" s="1126" t="str">
        <f>IF(OR(C30="",F30="",L30="",Q30="",S30="",U30="",Z30="",AB30="",AD30="",AF30=""),"",INDEX(CMEREFRI[EUL],MATCH(F30,CMEREFRI[Proj Desc 1],0)))</f>
        <v/>
      </c>
      <c r="AY30" s="1122" t="str">
        <f>IF(OR(C30="",F30="",L30="",Q30="",S30="",U30="",Z30="",AB30="",AD30="",AF30=""),"",INDEX(CMEREFRI[Measure Number],MATCH(F30,CMEREFRI[Proj Desc 1],0)))</f>
        <v/>
      </c>
      <c r="AZ30" s="1118" t="str">
        <f>IFERROR(ROUND(MIN(AH30*0.5,AO30*INDEX(ENDUSEALL[Inc Rate],MATCH(AW30,ENDUSEALL[End Use to Coincident Peak Demand Factors],0))),2),"")</f>
        <v/>
      </c>
      <c r="BA30" s="1118" t="str">
        <f>IFERROR(ROUND(MIN(AH30,AO30*INDEX(ENDUSEALL[Inc Rate],MATCH(AW30,ENDUSEALL[End Use to Coincident Peak Demand Factors],0))),2),"")</f>
        <v/>
      </c>
      <c r="BB30" s="1118" t="str">
        <f>IFERROR(AH30/M02S02F35/AO30,"")</f>
        <v/>
      </c>
      <c r="BC30" s="1118" t="str">
        <f>IFERROR(IF((Q30*S30)-(Z30*AB30)&lt;=0,MEASURESAV,IF(M02S02F35="",MEASURERATE, IF(AH30/M02S02F35/AO30&lt;1,MEASUREPAY,IF(AU30&lt;1,MEASURECB,"")))),MEASURESUBMIT)</f>
        <v>Submit for Review</v>
      </c>
    </row>
    <row r="31" spans="2:55" ht="15.95" customHeight="1" x14ac:dyDescent="0.25">
      <c r="B31" s="1063"/>
      <c r="C31" s="1104"/>
      <c r="D31" s="1104"/>
      <c r="E31" s="1104"/>
      <c r="F31" s="1112"/>
      <c r="G31" s="1112"/>
      <c r="H31" s="1112"/>
      <c r="I31" s="1112"/>
      <c r="J31" s="1112"/>
      <c r="K31" s="1112"/>
      <c r="L31" s="1112"/>
      <c r="M31" s="1112"/>
      <c r="N31" s="1112"/>
      <c r="O31" s="1112"/>
      <c r="P31" s="1112"/>
      <c r="Q31" s="1106"/>
      <c r="R31" s="1106"/>
      <c r="S31" s="1109"/>
      <c r="T31" s="1110"/>
      <c r="U31" s="1033"/>
      <c r="V31" s="1112"/>
      <c r="W31" s="1112"/>
      <c r="X31" s="1112"/>
      <c r="Y31" s="1112"/>
      <c r="Z31" s="1106"/>
      <c r="AA31" s="1106"/>
      <c r="AB31" s="1109"/>
      <c r="AC31" s="1121"/>
      <c r="AD31" s="1051"/>
      <c r="AE31" s="1137"/>
      <c r="AF31" s="1137"/>
      <c r="AG31" s="1138"/>
      <c r="AH31" s="1129"/>
      <c r="AI31" s="1130"/>
      <c r="AJ31" s="1130"/>
      <c r="AK31" s="1132"/>
      <c r="AL31" s="1132"/>
      <c r="AM31" s="1132"/>
      <c r="AN31" s="1132"/>
      <c r="AO31" s="1134"/>
      <c r="AP31" s="1134"/>
      <c r="AQ31" s="1134"/>
      <c r="AR31" s="135"/>
      <c r="AS31" s="145"/>
      <c r="AT31" s="145"/>
      <c r="AU31" s="1125"/>
      <c r="AV31" s="1142"/>
      <c r="AW31" s="988"/>
      <c r="AX31" s="1127"/>
      <c r="AY31" s="1123"/>
      <c r="AZ31" s="1119"/>
      <c r="BA31" s="1119"/>
      <c r="BB31" s="1119"/>
      <c r="BC31" s="1119"/>
    </row>
    <row r="32" spans="2:55" ht="15.95" customHeight="1" x14ac:dyDescent="0.25">
      <c r="B32" s="1063">
        <v>9</v>
      </c>
      <c r="C32" s="1103"/>
      <c r="D32" s="1103"/>
      <c r="E32" s="1103"/>
      <c r="F32" s="1111"/>
      <c r="G32" s="1111"/>
      <c r="H32" s="1111"/>
      <c r="I32" s="1111"/>
      <c r="J32" s="1111"/>
      <c r="K32" s="1111"/>
      <c r="L32" s="1111"/>
      <c r="M32" s="1111"/>
      <c r="N32" s="1111"/>
      <c r="O32" s="1111"/>
      <c r="P32" s="1111"/>
      <c r="Q32" s="1105"/>
      <c r="R32" s="1105"/>
      <c r="S32" s="1107"/>
      <c r="T32" s="1108"/>
      <c r="U32" s="1030"/>
      <c r="V32" s="1111"/>
      <c r="W32" s="1111"/>
      <c r="X32" s="1111"/>
      <c r="Y32" s="1111"/>
      <c r="Z32" s="1105"/>
      <c r="AA32" s="1105"/>
      <c r="AB32" s="1107"/>
      <c r="AC32" s="1120"/>
      <c r="AD32" s="1049"/>
      <c r="AE32" s="1135"/>
      <c r="AF32" s="1135"/>
      <c r="AG32" s="1136"/>
      <c r="AH32" s="1027" t="str">
        <f t="shared" ref="AH32" si="21">IF(OR(C32="",F32="",L32="",Q32="",S32="",U32="",Z32="",AB32="",AD32="",AF32=""),"",ROUND(AD32+AF32,2))</f>
        <v/>
      </c>
      <c r="AI32" s="1128"/>
      <c r="AJ32" s="1128"/>
      <c r="AK32" s="1131" t="str">
        <f t="shared" ref="AK32" si="22">IF(OR(C32="",F32="",L32="",Q32="",S32="",U32="",Z32="",AB32="",AD32="",AF32=""),"",IF(BC32&lt;&gt;"",BC32,IF(C32="New/Replace Failed Equip.",BA32,AZ32)))</f>
        <v/>
      </c>
      <c r="AL32" s="1131"/>
      <c r="AM32" s="1131"/>
      <c r="AN32" s="1131"/>
      <c r="AO32" s="1133" t="str">
        <f t="shared" ref="AO32" si="23">IF(OR(C32="",F32="",L32="",Q32="",S32="",U32="",Z32="",AB32="",AD32="",AF32=""),"",IF((Q32*S32)-(Z32*AB32)&lt;=0,0,ROUND((Q32*S32)-(Z32*AB32),0)))</f>
        <v/>
      </c>
      <c r="AP32" s="1133"/>
      <c r="AQ32" s="1133"/>
      <c r="AR32" s="135"/>
      <c r="AS32" s="145"/>
      <c r="AT32" s="145"/>
      <c r="AU32" s="1124" t="str">
        <f>IFERROR(IF(OR(C32="",F32="",L32="",Q32="",S32="",U32="",Z32="",AB32="",AD32="",AF32=""),"",((1+ELOSS)*PEAKTD*(1+INDEX(ELECCB[Capacity Reserve Margin],MATCH(AX32,ELECCB[Year Number],0)))*((AO32*INDEX(ELECCB[NPV AEC $/kWh],MATCH(AX32,ELECCB[Year Number],1)))+(AV32*INDEX(ELECCB[NPV ACC+T&amp;D $/kW],MATCH(AX32,ELECCB[Year Number],1))))/AH32)),0)</f>
        <v/>
      </c>
      <c r="AV32" s="1141" t="str">
        <f>IF(OR(C32="",F32="",L32="",Q32="",S32="",U32="",Z32="",AB32="",AD32="",AF32=""),"",ROUND(AO32*INDEX(ENDUSEALL[Factor],MATCH(AW32,ENDUSEALL[End Use to Coincident Peak Demand Factors],0)),4))</f>
        <v/>
      </c>
      <c r="AW32" s="987" t="str">
        <f>IF(OR(C32="",F32="",L32="",Q32="",S32="",U32="",Z32="",AB32="",AD32="",AF32=""),"",INDEX(CMEREFRI[End Use Category],MATCH(F32,CMEREFRI[Proj Desc 1],0)))</f>
        <v/>
      </c>
      <c r="AX32" s="1126" t="str">
        <f>IF(OR(C32="",F32="",L32="",Q32="",S32="",U32="",Z32="",AB32="",AD32="",AF32=""),"",INDEX(CMEREFRI[EUL],MATCH(F32,CMEREFRI[Proj Desc 1],0)))</f>
        <v/>
      </c>
      <c r="AY32" s="1122" t="str">
        <f>IF(OR(C32="",F32="",L32="",Q32="",S32="",U32="",Z32="",AB32="",AD32="",AF32=""),"",INDEX(CMEREFRI[Measure Number],MATCH(F32,CMEREFRI[Proj Desc 1],0)))</f>
        <v/>
      </c>
      <c r="AZ32" s="1118" t="str">
        <f>IFERROR(ROUND(MIN(AH32*0.5,AO32*INDEX(ENDUSEALL[Inc Rate],MATCH(AW32,ENDUSEALL[End Use to Coincident Peak Demand Factors],0))),2),"")</f>
        <v/>
      </c>
      <c r="BA32" s="1118" t="str">
        <f>IFERROR(ROUND(MIN(AH32,AO32*INDEX(ENDUSEALL[Inc Rate],MATCH(AW32,ENDUSEALL[End Use to Coincident Peak Demand Factors],0))),2),"")</f>
        <v/>
      </c>
      <c r="BB32" s="1118" t="str">
        <f>IFERROR(AH32/M02S02F35/AO32,"")</f>
        <v/>
      </c>
      <c r="BC32" s="1118" t="str">
        <f>IFERROR(IF((Q32*S32)-(Z32*AB32)&lt;=0,MEASURESAV,IF(M02S02F35="",MEASURERATE, IF(AH32/M02S02F35/AO32&lt;1,MEASUREPAY,IF(AU32&lt;1,MEASURECB,"")))),MEASURESUBMIT)</f>
        <v>Submit for Review</v>
      </c>
    </row>
    <row r="33" spans="2:55" ht="15.95" customHeight="1" x14ac:dyDescent="0.25">
      <c r="B33" s="1063"/>
      <c r="C33" s="1104"/>
      <c r="D33" s="1104"/>
      <c r="E33" s="1104"/>
      <c r="F33" s="1112"/>
      <c r="G33" s="1112"/>
      <c r="H33" s="1112"/>
      <c r="I33" s="1112"/>
      <c r="J33" s="1112"/>
      <c r="K33" s="1112"/>
      <c r="L33" s="1112"/>
      <c r="M33" s="1112"/>
      <c r="N33" s="1112"/>
      <c r="O33" s="1112"/>
      <c r="P33" s="1112"/>
      <c r="Q33" s="1106"/>
      <c r="R33" s="1106"/>
      <c r="S33" s="1109"/>
      <c r="T33" s="1110"/>
      <c r="U33" s="1033"/>
      <c r="V33" s="1112"/>
      <c r="W33" s="1112"/>
      <c r="X33" s="1112"/>
      <c r="Y33" s="1112"/>
      <c r="Z33" s="1106"/>
      <c r="AA33" s="1106"/>
      <c r="AB33" s="1109"/>
      <c r="AC33" s="1121"/>
      <c r="AD33" s="1051"/>
      <c r="AE33" s="1137"/>
      <c r="AF33" s="1137"/>
      <c r="AG33" s="1138"/>
      <c r="AH33" s="1129"/>
      <c r="AI33" s="1130"/>
      <c r="AJ33" s="1130"/>
      <c r="AK33" s="1132"/>
      <c r="AL33" s="1132"/>
      <c r="AM33" s="1132"/>
      <c r="AN33" s="1132"/>
      <c r="AO33" s="1134"/>
      <c r="AP33" s="1134"/>
      <c r="AQ33" s="1134"/>
      <c r="AR33" s="135"/>
      <c r="AS33" s="145"/>
      <c r="AT33" s="145"/>
      <c r="AU33" s="1125"/>
      <c r="AV33" s="1142"/>
      <c r="AW33" s="988"/>
      <c r="AX33" s="1127"/>
      <c r="AY33" s="1123"/>
      <c r="AZ33" s="1119"/>
      <c r="BA33" s="1119"/>
      <c r="BB33" s="1119"/>
      <c r="BC33" s="1119"/>
    </row>
    <row r="34" spans="2:55" ht="15.95" customHeight="1" x14ac:dyDescent="0.25">
      <c r="B34" s="1063">
        <v>10</v>
      </c>
      <c r="C34" s="1103"/>
      <c r="D34" s="1103"/>
      <c r="E34" s="1103"/>
      <c r="F34" s="1111"/>
      <c r="G34" s="1111"/>
      <c r="H34" s="1111"/>
      <c r="I34" s="1111"/>
      <c r="J34" s="1111"/>
      <c r="K34" s="1111"/>
      <c r="L34" s="1111"/>
      <c r="M34" s="1111"/>
      <c r="N34" s="1111"/>
      <c r="O34" s="1111"/>
      <c r="P34" s="1111"/>
      <c r="Q34" s="1105"/>
      <c r="R34" s="1105"/>
      <c r="S34" s="1107"/>
      <c r="T34" s="1108"/>
      <c r="U34" s="1030"/>
      <c r="V34" s="1111"/>
      <c r="W34" s="1111"/>
      <c r="X34" s="1111"/>
      <c r="Y34" s="1111"/>
      <c r="Z34" s="1105"/>
      <c r="AA34" s="1105"/>
      <c r="AB34" s="1107"/>
      <c r="AC34" s="1120"/>
      <c r="AD34" s="1049"/>
      <c r="AE34" s="1135"/>
      <c r="AF34" s="1135"/>
      <c r="AG34" s="1136"/>
      <c r="AH34" s="1027" t="str">
        <f t="shared" ref="AH34" si="24">IF(OR(C34="",F34="",L34="",Q34="",S34="",U34="",Z34="",AB34="",AD34="",AF34=""),"",ROUND(AD34+AF34,2))</f>
        <v/>
      </c>
      <c r="AI34" s="1128"/>
      <c r="AJ34" s="1128"/>
      <c r="AK34" s="1131" t="str">
        <f t="shared" ref="AK34" si="25">IF(OR(C34="",F34="",L34="",Q34="",S34="",U34="",Z34="",AB34="",AD34="",AF34=""),"",IF(BC34&lt;&gt;"",BC34,IF(C34="New/Replace Failed Equip.",BA34,AZ34)))</f>
        <v/>
      </c>
      <c r="AL34" s="1131"/>
      <c r="AM34" s="1131"/>
      <c r="AN34" s="1131"/>
      <c r="AO34" s="1133" t="str">
        <f t="shared" ref="AO34" si="26">IF(OR(C34="",F34="",L34="",Q34="",S34="",U34="",Z34="",AB34="",AD34="",AF34=""),"",IF((Q34*S34)-(Z34*AB34)&lt;=0,0,ROUND((Q34*S34)-(Z34*AB34),0)))</f>
        <v/>
      </c>
      <c r="AP34" s="1133"/>
      <c r="AQ34" s="1133"/>
      <c r="AR34" s="135"/>
      <c r="AS34" s="145"/>
      <c r="AT34" s="145"/>
      <c r="AU34" s="1124" t="str">
        <f>IFERROR(IF(OR(C34="",F34="",L34="",Q34="",S34="",U34="",Z34="",AB34="",AD34="",AF34=""),"",((1+ELOSS)*PEAKTD*(1+INDEX(ELECCB[Capacity Reserve Margin],MATCH(AX34,ELECCB[Year Number],0)))*((AO34*INDEX(ELECCB[NPV AEC $/kWh],MATCH(AX34,ELECCB[Year Number],1)))+(AV34*INDEX(ELECCB[NPV ACC+T&amp;D $/kW],MATCH(AX34,ELECCB[Year Number],1))))/AH34)),0)</f>
        <v/>
      </c>
      <c r="AV34" s="1141" t="str">
        <f>IF(OR(C34="",F34="",L34="",Q34="",S34="",U34="",Z34="",AB34="",AD34="",AF34=""),"",ROUND(AO34*INDEX(ENDUSEALL[Factor],MATCH(AW34,ENDUSEALL[End Use to Coincident Peak Demand Factors],0)),4))</f>
        <v/>
      </c>
      <c r="AW34" s="987" t="str">
        <f>IF(OR(C34="",F34="",L34="",Q34="",S34="",U34="",Z34="",AB34="",AD34="",AF34=""),"",INDEX(CMEREFRI[End Use Category],MATCH(F34,CMEREFRI[Proj Desc 1],0)))</f>
        <v/>
      </c>
      <c r="AX34" s="1126" t="str">
        <f>IF(OR(C34="",F34="",L34="",Q34="",S34="",U34="",Z34="",AB34="",AD34="",AF34=""),"",INDEX(CMEREFRI[EUL],MATCH(F34,CMEREFRI[Proj Desc 1],0)))</f>
        <v/>
      </c>
      <c r="AY34" s="1122" t="str">
        <f>IF(OR(C34="",F34="",L34="",Q34="",S34="",U34="",Z34="",AB34="",AD34="",AF34=""),"",INDEX(CMEREFRI[Measure Number],MATCH(F34,CMEREFRI[Proj Desc 1],0)))</f>
        <v/>
      </c>
      <c r="AZ34" s="1118" t="str">
        <f>IFERROR(ROUND(MIN(AH34*0.5,AO34*INDEX(ENDUSEALL[Inc Rate],MATCH(AW34,ENDUSEALL[End Use to Coincident Peak Demand Factors],0))),2),"")</f>
        <v/>
      </c>
      <c r="BA34" s="1118" t="str">
        <f>IFERROR(ROUND(MIN(AH34,AO34*INDEX(ENDUSEALL[Inc Rate],MATCH(AW34,ENDUSEALL[End Use to Coincident Peak Demand Factors],0))),2),"")</f>
        <v/>
      </c>
      <c r="BB34" s="1118" t="str">
        <f>IFERROR(AH34/M02S02F35/AO34,"")</f>
        <v/>
      </c>
      <c r="BC34" s="1118" t="str">
        <f>IFERROR(IF((Q34*S34)-(Z34*AB34)&lt;=0,MEASURESAV,IF(M02S02F35="",MEASURERATE, IF(AH34/M02S02F35/AO34&lt;1,MEASUREPAY,IF(AU34&lt;1,MEASURECB,"")))),MEASURESUBMIT)</f>
        <v>Submit for Review</v>
      </c>
    </row>
    <row r="35" spans="2:55" ht="15.95" customHeight="1" x14ac:dyDescent="0.25">
      <c r="B35" s="1063"/>
      <c r="C35" s="1104"/>
      <c r="D35" s="1104"/>
      <c r="E35" s="1104"/>
      <c r="F35" s="1112"/>
      <c r="G35" s="1112"/>
      <c r="H35" s="1112"/>
      <c r="I35" s="1112"/>
      <c r="J35" s="1112"/>
      <c r="K35" s="1112"/>
      <c r="L35" s="1112"/>
      <c r="M35" s="1112"/>
      <c r="N35" s="1112"/>
      <c r="O35" s="1112"/>
      <c r="P35" s="1112"/>
      <c r="Q35" s="1106"/>
      <c r="R35" s="1106"/>
      <c r="S35" s="1109"/>
      <c r="T35" s="1110"/>
      <c r="U35" s="1033"/>
      <c r="V35" s="1112"/>
      <c r="W35" s="1112"/>
      <c r="X35" s="1112"/>
      <c r="Y35" s="1112"/>
      <c r="Z35" s="1106"/>
      <c r="AA35" s="1106"/>
      <c r="AB35" s="1109"/>
      <c r="AC35" s="1121"/>
      <c r="AD35" s="1051"/>
      <c r="AE35" s="1137"/>
      <c r="AF35" s="1137"/>
      <c r="AG35" s="1138"/>
      <c r="AH35" s="1129"/>
      <c r="AI35" s="1130"/>
      <c r="AJ35" s="1130"/>
      <c r="AK35" s="1132"/>
      <c r="AL35" s="1132"/>
      <c r="AM35" s="1132"/>
      <c r="AN35" s="1132"/>
      <c r="AO35" s="1134"/>
      <c r="AP35" s="1134"/>
      <c r="AQ35" s="1134"/>
      <c r="AR35" s="135"/>
      <c r="AS35" s="145"/>
      <c r="AT35" s="145"/>
      <c r="AU35" s="1125"/>
      <c r="AV35" s="1142"/>
      <c r="AW35" s="988"/>
      <c r="AX35" s="1127"/>
      <c r="AY35" s="1123"/>
      <c r="AZ35" s="1119"/>
      <c r="BA35" s="1119"/>
      <c r="BB35" s="1119"/>
      <c r="BC35" s="1119"/>
    </row>
    <row r="36" spans="2:55" ht="15.95" hidden="1" customHeight="1" x14ac:dyDescent="0.25">
      <c r="B36" s="1063">
        <v>11</v>
      </c>
      <c r="C36" s="135"/>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row>
    <row r="37" spans="2:55" ht="15.95" hidden="1" customHeight="1" x14ac:dyDescent="0.25">
      <c r="B37" s="1063"/>
      <c r="C37" s="135"/>
      <c r="D37" s="135"/>
      <c r="E37" s="135"/>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row>
    <row r="38" spans="2:55" ht="15.95" hidden="1" customHeight="1" x14ac:dyDescent="0.25">
      <c r="B38" s="1063">
        <v>12</v>
      </c>
      <c r="C38" s="148"/>
      <c r="D38" s="148"/>
      <c r="E38" s="148"/>
      <c r="F38" s="148"/>
      <c r="G38" s="148"/>
      <c r="H38" s="148"/>
      <c r="I38" s="148"/>
      <c r="J38" s="148"/>
      <c r="K38" s="148"/>
      <c r="L38" s="148"/>
      <c r="M38" s="148"/>
      <c r="N38" s="148"/>
      <c r="O38" s="148"/>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35"/>
    </row>
    <row r="39" spans="2:55" ht="15.95" hidden="1" customHeight="1" x14ac:dyDescent="0.25">
      <c r="B39" s="1063"/>
      <c r="C39" s="148"/>
      <c r="D39" s="148"/>
      <c r="E39" s="148"/>
      <c r="F39" s="148"/>
      <c r="G39" s="148"/>
      <c r="H39" s="148"/>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35"/>
    </row>
    <row r="40" spans="2:55" ht="15.95" hidden="1" customHeight="1" x14ac:dyDescent="0.25">
      <c r="B40" s="1063">
        <v>13</v>
      </c>
      <c r="C40" s="148"/>
      <c r="D40" s="148"/>
      <c r="E40" s="148"/>
      <c r="F40" s="148"/>
      <c r="G40" s="148"/>
      <c r="H40" s="148"/>
      <c r="I40" s="148"/>
      <c r="J40" s="148"/>
      <c r="K40" s="148"/>
      <c r="L40" s="148"/>
      <c r="M40" s="148"/>
      <c r="N40" s="148"/>
      <c r="O40" s="148"/>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35"/>
    </row>
    <row r="41" spans="2:55" ht="15.95" hidden="1" customHeight="1" x14ac:dyDescent="0.25">
      <c r="B41" s="1063"/>
      <c r="C41" s="148"/>
      <c r="D41" s="148"/>
      <c r="E41" s="148"/>
      <c r="F41" s="148"/>
      <c r="G41" s="148"/>
      <c r="H41" s="148"/>
      <c r="I41" s="148"/>
      <c r="J41" s="148"/>
      <c r="K41" s="148"/>
      <c r="L41" s="148"/>
      <c r="M41" s="148"/>
      <c r="N41" s="148"/>
      <c r="O41" s="148"/>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35"/>
    </row>
    <row r="42" spans="2:55" ht="15.95" hidden="1" customHeight="1" x14ac:dyDescent="0.25">
      <c r="B42" s="1063">
        <v>14</v>
      </c>
      <c r="C42" s="148"/>
      <c r="D42" s="148"/>
      <c r="E42" s="148"/>
      <c r="F42" s="148"/>
      <c r="G42" s="148"/>
      <c r="H42" s="148"/>
      <c r="I42" s="148"/>
      <c r="J42" s="148"/>
      <c r="K42" s="148"/>
      <c r="L42" s="148"/>
      <c r="M42" s="148"/>
      <c r="N42" s="148"/>
      <c r="O42" s="148"/>
      <c r="P42" s="148"/>
      <c r="Q42" s="148"/>
      <c r="R42" s="148"/>
      <c r="S42" s="148"/>
      <c r="T42" s="148"/>
      <c r="U42" s="148"/>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35"/>
    </row>
    <row r="43" spans="2:55" ht="15.95" hidden="1" customHeight="1" x14ac:dyDescent="0.25">
      <c r="B43" s="1063"/>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35"/>
    </row>
    <row r="44" spans="2:55" ht="15.95" hidden="1" customHeight="1" x14ac:dyDescent="0.25">
      <c r="B44" s="1063">
        <v>15</v>
      </c>
      <c r="C44" s="148"/>
      <c r="D44" s="148"/>
      <c r="E44" s="148"/>
      <c r="F44" s="148"/>
      <c r="G44" s="148"/>
      <c r="H44" s="148"/>
      <c r="I44" s="148"/>
      <c r="J44" s="148"/>
      <c r="K44" s="148"/>
      <c r="L44" s="148"/>
      <c r="M44" s="148"/>
      <c r="N44" s="148"/>
      <c r="O44" s="148"/>
      <c r="P44" s="148"/>
      <c r="Q44" s="148"/>
      <c r="R44" s="148"/>
      <c r="S44" s="148"/>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35"/>
    </row>
    <row r="45" spans="2:55" ht="15.95" hidden="1" customHeight="1" x14ac:dyDescent="0.25">
      <c r="B45" s="1063"/>
      <c r="C45" s="148"/>
      <c r="D45" s="148"/>
      <c r="E45" s="148"/>
      <c r="F45" s="148"/>
      <c r="G45" s="148"/>
      <c r="H45" s="148"/>
      <c r="I45" s="148"/>
      <c r="J45" s="148"/>
      <c r="K45" s="148"/>
      <c r="L45" s="148"/>
      <c r="M45" s="148"/>
      <c r="N45" s="148"/>
      <c r="O45" s="148"/>
      <c r="P45" s="148"/>
      <c r="Q45" s="148"/>
      <c r="R45" s="148"/>
      <c r="S45" s="148"/>
      <c r="T45" s="148"/>
      <c r="U45" s="148"/>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35"/>
    </row>
    <row r="46" spans="2:55" ht="15.95" hidden="1" customHeight="1" x14ac:dyDescent="0.25">
      <c r="B46" s="1063">
        <v>16</v>
      </c>
      <c r="C46" s="148"/>
      <c r="D46" s="148"/>
      <c r="E46" s="148"/>
      <c r="F46" s="148"/>
      <c r="G46" s="148"/>
      <c r="H46" s="148"/>
      <c r="I46" s="148"/>
      <c r="J46" s="148"/>
      <c r="K46" s="148"/>
      <c r="L46" s="148"/>
      <c r="M46" s="148"/>
      <c r="N46" s="148"/>
      <c r="O46" s="148"/>
      <c r="P46" s="148"/>
      <c r="Q46" s="148"/>
      <c r="R46" s="148"/>
      <c r="S46" s="148"/>
      <c r="T46" s="148"/>
      <c r="U46" s="148"/>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35"/>
    </row>
    <row r="47" spans="2:55" ht="15.95" hidden="1" customHeight="1" x14ac:dyDescent="0.25">
      <c r="B47" s="1063"/>
      <c r="C47" s="148"/>
      <c r="D47" s="148"/>
      <c r="E47" s="148"/>
      <c r="F47" s="148"/>
      <c r="G47" s="148"/>
      <c r="H47" s="148"/>
      <c r="I47" s="148"/>
      <c r="J47" s="148"/>
      <c r="K47" s="148"/>
      <c r="L47" s="148"/>
      <c r="M47" s="148"/>
      <c r="N47" s="148"/>
      <c r="O47" s="148"/>
      <c r="P47" s="148"/>
      <c r="Q47" s="148"/>
      <c r="R47" s="148"/>
      <c r="S47" s="148"/>
      <c r="T47" s="148"/>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35"/>
    </row>
    <row r="48" spans="2:55" ht="15.95" hidden="1" customHeight="1" x14ac:dyDescent="0.25">
      <c r="B48" s="1063">
        <v>17</v>
      </c>
      <c r="C48" s="148"/>
      <c r="D48" s="148"/>
      <c r="E48" s="148"/>
      <c r="F48" s="148"/>
      <c r="G48" s="148"/>
      <c r="H48" s="148"/>
      <c r="I48" s="148"/>
      <c r="J48" s="148"/>
      <c r="K48" s="148"/>
      <c r="L48" s="148"/>
      <c r="M48" s="148"/>
      <c r="N48" s="148"/>
      <c r="O48" s="148"/>
      <c r="P48" s="148"/>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35"/>
    </row>
    <row r="49" spans="2:44" ht="15.95" hidden="1" customHeight="1" x14ac:dyDescent="0.25">
      <c r="B49" s="1063"/>
      <c r="C49" s="148"/>
      <c r="D49" s="148"/>
      <c r="E49" s="148"/>
      <c r="F49" s="148"/>
      <c r="G49" s="148"/>
      <c r="H49" s="148"/>
      <c r="I49" s="148"/>
      <c r="J49" s="148"/>
      <c r="K49" s="148"/>
      <c r="L49" s="148"/>
      <c r="M49" s="148"/>
      <c r="N49" s="148"/>
      <c r="O49" s="148"/>
      <c r="P49" s="148"/>
      <c r="Q49" s="148"/>
      <c r="R49" s="148"/>
      <c r="S49" s="148"/>
      <c r="T49" s="148"/>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35"/>
    </row>
    <row r="50" spans="2:44" ht="15.95" hidden="1" customHeight="1" x14ac:dyDescent="0.25">
      <c r="B50" s="1063">
        <v>18</v>
      </c>
      <c r="C50" s="148"/>
      <c r="D50" s="148"/>
      <c r="E50" s="148"/>
      <c r="F50" s="148"/>
      <c r="G50" s="148"/>
      <c r="H50" s="148"/>
      <c r="I50" s="148"/>
      <c r="J50" s="148"/>
      <c r="K50" s="148"/>
      <c r="L50" s="148"/>
      <c r="M50" s="148"/>
      <c r="N50" s="148"/>
      <c r="O50" s="148"/>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35"/>
    </row>
    <row r="51" spans="2:44" ht="15.95" hidden="1" customHeight="1" x14ac:dyDescent="0.25">
      <c r="B51" s="1063"/>
      <c r="C51" s="148"/>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35"/>
    </row>
    <row r="52" spans="2:44" ht="15.95" hidden="1" customHeight="1" x14ac:dyDescent="0.25">
      <c r="B52" s="1063">
        <v>19</v>
      </c>
      <c r="C52" s="148"/>
      <c r="D52" s="148"/>
      <c r="E52" s="148"/>
      <c r="F52" s="148"/>
      <c r="G52" s="148"/>
      <c r="H52" s="148"/>
      <c r="I52" s="148"/>
      <c r="J52" s="148"/>
      <c r="K52" s="148"/>
      <c r="L52" s="148"/>
      <c r="M52" s="148"/>
      <c r="N52" s="148"/>
      <c r="O52" s="148"/>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35"/>
    </row>
    <row r="53" spans="2:44" ht="15.95" hidden="1" customHeight="1" x14ac:dyDescent="0.25">
      <c r="B53" s="1063"/>
      <c r="C53" s="148"/>
      <c r="D53" s="148"/>
      <c r="E53" s="148"/>
      <c r="F53" s="148"/>
      <c r="G53" s="148"/>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35"/>
    </row>
    <row r="54" spans="2:44" ht="15.95" hidden="1" customHeight="1" x14ac:dyDescent="0.25">
      <c r="B54" s="1063">
        <v>20</v>
      </c>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35"/>
    </row>
    <row r="55" spans="2:44" ht="15.95" hidden="1" customHeight="1" x14ac:dyDescent="0.25">
      <c r="B55" s="1063"/>
      <c r="C55" s="148"/>
      <c r="D55" s="148"/>
      <c r="E55" s="148"/>
      <c r="F55" s="148"/>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35"/>
    </row>
    <row r="56" spans="2:44" ht="15.95" hidden="1" customHeight="1" x14ac:dyDescent="0.25">
      <c r="B56" s="1063">
        <v>21</v>
      </c>
      <c r="C56" s="148"/>
      <c r="D56" s="148"/>
      <c r="E56" s="148"/>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35"/>
    </row>
    <row r="57" spans="2:44" ht="15.95" hidden="1" customHeight="1" x14ac:dyDescent="0.25">
      <c r="B57" s="1063"/>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35"/>
    </row>
    <row r="58" spans="2:44" ht="15.95" hidden="1" customHeight="1" x14ac:dyDescent="0.25">
      <c r="B58" s="1063">
        <v>22</v>
      </c>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35"/>
    </row>
    <row r="59" spans="2:44" ht="15.95" hidden="1" customHeight="1" x14ac:dyDescent="0.25">
      <c r="B59" s="1063"/>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35"/>
    </row>
    <row r="60" spans="2:44" ht="15.95" hidden="1" customHeight="1" x14ac:dyDescent="0.25">
      <c r="B60" s="1063">
        <v>23</v>
      </c>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35"/>
    </row>
    <row r="61" spans="2:44" ht="15.95" hidden="1" customHeight="1" x14ac:dyDescent="0.25">
      <c r="B61" s="1063"/>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35"/>
    </row>
    <row r="62" spans="2:44" ht="15.95" hidden="1" customHeight="1" x14ac:dyDescent="0.25">
      <c r="B62" s="1063">
        <v>24</v>
      </c>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35"/>
    </row>
    <row r="63" spans="2:44" ht="15.95" hidden="1" customHeight="1" x14ac:dyDescent="0.25">
      <c r="B63" s="1063"/>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35"/>
    </row>
    <row r="64" spans="2:44" ht="15.95" hidden="1" customHeight="1" x14ac:dyDescent="0.25">
      <c r="B64" s="1063">
        <v>25</v>
      </c>
      <c r="C64" s="148"/>
      <c r="D64" s="148"/>
      <c r="E64" s="148"/>
      <c r="F64" s="148"/>
      <c r="G64" s="148"/>
      <c r="H64" s="148"/>
      <c r="I64" s="148"/>
      <c r="J64" s="148"/>
      <c r="K64" s="148"/>
      <c r="L64" s="148"/>
      <c r="M64" s="148"/>
      <c r="N64" s="148"/>
      <c r="O64" s="148"/>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35"/>
    </row>
    <row r="65" spans="2:44" ht="15.95" hidden="1" customHeight="1" x14ac:dyDescent="0.25">
      <c r="B65" s="1063"/>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35"/>
    </row>
    <row r="66" spans="2:44" ht="15.95" hidden="1" customHeight="1" x14ac:dyDescent="0.25">
      <c r="B66" s="1063">
        <v>26</v>
      </c>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35"/>
    </row>
    <row r="67" spans="2:44" ht="15.95" hidden="1" customHeight="1" x14ac:dyDescent="0.25">
      <c r="B67" s="1063"/>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35"/>
    </row>
    <row r="68" spans="2:44" ht="15.95" hidden="1" customHeight="1" x14ac:dyDescent="0.25">
      <c r="B68" s="1063">
        <v>27</v>
      </c>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35"/>
    </row>
    <row r="69" spans="2:44" ht="15.95" hidden="1" customHeight="1" x14ac:dyDescent="0.25">
      <c r="B69" s="1063"/>
      <c r="C69" s="148"/>
      <c r="D69" s="148"/>
      <c r="E69" s="148"/>
      <c r="F69" s="148"/>
      <c r="G69" s="148"/>
      <c r="H69" s="148"/>
      <c r="I69" s="148"/>
      <c r="J69" s="148"/>
      <c r="K69" s="148"/>
      <c r="L69" s="148"/>
      <c r="M69" s="148"/>
      <c r="N69" s="148"/>
      <c r="O69" s="148"/>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35"/>
    </row>
    <row r="70" spans="2:44" ht="15.95" hidden="1" customHeight="1" x14ac:dyDescent="0.25">
      <c r="B70" s="1063">
        <v>28</v>
      </c>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35"/>
    </row>
    <row r="71" spans="2:44" ht="15.95" hidden="1" customHeight="1" x14ac:dyDescent="0.25">
      <c r="B71" s="1063"/>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35"/>
    </row>
    <row r="72" spans="2:44" ht="15.95" hidden="1" customHeight="1" x14ac:dyDescent="0.25">
      <c r="B72" s="1063">
        <v>29</v>
      </c>
      <c r="C72" s="148"/>
      <c r="D72" s="148"/>
      <c r="E72" s="148"/>
      <c r="F72" s="148"/>
      <c r="G72" s="148"/>
      <c r="H72" s="148"/>
      <c r="I72" s="148"/>
      <c r="J72" s="148"/>
      <c r="K72" s="148"/>
      <c r="L72" s="148"/>
      <c r="M72" s="148"/>
      <c r="N72" s="148"/>
      <c r="O72" s="148"/>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35"/>
    </row>
    <row r="73" spans="2:44" ht="15.95" hidden="1" customHeight="1" x14ac:dyDescent="0.25">
      <c r="B73" s="1063"/>
      <c r="C73" s="148"/>
      <c r="D73" s="148"/>
      <c r="E73" s="148"/>
      <c r="F73" s="148"/>
      <c r="G73" s="148"/>
      <c r="H73" s="148"/>
      <c r="I73" s="148"/>
      <c r="J73" s="148"/>
      <c r="K73" s="148"/>
      <c r="L73" s="148"/>
      <c r="M73" s="148"/>
      <c r="N73" s="148"/>
      <c r="O73" s="148"/>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35"/>
    </row>
    <row r="74" spans="2:44" ht="15.95" hidden="1" customHeight="1" x14ac:dyDescent="0.25">
      <c r="B74" s="1063">
        <v>30</v>
      </c>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35"/>
    </row>
    <row r="75" spans="2:44" ht="15.95" hidden="1" customHeight="1" x14ac:dyDescent="0.25">
      <c r="B75" s="1063"/>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35"/>
    </row>
    <row r="76" spans="2:44" ht="15.95" hidden="1" customHeight="1" x14ac:dyDescent="0.25">
      <c r="B76" s="1063">
        <v>31</v>
      </c>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35"/>
    </row>
    <row r="77" spans="2:44" ht="15.95" hidden="1" customHeight="1" x14ac:dyDescent="0.25">
      <c r="B77" s="1063"/>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35"/>
    </row>
    <row r="78" spans="2:44" ht="15.95" hidden="1" customHeight="1" x14ac:dyDescent="0.25">
      <c r="B78" s="1063">
        <v>32</v>
      </c>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35"/>
    </row>
    <row r="79" spans="2:44" ht="15.95" hidden="1" customHeight="1" x14ac:dyDescent="0.25">
      <c r="B79" s="1063"/>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35"/>
    </row>
    <row r="80" spans="2:44" ht="15.95" hidden="1" customHeight="1" x14ac:dyDescent="0.25">
      <c r="B80" s="1063">
        <v>33</v>
      </c>
      <c r="C80" s="148"/>
      <c r="D80" s="148"/>
      <c r="E80" s="148"/>
      <c r="F80" s="148"/>
      <c r="G80" s="148"/>
      <c r="H80" s="148"/>
      <c r="I80" s="148"/>
      <c r="J80" s="148"/>
      <c r="K80" s="148"/>
      <c r="L80" s="148"/>
      <c r="M80" s="148"/>
      <c r="N80" s="148"/>
      <c r="O80" s="148"/>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35"/>
    </row>
    <row r="81" spans="2:44" ht="15.95" hidden="1" customHeight="1" x14ac:dyDescent="0.25">
      <c r="B81" s="1063"/>
      <c r="C81" s="148"/>
      <c r="D81" s="148"/>
      <c r="E81" s="148"/>
      <c r="F81" s="148"/>
      <c r="G81" s="148"/>
      <c r="H81" s="148"/>
      <c r="I81" s="148"/>
      <c r="J81" s="148"/>
      <c r="K81" s="148"/>
      <c r="L81" s="148"/>
      <c r="M81" s="148"/>
      <c r="N81" s="148"/>
      <c r="O81" s="148"/>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35"/>
    </row>
    <row r="82" spans="2:44" ht="15.95" hidden="1" customHeight="1" x14ac:dyDescent="0.25">
      <c r="B82" s="1063">
        <v>34</v>
      </c>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35"/>
    </row>
    <row r="83" spans="2:44" ht="15.95" hidden="1" customHeight="1" x14ac:dyDescent="0.25">
      <c r="B83" s="1063"/>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35"/>
    </row>
    <row r="84" spans="2:44" ht="15.95" hidden="1" customHeight="1" x14ac:dyDescent="0.25">
      <c r="B84" s="1063">
        <v>35</v>
      </c>
      <c r="C84" s="148"/>
      <c r="D84" s="148"/>
      <c r="E84" s="148"/>
      <c r="F84" s="148"/>
      <c r="G84" s="148"/>
      <c r="H84" s="148"/>
      <c r="I84" s="148"/>
      <c r="J84" s="148"/>
      <c r="K84" s="148"/>
      <c r="L84" s="148"/>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35"/>
    </row>
    <row r="85" spans="2:44" ht="15.95" hidden="1" customHeight="1" x14ac:dyDescent="0.25">
      <c r="B85" s="1063"/>
      <c r="C85" s="148"/>
      <c r="D85" s="148"/>
      <c r="E85" s="148"/>
      <c r="F85" s="148"/>
      <c r="G85" s="148"/>
      <c r="H85" s="148"/>
      <c r="I85" s="148"/>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35"/>
    </row>
    <row r="86" spans="2:44" ht="15.95" hidden="1" customHeight="1" x14ac:dyDescent="0.25">
      <c r="B86" s="1063">
        <v>36</v>
      </c>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35"/>
    </row>
    <row r="87" spans="2:44" ht="15.95" hidden="1" customHeight="1" x14ac:dyDescent="0.25">
      <c r="B87" s="1063"/>
      <c r="C87" s="148"/>
      <c r="D87" s="148"/>
      <c r="E87" s="148"/>
      <c r="F87" s="148"/>
      <c r="G87" s="148"/>
      <c r="H87" s="148"/>
      <c r="I87" s="148"/>
      <c r="J87" s="148"/>
      <c r="K87" s="148"/>
      <c r="L87" s="148"/>
      <c r="M87" s="148"/>
      <c r="N87" s="148"/>
      <c r="O87" s="148"/>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35"/>
    </row>
    <row r="88" spans="2:44" ht="15.95" hidden="1" customHeight="1" x14ac:dyDescent="0.25">
      <c r="B88" s="1063">
        <v>37</v>
      </c>
      <c r="C88" s="148"/>
      <c r="D88" s="148"/>
      <c r="E88" s="148"/>
      <c r="F88" s="148"/>
      <c r="G88" s="148"/>
      <c r="H88" s="148"/>
      <c r="I88" s="148"/>
      <c r="J88" s="148"/>
      <c r="K88" s="148"/>
      <c r="L88" s="148"/>
      <c r="M88" s="148"/>
      <c r="N88" s="148"/>
      <c r="O88" s="148"/>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35"/>
    </row>
    <row r="89" spans="2:44" ht="15.95" hidden="1" customHeight="1" x14ac:dyDescent="0.25">
      <c r="B89" s="1063"/>
      <c r="C89" s="148"/>
      <c r="D89" s="148"/>
      <c r="E89" s="148"/>
      <c r="F89" s="148"/>
      <c r="G89" s="148"/>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35"/>
    </row>
    <row r="90" spans="2:44" ht="15.95" hidden="1" customHeight="1" x14ac:dyDescent="0.25">
      <c r="B90" s="1063">
        <v>38</v>
      </c>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35"/>
    </row>
    <row r="91" spans="2:44" ht="15.95" hidden="1" customHeight="1" x14ac:dyDescent="0.25">
      <c r="B91" s="1063"/>
      <c r="C91" s="148"/>
      <c r="D91" s="148"/>
      <c r="E91" s="148"/>
      <c r="F91" s="148"/>
      <c r="G91" s="148"/>
      <c r="H91" s="148"/>
      <c r="I91" s="148"/>
      <c r="J91" s="148"/>
      <c r="K91" s="148"/>
      <c r="L91" s="148"/>
      <c r="M91" s="148"/>
      <c r="N91" s="148"/>
      <c r="O91" s="148"/>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35"/>
    </row>
    <row r="92" spans="2:44" ht="15.95" hidden="1" customHeight="1" x14ac:dyDescent="0.25">
      <c r="B92" s="1063">
        <v>39</v>
      </c>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35"/>
    </row>
    <row r="93" spans="2:44" ht="15.95" hidden="1" customHeight="1" x14ac:dyDescent="0.25">
      <c r="B93" s="1063"/>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35"/>
    </row>
    <row r="94" spans="2:44" ht="15.95" hidden="1" customHeight="1" x14ac:dyDescent="0.25">
      <c r="B94" s="1063">
        <v>40</v>
      </c>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35"/>
    </row>
    <row r="95" spans="2:44" ht="15.95" hidden="1" customHeight="1" x14ac:dyDescent="0.25">
      <c r="B95" s="1063"/>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35"/>
    </row>
    <row r="96" spans="2:44" ht="15.95" hidden="1" customHeight="1" x14ac:dyDescent="0.25">
      <c r="B96" s="1063">
        <v>41</v>
      </c>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35"/>
    </row>
    <row r="97" spans="2:44" ht="15.95" hidden="1" customHeight="1" x14ac:dyDescent="0.25">
      <c r="B97" s="1063"/>
      <c r="C97" s="148"/>
      <c r="D97" s="148"/>
      <c r="E97" s="148"/>
      <c r="F97" s="148"/>
      <c r="G97" s="148"/>
      <c r="H97" s="148"/>
      <c r="I97" s="148"/>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35"/>
    </row>
    <row r="98" spans="2:44" ht="15.95" hidden="1" customHeight="1" x14ac:dyDescent="0.25">
      <c r="B98" s="1063">
        <v>42</v>
      </c>
      <c r="C98" s="148"/>
      <c r="D98" s="148"/>
      <c r="E98" s="148"/>
      <c r="F98" s="148"/>
      <c r="G98" s="148"/>
      <c r="H98" s="148"/>
      <c r="I98" s="148"/>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35"/>
    </row>
    <row r="99" spans="2:44" ht="15.95" hidden="1" customHeight="1" x14ac:dyDescent="0.25">
      <c r="B99" s="1063"/>
      <c r="C99" s="148"/>
      <c r="D99" s="148"/>
      <c r="E99" s="148"/>
      <c r="F99" s="148"/>
      <c r="G99" s="148"/>
      <c r="H99" s="148"/>
      <c r="I99" s="148"/>
      <c r="J99" s="148"/>
      <c r="K99" s="148"/>
      <c r="L99" s="148"/>
      <c r="M99" s="148"/>
      <c r="N99" s="148"/>
      <c r="O99" s="148"/>
      <c r="P99" s="148"/>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35"/>
    </row>
    <row r="100" spans="2:44" ht="15.95" hidden="1" customHeight="1" x14ac:dyDescent="0.25">
      <c r="B100" s="1063">
        <v>43</v>
      </c>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35"/>
    </row>
    <row r="101" spans="2:44" ht="15.95" hidden="1" customHeight="1" x14ac:dyDescent="0.25">
      <c r="B101" s="1063"/>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35"/>
    </row>
    <row r="102" spans="2:44" ht="15.95" hidden="1" customHeight="1" x14ac:dyDescent="0.25">
      <c r="B102" s="1063">
        <v>44</v>
      </c>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35"/>
    </row>
    <row r="103" spans="2:44" ht="15.95" hidden="1" customHeight="1" x14ac:dyDescent="0.25">
      <c r="B103" s="1063"/>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35"/>
    </row>
    <row r="104" spans="2:44" ht="15.95" hidden="1" customHeight="1" x14ac:dyDescent="0.25">
      <c r="B104" s="1063">
        <v>45</v>
      </c>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8"/>
      <c r="AN104" s="148"/>
      <c r="AO104" s="148"/>
      <c r="AP104" s="148"/>
      <c r="AQ104" s="148"/>
      <c r="AR104" s="135"/>
    </row>
    <row r="105" spans="2:44" ht="15.95" hidden="1" customHeight="1" x14ac:dyDescent="0.25">
      <c r="B105" s="1063"/>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35"/>
    </row>
    <row r="106" spans="2:44" ht="15.95" hidden="1" customHeight="1" x14ac:dyDescent="0.25">
      <c r="B106" s="1063">
        <v>46</v>
      </c>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c r="AA106" s="148"/>
      <c r="AB106" s="148"/>
      <c r="AC106" s="148"/>
      <c r="AD106" s="148"/>
      <c r="AE106" s="148"/>
      <c r="AF106" s="148"/>
      <c r="AG106" s="148"/>
      <c r="AH106" s="148"/>
      <c r="AI106" s="148"/>
      <c r="AJ106" s="148"/>
      <c r="AK106" s="148"/>
      <c r="AL106" s="148"/>
      <c r="AM106" s="148"/>
      <c r="AN106" s="148"/>
      <c r="AO106" s="148"/>
      <c r="AP106" s="148"/>
      <c r="AQ106" s="148"/>
      <c r="AR106" s="135"/>
    </row>
    <row r="107" spans="2:44" ht="15.95" hidden="1" customHeight="1" x14ac:dyDescent="0.25">
      <c r="B107" s="1063"/>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c r="AA107" s="148"/>
      <c r="AB107" s="148"/>
      <c r="AC107" s="148"/>
      <c r="AD107" s="148"/>
      <c r="AE107" s="148"/>
      <c r="AF107" s="148"/>
      <c r="AG107" s="148"/>
      <c r="AH107" s="148"/>
      <c r="AI107" s="148"/>
      <c r="AJ107" s="148"/>
      <c r="AK107" s="148"/>
      <c r="AL107" s="148"/>
      <c r="AM107" s="148"/>
      <c r="AN107" s="148"/>
      <c r="AO107" s="148"/>
      <c r="AP107" s="148"/>
      <c r="AQ107" s="148"/>
      <c r="AR107" s="135"/>
    </row>
    <row r="108" spans="2:44" ht="15.95" hidden="1" customHeight="1" x14ac:dyDescent="0.25">
      <c r="B108" s="1063">
        <v>47</v>
      </c>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35"/>
    </row>
    <row r="109" spans="2:44" ht="15.95" hidden="1" customHeight="1" x14ac:dyDescent="0.25">
      <c r="B109" s="1063"/>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c r="AA109" s="148"/>
      <c r="AB109" s="148"/>
      <c r="AC109" s="148"/>
      <c r="AD109" s="148"/>
      <c r="AE109" s="148"/>
      <c r="AF109" s="148"/>
      <c r="AG109" s="148"/>
      <c r="AH109" s="148"/>
      <c r="AI109" s="148"/>
      <c r="AJ109" s="148"/>
      <c r="AK109" s="148"/>
      <c r="AL109" s="148"/>
      <c r="AM109" s="148"/>
      <c r="AN109" s="148"/>
      <c r="AO109" s="148"/>
      <c r="AP109" s="148"/>
      <c r="AQ109" s="148"/>
      <c r="AR109" s="135"/>
    </row>
    <row r="110" spans="2:44" ht="15.95" hidden="1" customHeight="1" x14ac:dyDescent="0.25">
      <c r="B110" s="1063">
        <v>48</v>
      </c>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35"/>
    </row>
    <row r="111" spans="2:44" ht="15.95" hidden="1" customHeight="1" x14ac:dyDescent="0.25">
      <c r="B111" s="1063"/>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c r="AA111" s="148"/>
      <c r="AB111" s="148"/>
      <c r="AC111" s="148"/>
      <c r="AD111" s="148"/>
      <c r="AE111" s="148"/>
      <c r="AF111" s="148"/>
      <c r="AG111" s="148"/>
      <c r="AH111" s="148"/>
      <c r="AI111" s="148"/>
      <c r="AJ111" s="148"/>
      <c r="AK111" s="148"/>
      <c r="AL111" s="148"/>
      <c r="AM111" s="148"/>
      <c r="AN111" s="148"/>
      <c r="AO111" s="148"/>
      <c r="AP111" s="148"/>
      <c r="AQ111" s="148"/>
      <c r="AR111" s="135"/>
    </row>
    <row r="112" spans="2:44" ht="15.95" hidden="1" customHeight="1" x14ac:dyDescent="0.25">
      <c r="B112" s="1063">
        <v>49</v>
      </c>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35"/>
    </row>
    <row r="113" spans="2:44" ht="15.95" hidden="1" customHeight="1" x14ac:dyDescent="0.25">
      <c r="B113" s="1063"/>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35"/>
    </row>
    <row r="114" spans="2:44" ht="15.95" hidden="1" customHeight="1" x14ac:dyDescent="0.25">
      <c r="B114" s="1063">
        <v>50</v>
      </c>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35"/>
    </row>
    <row r="115" spans="2:44" ht="15.95" hidden="1" customHeight="1" x14ac:dyDescent="0.25">
      <c r="B115" s="1063"/>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48"/>
      <c r="AR115" s="135"/>
    </row>
    <row r="116" spans="2:44" ht="15.95" hidden="1" customHeight="1" x14ac:dyDescent="0.25">
      <c r="B116" s="1063">
        <v>51</v>
      </c>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35"/>
    </row>
    <row r="117" spans="2:44" ht="15.95" hidden="1" customHeight="1" x14ac:dyDescent="0.25">
      <c r="B117" s="1063"/>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35"/>
    </row>
    <row r="118" spans="2:44" ht="15.95" hidden="1" customHeight="1" x14ac:dyDescent="0.25">
      <c r="B118" s="1063">
        <v>52</v>
      </c>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35"/>
    </row>
    <row r="119" spans="2:44" ht="15.95" hidden="1" customHeight="1" x14ac:dyDescent="0.25">
      <c r="B119" s="1063"/>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c r="AA119" s="148"/>
      <c r="AB119" s="148"/>
      <c r="AC119" s="148"/>
      <c r="AD119" s="148"/>
      <c r="AE119" s="148"/>
      <c r="AF119" s="148"/>
      <c r="AG119" s="148"/>
      <c r="AH119" s="148"/>
      <c r="AI119" s="148"/>
      <c r="AJ119" s="148"/>
      <c r="AK119" s="148"/>
      <c r="AL119" s="148"/>
      <c r="AM119" s="148"/>
      <c r="AN119" s="148"/>
      <c r="AO119" s="148"/>
      <c r="AP119" s="148"/>
      <c r="AQ119" s="148"/>
      <c r="AR119" s="135"/>
    </row>
    <row r="120" spans="2:44" ht="15.95" hidden="1" customHeight="1" x14ac:dyDescent="0.25">
      <c r="B120" s="1063">
        <v>53</v>
      </c>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48"/>
      <c r="AG120" s="148"/>
      <c r="AH120" s="148"/>
      <c r="AI120" s="148"/>
      <c r="AJ120" s="148"/>
      <c r="AK120" s="148"/>
      <c r="AL120" s="148"/>
      <c r="AM120" s="148"/>
      <c r="AN120" s="148"/>
      <c r="AO120" s="148"/>
      <c r="AP120" s="148"/>
      <c r="AQ120" s="148"/>
      <c r="AR120" s="135"/>
    </row>
    <row r="121" spans="2:44" ht="15.95" hidden="1" customHeight="1" x14ac:dyDescent="0.25">
      <c r="B121" s="1063"/>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c r="AK121" s="148"/>
      <c r="AL121" s="148"/>
      <c r="AM121" s="148"/>
      <c r="AN121" s="148"/>
      <c r="AO121" s="148"/>
      <c r="AP121" s="148"/>
      <c r="AQ121" s="148"/>
      <c r="AR121" s="135"/>
    </row>
    <row r="122" spans="2:44" ht="15.95" hidden="1" customHeight="1" x14ac:dyDescent="0.25">
      <c r="B122" s="1063">
        <v>54</v>
      </c>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148"/>
      <c r="AM122" s="148"/>
      <c r="AN122" s="148"/>
      <c r="AO122" s="148"/>
      <c r="AP122" s="148"/>
      <c r="AQ122" s="148"/>
      <c r="AR122" s="135"/>
    </row>
    <row r="123" spans="2:44" ht="15.95" hidden="1" customHeight="1" x14ac:dyDescent="0.25">
      <c r="B123" s="1063"/>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8"/>
      <c r="AN123" s="148"/>
      <c r="AO123" s="148"/>
      <c r="AP123" s="148"/>
      <c r="AQ123" s="148"/>
      <c r="AR123" s="135"/>
    </row>
    <row r="124" spans="2:44" ht="15.95" hidden="1" customHeight="1" x14ac:dyDescent="0.25">
      <c r="B124" s="1063">
        <v>55</v>
      </c>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c r="AA124" s="148"/>
      <c r="AB124" s="148"/>
      <c r="AC124" s="148"/>
      <c r="AD124" s="148"/>
      <c r="AE124" s="148"/>
      <c r="AF124" s="148"/>
      <c r="AG124" s="148"/>
      <c r="AH124" s="148"/>
      <c r="AI124" s="148"/>
      <c r="AJ124" s="148"/>
      <c r="AK124" s="148"/>
      <c r="AL124" s="148"/>
      <c r="AM124" s="148"/>
      <c r="AN124" s="148"/>
      <c r="AO124" s="148"/>
      <c r="AP124" s="148"/>
      <c r="AQ124" s="148"/>
      <c r="AR124" s="135"/>
    </row>
    <row r="125" spans="2:44" ht="15.95" hidden="1" customHeight="1" x14ac:dyDescent="0.25">
      <c r="B125" s="1063"/>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c r="AA125" s="148"/>
      <c r="AB125" s="148"/>
      <c r="AC125" s="148"/>
      <c r="AD125" s="148"/>
      <c r="AE125" s="148"/>
      <c r="AF125" s="148"/>
      <c r="AG125" s="148"/>
      <c r="AH125" s="148"/>
      <c r="AI125" s="148"/>
      <c r="AJ125" s="148"/>
      <c r="AK125" s="148"/>
      <c r="AL125" s="148"/>
      <c r="AM125" s="148"/>
      <c r="AN125" s="148"/>
      <c r="AO125" s="148"/>
      <c r="AP125" s="148"/>
      <c r="AQ125" s="148"/>
      <c r="AR125" s="135"/>
    </row>
    <row r="126" spans="2:44" ht="15.95" hidden="1" customHeight="1" x14ac:dyDescent="0.25">
      <c r="B126" s="1063">
        <v>56</v>
      </c>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8"/>
      <c r="AN126" s="148"/>
      <c r="AO126" s="148"/>
      <c r="AP126" s="148"/>
      <c r="AQ126" s="148"/>
      <c r="AR126" s="135"/>
    </row>
    <row r="127" spans="2:44" ht="15.95" hidden="1" customHeight="1" x14ac:dyDescent="0.25">
      <c r="B127" s="1063"/>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c r="AK127" s="148"/>
      <c r="AL127" s="148"/>
      <c r="AM127" s="148"/>
      <c r="AN127" s="148"/>
      <c r="AO127" s="148"/>
      <c r="AP127" s="148"/>
      <c r="AQ127" s="148"/>
      <c r="AR127" s="135"/>
    </row>
    <row r="128" spans="2:44" ht="15.95" hidden="1" customHeight="1" x14ac:dyDescent="0.25">
      <c r="B128" s="1063">
        <v>57</v>
      </c>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48"/>
      <c r="AG128" s="148"/>
      <c r="AH128" s="148"/>
      <c r="AI128" s="148"/>
      <c r="AJ128" s="148"/>
      <c r="AK128" s="148"/>
      <c r="AL128" s="148"/>
      <c r="AM128" s="148"/>
      <c r="AN128" s="148"/>
      <c r="AO128" s="148"/>
      <c r="AP128" s="148"/>
      <c r="AQ128" s="148"/>
      <c r="AR128" s="135"/>
    </row>
    <row r="129" spans="2:44" ht="15.95" hidden="1" customHeight="1" x14ac:dyDescent="0.25">
      <c r="B129" s="1063"/>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c r="AA129" s="148"/>
      <c r="AB129" s="148"/>
      <c r="AC129" s="148"/>
      <c r="AD129" s="148"/>
      <c r="AE129" s="148"/>
      <c r="AF129" s="148"/>
      <c r="AG129" s="148"/>
      <c r="AH129" s="148"/>
      <c r="AI129" s="148"/>
      <c r="AJ129" s="148"/>
      <c r="AK129" s="148"/>
      <c r="AL129" s="148"/>
      <c r="AM129" s="148"/>
      <c r="AN129" s="148"/>
      <c r="AO129" s="148"/>
      <c r="AP129" s="148"/>
      <c r="AQ129" s="148"/>
      <c r="AR129" s="135"/>
    </row>
    <row r="130" spans="2:44" ht="15.95" hidden="1" customHeight="1" x14ac:dyDescent="0.25">
      <c r="B130" s="1063">
        <v>58</v>
      </c>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c r="AA130" s="148"/>
      <c r="AB130" s="148"/>
      <c r="AC130" s="148"/>
      <c r="AD130" s="148"/>
      <c r="AE130" s="148"/>
      <c r="AF130" s="148"/>
      <c r="AG130" s="148"/>
      <c r="AH130" s="148"/>
      <c r="AI130" s="148"/>
      <c r="AJ130" s="148"/>
      <c r="AK130" s="148"/>
      <c r="AL130" s="148"/>
      <c r="AM130" s="148"/>
      <c r="AN130" s="148"/>
      <c r="AO130" s="148"/>
      <c r="AP130" s="148"/>
      <c r="AQ130" s="148"/>
      <c r="AR130" s="135"/>
    </row>
    <row r="131" spans="2:44" ht="15.95" hidden="1" customHeight="1" x14ac:dyDescent="0.25">
      <c r="B131" s="1063"/>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c r="AA131" s="148"/>
      <c r="AB131" s="148"/>
      <c r="AC131" s="148"/>
      <c r="AD131" s="148"/>
      <c r="AE131" s="148"/>
      <c r="AF131" s="148"/>
      <c r="AG131" s="148"/>
      <c r="AH131" s="148"/>
      <c r="AI131" s="148"/>
      <c r="AJ131" s="148"/>
      <c r="AK131" s="148"/>
      <c r="AL131" s="148"/>
      <c r="AM131" s="148"/>
      <c r="AN131" s="148"/>
      <c r="AO131" s="148"/>
      <c r="AP131" s="148"/>
      <c r="AQ131" s="148"/>
      <c r="AR131" s="135"/>
    </row>
    <row r="132" spans="2:44" ht="15.95" hidden="1" customHeight="1" x14ac:dyDescent="0.25">
      <c r="B132" s="1063">
        <v>59</v>
      </c>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35"/>
    </row>
    <row r="133" spans="2:44" ht="15.95" hidden="1" customHeight="1" x14ac:dyDescent="0.25">
      <c r="B133" s="1063"/>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35"/>
    </row>
    <row r="134" spans="2:44" ht="15.95" hidden="1" customHeight="1" x14ac:dyDescent="0.25">
      <c r="B134" s="1063">
        <v>60</v>
      </c>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35"/>
    </row>
    <row r="135" spans="2:44" ht="15.95" hidden="1" customHeight="1" x14ac:dyDescent="0.25">
      <c r="B135" s="1063"/>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48"/>
      <c r="AR135" s="135"/>
    </row>
    <row r="136" spans="2:44" ht="15.95" hidden="1" customHeight="1" x14ac:dyDescent="0.25">
      <c r="B136" s="1063">
        <v>61</v>
      </c>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148"/>
      <c r="AG136" s="148"/>
      <c r="AH136" s="148"/>
      <c r="AI136" s="148"/>
      <c r="AJ136" s="148"/>
      <c r="AK136" s="148"/>
      <c r="AL136" s="148"/>
      <c r="AM136" s="148"/>
      <c r="AN136" s="148"/>
      <c r="AO136" s="148"/>
      <c r="AP136" s="148"/>
      <c r="AQ136" s="148"/>
      <c r="AR136" s="135"/>
    </row>
    <row r="137" spans="2:44" ht="15.95" hidden="1" customHeight="1" x14ac:dyDescent="0.25">
      <c r="B137" s="1063"/>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c r="AA137" s="148"/>
      <c r="AB137" s="148"/>
      <c r="AC137" s="148"/>
      <c r="AD137" s="148"/>
      <c r="AE137" s="148"/>
      <c r="AF137" s="148"/>
      <c r="AG137" s="148"/>
      <c r="AH137" s="148"/>
      <c r="AI137" s="148"/>
      <c r="AJ137" s="148"/>
      <c r="AK137" s="148"/>
      <c r="AL137" s="148"/>
      <c r="AM137" s="148"/>
      <c r="AN137" s="148"/>
      <c r="AO137" s="148"/>
      <c r="AP137" s="148"/>
      <c r="AQ137" s="148"/>
      <c r="AR137" s="135"/>
    </row>
    <row r="138" spans="2:44" ht="15.95" hidden="1" customHeight="1" x14ac:dyDescent="0.25">
      <c r="B138" s="1063">
        <v>62</v>
      </c>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c r="AA138" s="148"/>
      <c r="AB138" s="148"/>
      <c r="AC138" s="148"/>
      <c r="AD138" s="148"/>
      <c r="AE138" s="148"/>
      <c r="AF138" s="148"/>
      <c r="AG138" s="148"/>
      <c r="AH138" s="148"/>
      <c r="AI138" s="148"/>
      <c r="AJ138" s="148"/>
      <c r="AK138" s="148"/>
      <c r="AL138" s="148"/>
      <c r="AM138" s="148"/>
      <c r="AN138" s="148"/>
      <c r="AO138" s="148"/>
      <c r="AP138" s="148"/>
      <c r="AQ138" s="148"/>
      <c r="AR138" s="135"/>
    </row>
    <row r="139" spans="2:44" ht="15.95" hidden="1" customHeight="1" x14ac:dyDescent="0.25">
      <c r="B139" s="1063"/>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c r="AA139" s="148"/>
      <c r="AB139" s="148"/>
      <c r="AC139" s="148"/>
      <c r="AD139" s="148"/>
      <c r="AE139" s="148"/>
      <c r="AF139" s="148"/>
      <c r="AG139" s="148"/>
      <c r="AH139" s="148"/>
      <c r="AI139" s="148"/>
      <c r="AJ139" s="148"/>
      <c r="AK139" s="148"/>
      <c r="AL139" s="148"/>
      <c r="AM139" s="148"/>
      <c r="AN139" s="148"/>
      <c r="AO139" s="148"/>
      <c r="AP139" s="148"/>
      <c r="AQ139" s="148"/>
      <c r="AR139" s="135"/>
    </row>
    <row r="140" spans="2:44" ht="15.95" hidden="1" customHeight="1" x14ac:dyDescent="0.25">
      <c r="B140" s="1063">
        <v>63</v>
      </c>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c r="AA140" s="148"/>
      <c r="AB140" s="148"/>
      <c r="AC140" s="148"/>
      <c r="AD140" s="148"/>
      <c r="AE140" s="148"/>
      <c r="AF140" s="148"/>
      <c r="AG140" s="148"/>
      <c r="AH140" s="148"/>
      <c r="AI140" s="148"/>
      <c r="AJ140" s="148"/>
      <c r="AK140" s="148"/>
      <c r="AL140" s="148"/>
      <c r="AM140" s="148"/>
      <c r="AN140" s="148"/>
      <c r="AO140" s="148"/>
      <c r="AP140" s="148"/>
      <c r="AQ140" s="148"/>
      <c r="AR140" s="135"/>
    </row>
    <row r="141" spans="2:44" ht="15.95" hidden="1" customHeight="1" x14ac:dyDescent="0.25">
      <c r="B141" s="1063"/>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c r="AA141" s="148"/>
      <c r="AB141" s="148"/>
      <c r="AC141" s="148"/>
      <c r="AD141" s="148"/>
      <c r="AE141" s="148"/>
      <c r="AF141" s="148"/>
      <c r="AG141" s="148"/>
      <c r="AH141" s="148"/>
      <c r="AI141" s="148"/>
      <c r="AJ141" s="148"/>
      <c r="AK141" s="148"/>
      <c r="AL141" s="148"/>
      <c r="AM141" s="148"/>
      <c r="AN141" s="148"/>
      <c r="AO141" s="148"/>
      <c r="AP141" s="148"/>
      <c r="AQ141" s="148"/>
      <c r="AR141" s="135"/>
    </row>
    <row r="142" spans="2:44" ht="15.95" hidden="1" customHeight="1" x14ac:dyDescent="0.25">
      <c r="B142" s="1063">
        <v>64</v>
      </c>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c r="AA142" s="148"/>
      <c r="AB142" s="148"/>
      <c r="AC142" s="148"/>
      <c r="AD142" s="148"/>
      <c r="AE142" s="148"/>
      <c r="AF142" s="148"/>
      <c r="AG142" s="148"/>
      <c r="AH142" s="148"/>
      <c r="AI142" s="148"/>
      <c r="AJ142" s="148"/>
      <c r="AK142" s="148"/>
      <c r="AL142" s="148"/>
      <c r="AM142" s="148"/>
      <c r="AN142" s="148"/>
      <c r="AO142" s="148"/>
      <c r="AP142" s="148"/>
      <c r="AQ142" s="148"/>
      <c r="AR142" s="135"/>
    </row>
    <row r="143" spans="2:44" ht="15.95" hidden="1" customHeight="1" x14ac:dyDescent="0.25">
      <c r="B143" s="1063"/>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c r="AA143" s="148"/>
      <c r="AB143" s="148"/>
      <c r="AC143" s="148"/>
      <c r="AD143" s="148"/>
      <c r="AE143" s="148"/>
      <c r="AF143" s="148"/>
      <c r="AG143" s="148"/>
      <c r="AH143" s="148"/>
      <c r="AI143" s="148"/>
      <c r="AJ143" s="148"/>
      <c r="AK143" s="148"/>
      <c r="AL143" s="148"/>
      <c r="AM143" s="148"/>
      <c r="AN143" s="148"/>
      <c r="AO143" s="148"/>
      <c r="AP143" s="148"/>
      <c r="AQ143" s="148"/>
      <c r="AR143" s="135"/>
    </row>
    <row r="144" spans="2:44" ht="15.95" hidden="1" customHeight="1" x14ac:dyDescent="0.25">
      <c r="B144" s="1063">
        <v>65</v>
      </c>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35"/>
    </row>
    <row r="145" spans="2:44" ht="15.95" hidden="1" customHeight="1" x14ac:dyDescent="0.25">
      <c r="B145" s="1063"/>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c r="AA145" s="148"/>
      <c r="AB145" s="148"/>
      <c r="AC145" s="148"/>
      <c r="AD145" s="148"/>
      <c r="AE145" s="148"/>
      <c r="AF145" s="148"/>
      <c r="AG145" s="148"/>
      <c r="AH145" s="148"/>
      <c r="AI145" s="148"/>
      <c r="AJ145" s="148"/>
      <c r="AK145" s="148"/>
      <c r="AL145" s="148"/>
      <c r="AM145" s="148"/>
      <c r="AN145" s="148"/>
      <c r="AO145" s="148"/>
      <c r="AP145" s="148"/>
      <c r="AQ145" s="148"/>
      <c r="AR145" s="135"/>
    </row>
    <row r="146" spans="2:44" ht="15.95" hidden="1" customHeight="1" x14ac:dyDescent="0.25">
      <c r="B146" s="1063">
        <v>66</v>
      </c>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c r="AA146" s="148"/>
      <c r="AB146" s="148"/>
      <c r="AC146" s="148"/>
      <c r="AD146" s="148"/>
      <c r="AE146" s="148"/>
      <c r="AF146" s="148"/>
      <c r="AG146" s="148"/>
      <c r="AH146" s="148"/>
      <c r="AI146" s="148"/>
      <c r="AJ146" s="148"/>
      <c r="AK146" s="148"/>
      <c r="AL146" s="148"/>
      <c r="AM146" s="148"/>
      <c r="AN146" s="148"/>
      <c r="AO146" s="148"/>
      <c r="AP146" s="148"/>
      <c r="AQ146" s="148"/>
      <c r="AR146" s="135"/>
    </row>
    <row r="147" spans="2:44" ht="15.95" hidden="1" customHeight="1" x14ac:dyDescent="0.25">
      <c r="B147" s="1063"/>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c r="AA147" s="148"/>
      <c r="AB147" s="148"/>
      <c r="AC147" s="148"/>
      <c r="AD147" s="148"/>
      <c r="AE147" s="148"/>
      <c r="AF147" s="148"/>
      <c r="AG147" s="148"/>
      <c r="AH147" s="148"/>
      <c r="AI147" s="148"/>
      <c r="AJ147" s="148"/>
      <c r="AK147" s="148"/>
      <c r="AL147" s="148"/>
      <c r="AM147" s="148"/>
      <c r="AN147" s="148"/>
      <c r="AO147" s="148"/>
      <c r="AP147" s="148"/>
      <c r="AQ147" s="148"/>
      <c r="AR147" s="135"/>
    </row>
    <row r="148" spans="2:44" ht="15.95" hidden="1" customHeight="1" x14ac:dyDescent="0.25">
      <c r="B148" s="1063">
        <v>67</v>
      </c>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c r="AA148" s="148"/>
      <c r="AB148" s="148"/>
      <c r="AC148" s="148"/>
      <c r="AD148" s="148"/>
      <c r="AE148" s="148"/>
      <c r="AF148" s="148"/>
      <c r="AG148" s="148"/>
      <c r="AH148" s="148"/>
      <c r="AI148" s="148"/>
      <c r="AJ148" s="148"/>
      <c r="AK148" s="148"/>
      <c r="AL148" s="148"/>
      <c r="AM148" s="148"/>
      <c r="AN148" s="148"/>
      <c r="AO148" s="148"/>
      <c r="AP148" s="148"/>
      <c r="AQ148" s="148"/>
      <c r="AR148" s="135"/>
    </row>
    <row r="149" spans="2:44" ht="15.95" hidden="1" customHeight="1" x14ac:dyDescent="0.25">
      <c r="B149" s="1063"/>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35"/>
    </row>
    <row r="150" spans="2:44" ht="15.95" hidden="1" customHeight="1" x14ac:dyDescent="0.25">
      <c r="B150" s="1063">
        <v>68</v>
      </c>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35"/>
    </row>
    <row r="151" spans="2:44" ht="15.95" hidden="1" customHeight="1" x14ac:dyDescent="0.25">
      <c r="B151" s="1063"/>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35"/>
    </row>
    <row r="152" spans="2:44" ht="15.95" hidden="1" customHeight="1" x14ac:dyDescent="0.25">
      <c r="B152" s="1063">
        <v>69</v>
      </c>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35"/>
    </row>
    <row r="153" spans="2:44" ht="15.95" hidden="1" customHeight="1" x14ac:dyDescent="0.25">
      <c r="B153" s="1063"/>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c r="AA153" s="148"/>
      <c r="AB153" s="148"/>
      <c r="AC153" s="148"/>
      <c r="AD153" s="148"/>
      <c r="AE153" s="148"/>
      <c r="AF153" s="148"/>
      <c r="AG153" s="148"/>
      <c r="AH153" s="148"/>
      <c r="AI153" s="148"/>
      <c r="AJ153" s="148"/>
      <c r="AK153" s="148"/>
      <c r="AL153" s="148"/>
      <c r="AM153" s="148"/>
      <c r="AN153" s="148"/>
      <c r="AO153" s="148"/>
      <c r="AP153" s="148"/>
      <c r="AQ153" s="148"/>
      <c r="AR153" s="135"/>
    </row>
    <row r="154" spans="2:44" ht="15.95" hidden="1" customHeight="1" x14ac:dyDescent="0.25">
      <c r="B154" s="1063">
        <v>70</v>
      </c>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c r="AA154" s="148"/>
      <c r="AB154" s="148"/>
      <c r="AC154" s="148"/>
      <c r="AD154" s="148"/>
      <c r="AE154" s="148"/>
      <c r="AF154" s="148"/>
      <c r="AG154" s="148"/>
      <c r="AH154" s="148"/>
      <c r="AI154" s="148"/>
      <c r="AJ154" s="148"/>
      <c r="AK154" s="148"/>
      <c r="AL154" s="148"/>
      <c r="AM154" s="148"/>
      <c r="AN154" s="148"/>
      <c r="AO154" s="148"/>
      <c r="AP154" s="148"/>
      <c r="AQ154" s="148"/>
      <c r="AR154" s="135"/>
    </row>
    <row r="155" spans="2:44" ht="15.95" hidden="1" customHeight="1" x14ac:dyDescent="0.25">
      <c r="B155" s="1063"/>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c r="AA155" s="148"/>
      <c r="AB155" s="148"/>
      <c r="AC155" s="148"/>
      <c r="AD155" s="148"/>
      <c r="AE155" s="148"/>
      <c r="AF155" s="148"/>
      <c r="AG155" s="148"/>
      <c r="AH155" s="148"/>
      <c r="AI155" s="148"/>
      <c r="AJ155" s="148"/>
      <c r="AK155" s="148"/>
      <c r="AL155" s="148"/>
      <c r="AM155" s="148"/>
      <c r="AN155" s="148"/>
      <c r="AO155" s="148"/>
      <c r="AP155" s="148"/>
      <c r="AQ155" s="148"/>
      <c r="AR155" s="135"/>
    </row>
    <row r="156" spans="2:44" ht="15.95" hidden="1" customHeight="1" x14ac:dyDescent="0.25">
      <c r="B156" s="1063">
        <v>71</v>
      </c>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35"/>
    </row>
    <row r="157" spans="2:44" ht="15.95" hidden="1" customHeight="1" x14ac:dyDescent="0.25">
      <c r="B157" s="1063"/>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c r="AA157" s="148"/>
      <c r="AB157" s="148"/>
      <c r="AC157" s="148"/>
      <c r="AD157" s="148"/>
      <c r="AE157" s="148"/>
      <c r="AF157" s="148"/>
      <c r="AG157" s="148"/>
      <c r="AH157" s="148"/>
      <c r="AI157" s="148"/>
      <c r="AJ157" s="148"/>
      <c r="AK157" s="148"/>
      <c r="AL157" s="148"/>
      <c r="AM157" s="148"/>
      <c r="AN157" s="148"/>
      <c r="AO157" s="148"/>
      <c r="AP157" s="148"/>
      <c r="AQ157" s="148"/>
      <c r="AR157" s="135"/>
    </row>
    <row r="158" spans="2:44" ht="15.95" hidden="1" customHeight="1" x14ac:dyDescent="0.25">
      <c r="B158" s="1062">
        <v>72</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4" ht="15.95" hidden="1" customHeight="1" x14ac:dyDescent="0.25">
      <c r="B159" s="1062"/>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4" ht="15.95" hidden="1" customHeight="1" x14ac:dyDescent="0.25">
      <c r="B160" s="1062">
        <v>73</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hidden="1" customHeight="1" x14ac:dyDescent="0.25">
      <c r="B161" s="1062"/>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hidden="1" customHeight="1" x14ac:dyDescent="0.25">
      <c r="B162" s="1062">
        <v>74</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hidden="1" customHeight="1" x14ac:dyDescent="0.25">
      <c r="B163" s="1062"/>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hidden="1" customHeight="1" x14ac:dyDescent="0.25">
      <c r="B164" s="1062">
        <v>75</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hidden="1" customHeight="1" x14ac:dyDescent="0.25">
      <c r="B165" s="1062"/>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hidden="1" customHeight="1" x14ac:dyDescent="0.25">
      <c r="B166" s="1062">
        <v>76</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hidden="1" customHeight="1" x14ac:dyDescent="0.25">
      <c r="B167" s="1062"/>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hidden="1" customHeight="1" x14ac:dyDescent="0.25">
      <c r="B168" s="1062">
        <v>77</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hidden="1" customHeight="1" x14ac:dyDescent="0.25">
      <c r="B169" s="1062"/>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hidden="1" customHeight="1" x14ac:dyDescent="0.25">
      <c r="B170" s="1062">
        <v>78</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hidden="1" customHeight="1" x14ac:dyDescent="0.25">
      <c r="B171" s="1062"/>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hidden="1" customHeight="1" x14ac:dyDescent="0.25">
      <c r="B172" s="1062">
        <v>79</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hidden="1" customHeight="1" x14ac:dyDescent="0.25">
      <c r="B173" s="1062"/>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hidden="1" customHeight="1" x14ac:dyDescent="0.25">
      <c r="B174" s="1062">
        <v>80</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hidden="1" customHeight="1" x14ac:dyDescent="0.25">
      <c r="B175" s="1062"/>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hidden="1" customHeight="1" x14ac:dyDescent="0.25">
      <c r="B176" s="1062">
        <v>81</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hidden="1" customHeight="1" x14ac:dyDescent="0.25">
      <c r="B177" s="1062"/>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hidden="1" customHeight="1" x14ac:dyDescent="0.25">
      <c r="B178" s="1062">
        <v>82</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hidden="1" customHeight="1" x14ac:dyDescent="0.25">
      <c r="B179" s="1062"/>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hidden="1" customHeight="1" x14ac:dyDescent="0.25">
      <c r="B180" s="1062">
        <v>83</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hidden="1" customHeight="1" x14ac:dyDescent="0.25">
      <c r="B181" s="1062"/>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hidden="1" customHeight="1" x14ac:dyDescent="0.25">
      <c r="B182" s="1062">
        <v>84</v>
      </c>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hidden="1" customHeight="1" x14ac:dyDescent="0.25">
      <c r="B183" s="1062"/>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hidden="1" customHeight="1" x14ac:dyDescent="0.25">
      <c r="B184" s="1062">
        <v>85</v>
      </c>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hidden="1" customHeight="1" x14ac:dyDescent="0.25">
      <c r="B185" s="1062"/>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hidden="1" customHeight="1" x14ac:dyDescent="0.25">
      <c r="B186" s="1062">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hidden="1" customHeight="1" x14ac:dyDescent="0.25">
      <c r="B187" s="1062"/>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hidden="1" customHeight="1" x14ac:dyDescent="0.25">
      <c r="B188" s="1062">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hidden="1" customHeight="1" x14ac:dyDescent="0.25">
      <c r="B189" s="1062"/>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hidden="1" customHeight="1" x14ac:dyDescent="0.25">
      <c r="B190" s="1062">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hidden="1" customHeight="1" x14ac:dyDescent="0.25">
      <c r="B191" s="1062"/>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hidden="1" customHeight="1" x14ac:dyDescent="0.25">
      <c r="B192" s="1062">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4" ht="15.95" hidden="1" customHeight="1" x14ac:dyDescent="0.25">
      <c r="B193" s="1062"/>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4" ht="15.95" hidden="1" customHeight="1" x14ac:dyDescent="0.25">
      <c r="B194" s="1062">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4" ht="15.95" hidden="1" customHeight="1" x14ac:dyDescent="0.25">
      <c r="B195" s="1062"/>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4" ht="15.95" hidden="1" customHeight="1" x14ac:dyDescent="0.25">
      <c r="B196" s="1062">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4" ht="15.95" hidden="1" customHeight="1" x14ac:dyDescent="0.25">
      <c r="B197" s="1062"/>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4" ht="15.95" hidden="1" customHeight="1" x14ac:dyDescent="0.25">
      <c r="B198" s="1062">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4" ht="15.95" hidden="1" customHeight="1" x14ac:dyDescent="0.25">
      <c r="B199" s="1062"/>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4" ht="15.95" customHeight="1" x14ac:dyDescent="0.25">
      <c r="B200" s="136" t="str">
        <f>FOOT1</f>
        <v>Ameren Missouri BizSavers program</v>
      </c>
      <c r="C200" s="136"/>
      <c r="D200" s="136"/>
      <c r="E200" s="136"/>
      <c r="F200" s="136"/>
      <c r="G200" s="136"/>
      <c r="H200" s="136"/>
      <c r="I200" s="136"/>
      <c r="J200" s="136"/>
      <c r="K200" s="136"/>
      <c r="L200" s="136"/>
      <c r="M200" s="729" t="str">
        <f>FOOTDISCLAIM</f>
        <v/>
      </c>
      <c r="N200" s="729"/>
      <c r="O200" s="729"/>
      <c r="P200" s="729"/>
      <c r="Q200" s="729"/>
      <c r="R200" s="729"/>
      <c r="S200" s="729"/>
      <c r="T200" s="729"/>
      <c r="U200" s="729"/>
      <c r="V200" s="729"/>
      <c r="W200" s="729"/>
      <c r="X200" s="729"/>
      <c r="Y200" s="729"/>
      <c r="Z200" s="729"/>
      <c r="AA200" s="729"/>
      <c r="AB200" s="729"/>
      <c r="AC200" s="729"/>
      <c r="AD200" s="729"/>
      <c r="AE200" s="729"/>
      <c r="AF200" s="729"/>
      <c r="AG200" s="729"/>
      <c r="AH200" s="136"/>
      <c r="AI200" s="136"/>
      <c r="AJ200" s="136"/>
      <c r="AK200" s="136"/>
      <c r="AL200" s="136"/>
      <c r="AM200" s="136"/>
      <c r="AN200" s="136"/>
      <c r="AO200" s="136"/>
      <c r="AP200" s="136"/>
      <c r="AQ200" s="136"/>
      <c r="AR200" s="300" t="str">
        <f>FOOT4</f>
        <v/>
      </c>
    </row>
    <row r="201" spans="2:44" ht="15.95" customHeight="1" x14ac:dyDescent="0.25">
      <c r="B201" s="136" t="str">
        <f>FOOT2</f>
        <v>Toll-Free 866-941-7299</v>
      </c>
      <c r="C201" s="136"/>
      <c r="D201" s="136"/>
      <c r="E201" s="136"/>
      <c r="F201" s="136"/>
      <c r="G201" s="136"/>
      <c r="H201" s="136"/>
      <c r="I201" s="136"/>
      <c r="J201" s="136"/>
      <c r="K201" s="136"/>
      <c r="L201" s="136"/>
      <c r="M201" s="729"/>
      <c r="N201" s="729"/>
      <c r="O201" s="729"/>
      <c r="P201" s="729"/>
      <c r="Q201" s="729"/>
      <c r="R201" s="729"/>
      <c r="S201" s="729"/>
      <c r="T201" s="729"/>
      <c r="U201" s="729"/>
      <c r="V201" s="729"/>
      <c r="W201" s="729"/>
      <c r="X201" s="729"/>
      <c r="Y201" s="729"/>
      <c r="Z201" s="729"/>
      <c r="AA201" s="729"/>
      <c r="AB201" s="729"/>
      <c r="AC201" s="729"/>
      <c r="AD201" s="729"/>
      <c r="AE201" s="729"/>
      <c r="AF201" s="729"/>
      <c r="AG201" s="729"/>
      <c r="AH201" s="136"/>
      <c r="AI201" s="136"/>
      <c r="AJ201" s="136"/>
      <c r="AK201" s="136"/>
      <c r="AL201" s="136"/>
      <c r="AM201" s="136"/>
      <c r="AN201" s="136"/>
      <c r="AO201" s="136"/>
      <c r="AP201" s="136"/>
      <c r="AQ201" s="136"/>
      <c r="AR201" s="300" t="str">
        <f>FOOT5</f>
        <v/>
      </c>
    </row>
    <row r="202" spans="2:44" ht="15.95" customHeight="1" x14ac:dyDescent="0.25">
      <c r="B202" s="138" t="str">
        <f>FOOT3</f>
        <v>BizSavers@ameren.com</v>
      </c>
      <c r="C202" s="136"/>
      <c r="D202" s="136"/>
      <c r="E202" s="136"/>
      <c r="F202" s="136"/>
      <c r="G202" s="136"/>
      <c r="H202" s="136"/>
      <c r="I202" s="136"/>
      <c r="J202" s="136"/>
      <c r="K202" s="136"/>
      <c r="L202" s="136"/>
      <c r="M202" s="139"/>
      <c r="N202" s="136"/>
      <c r="O202" s="136"/>
      <c r="P202" s="139"/>
      <c r="Q202" s="139"/>
      <c r="R202" s="139"/>
      <c r="S202" s="139"/>
      <c r="T202" s="139"/>
      <c r="U202" s="139"/>
      <c r="V202" s="139"/>
      <c r="W202" s="140" t="str">
        <f>VERSION</f>
        <v>New Construction v3.8.0</v>
      </c>
      <c r="X202" s="139"/>
      <c r="Y202" s="139"/>
      <c r="Z202" s="139"/>
      <c r="AA202" s="139"/>
      <c r="AB202" s="139"/>
      <c r="AC202" s="139"/>
      <c r="AD202" s="139"/>
      <c r="AE202" s="136"/>
      <c r="AF202" s="136"/>
      <c r="AG202" s="136"/>
      <c r="AH202" s="136"/>
      <c r="AI202" s="136"/>
      <c r="AJ202" s="136"/>
      <c r="AK202" s="136"/>
      <c r="AL202" s="136"/>
      <c r="AM202" s="136"/>
      <c r="AN202" s="136"/>
      <c r="AO202" s="136"/>
      <c r="AP202" s="136"/>
      <c r="AQ202" s="136"/>
      <c r="AR202" s="300" t="str">
        <f>FOOT6</f>
        <v>Product of TRC Companies</v>
      </c>
    </row>
  </sheetData>
  <sheetProtection algorithmName="SHA-512" hashValue="wyyRiVfpU+seJgfvrM96By8uptnwafVQI0BbjEvE15feXAwpkdCDL1ce+ECcYXLhEi3oVqSCY+Hz53Ojrdz4iw==" saltValue="m945tLHjVBmmF6YMD/G8Gg==" spinCount="100000" sheet="1" objects="1" scenarios="1" selectLockedCells="1"/>
  <mergeCells count="350">
    <mergeCell ref="BB34:BB35"/>
    <mergeCell ref="BC34:BC35"/>
    <mergeCell ref="BB24:BB25"/>
    <mergeCell ref="BC24:BC25"/>
    <mergeCell ref="BB26:BB27"/>
    <mergeCell ref="BC26:BC27"/>
    <mergeCell ref="BB28:BB29"/>
    <mergeCell ref="BC28:BC29"/>
    <mergeCell ref="BB30:BB31"/>
    <mergeCell ref="BC30:BC31"/>
    <mergeCell ref="BB32:BB33"/>
    <mergeCell ref="BC32:BC33"/>
    <mergeCell ref="BB14:BB15"/>
    <mergeCell ref="BC14:BC15"/>
    <mergeCell ref="BB16:BB17"/>
    <mergeCell ref="BC16:BC17"/>
    <mergeCell ref="BB18:BB19"/>
    <mergeCell ref="BC18:BC19"/>
    <mergeCell ref="BB20:BB21"/>
    <mergeCell ref="BC20:BC21"/>
    <mergeCell ref="BB22:BB23"/>
    <mergeCell ref="BC22:BC23"/>
    <mergeCell ref="B16:B17"/>
    <mergeCell ref="R11:U11"/>
    <mergeCell ref="V11:Y11"/>
    <mergeCell ref="Z11:AC11"/>
    <mergeCell ref="AD12:AG12"/>
    <mergeCell ref="B40:B41"/>
    <mergeCell ref="B18:B19"/>
    <mergeCell ref="B20:B21"/>
    <mergeCell ref="B22:B23"/>
    <mergeCell ref="B24:B25"/>
    <mergeCell ref="B26:B27"/>
    <mergeCell ref="B28:B29"/>
    <mergeCell ref="B30:B31"/>
    <mergeCell ref="B32:B33"/>
    <mergeCell ref="B34:B35"/>
    <mergeCell ref="B36:B37"/>
    <mergeCell ref="B38:B39"/>
    <mergeCell ref="C14:E15"/>
    <mergeCell ref="F14:K15"/>
    <mergeCell ref="L14:P15"/>
    <mergeCell ref="Q14:R15"/>
    <mergeCell ref="S14:T15"/>
    <mergeCell ref="U14:Y15"/>
    <mergeCell ref="Z14:AA15"/>
    <mergeCell ref="B64:B65"/>
    <mergeCell ref="B42:B43"/>
    <mergeCell ref="B44:B45"/>
    <mergeCell ref="B46:B47"/>
    <mergeCell ref="B48:B49"/>
    <mergeCell ref="B50:B51"/>
    <mergeCell ref="B52:B53"/>
    <mergeCell ref="B54:B55"/>
    <mergeCell ref="B56:B57"/>
    <mergeCell ref="B58:B59"/>
    <mergeCell ref="B60:B61"/>
    <mergeCell ref="B62:B63"/>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90:B91"/>
    <mergeCell ref="B92:B93"/>
    <mergeCell ref="B94:B95"/>
    <mergeCell ref="B96:B97"/>
    <mergeCell ref="B98:B99"/>
    <mergeCell ref="B100:B101"/>
    <mergeCell ref="B102:B103"/>
    <mergeCell ref="B104:B105"/>
    <mergeCell ref="B106:B107"/>
    <mergeCell ref="AQ1:AR1"/>
    <mergeCell ref="AQ2:AR3"/>
    <mergeCell ref="R9:AC10"/>
    <mergeCell ref="B168:B169"/>
    <mergeCell ref="B170:B17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8:B149"/>
    <mergeCell ref="B150:B151"/>
    <mergeCell ref="B152:B153"/>
    <mergeCell ref="B154:B155"/>
    <mergeCell ref="B156:B157"/>
    <mergeCell ref="B158:B159"/>
    <mergeCell ref="B112:B113"/>
    <mergeCell ref="B180:B181"/>
    <mergeCell ref="B182:B183"/>
    <mergeCell ref="B160:B161"/>
    <mergeCell ref="B138:B139"/>
    <mergeCell ref="B140:B141"/>
    <mergeCell ref="B142:B143"/>
    <mergeCell ref="B144:B145"/>
    <mergeCell ref="B146:B147"/>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72:B173"/>
    <mergeCell ref="B174:B175"/>
    <mergeCell ref="B176:B177"/>
    <mergeCell ref="B178:B179"/>
    <mergeCell ref="AB14:AC15"/>
    <mergeCell ref="AD14:AG14"/>
    <mergeCell ref="AH14:AJ15"/>
    <mergeCell ref="AK14:AN15"/>
    <mergeCell ref="AO14:AQ15"/>
    <mergeCell ref="AU14:AU15"/>
    <mergeCell ref="AV14:AV15"/>
    <mergeCell ref="AW14:AW15"/>
    <mergeCell ref="AX14:AX15"/>
    <mergeCell ref="AY14:AY15"/>
    <mergeCell ref="AZ14:AZ15"/>
    <mergeCell ref="BA14:BA15"/>
    <mergeCell ref="AD15:AE15"/>
    <mergeCell ref="AF15:AG15"/>
    <mergeCell ref="C16:E17"/>
    <mergeCell ref="F16:K17"/>
    <mergeCell ref="L16:P17"/>
    <mergeCell ref="Q16:R17"/>
    <mergeCell ref="S16:T17"/>
    <mergeCell ref="U16:Y17"/>
    <mergeCell ref="Z16:AA17"/>
    <mergeCell ref="AB16:AC17"/>
    <mergeCell ref="AD16:AE17"/>
    <mergeCell ref="AF16:AG17"/>
    <mergeCell ref="AH16:AJ17"/>
    <mergeCell ref="AK16:AN17"/>
    <mergeCell ref="AO16:AQ17"/>
    <mergeCell ref="AU16:AU17"/>
    <mergeCell ref="AV16:AV17"/>
    <mergeCell ref="AW16:AW17"/>
    <mergeCell ref="AX16:AX17"/>
    <mergeCell ref="AY16:AY17"/>
    <mergeCell ref="AZ16:AZ17"/>
    <mergeCell ref="BA16:BA17"/>
    <mergeCell ref="C18:E19"/>
    <mergeCell ref="F18:K19"/>
    <mergeCell ref="L18:P19"/>
    <mergeCell ref="Q18:R19"/>
    <mergeCell ref="S18:T19"/>
    <mergeCell ref="U18:Y19"/>
    <mergeCell ref="Z18:AA19"/>
    <mergeCell ref="AB18:AC19"/>
    <mergeCell ref="AD18:AE19"/>
    <mergeCell ref="AF18:AG19"/>
    <mergeCell ref="AH18:AJ19"/>
    <mergeCell ref="AK18:AN19"/>
    <mergeCell ref="AO18:AQ19"/>
    <mergeCell ref="AU18:AU19"/>
    <mergeCell ref="AV18:AV19"/>
    <mergeCell ref="AW18:AW19"/>
    <mergeCell ref="AX18:AX19"/>
    <mergeCell ref="AY18:AY19"/>
    <mergeCell ref="AZ18:AZ19"/>
    <mergeCell ref="BA18:BA19"/>
    <mergeCell ref="AK20:AN21"/>
    <mergeCell ref="AO20:AQ21"/>
    <mergeCell ref="AU20:AU21"/>
    <mergeCell ref="AV20:AV21"/>
    <mergeCell ref="AW20:AW21"/>
    <mergeCell ref="AX20:AX21"/>
    <mergeCell ref="AY20:AY21"/>
    <mergeCell ref="C20:E21"/>
    <mergeCell ref="F20:K21"/>
    <mergeCell ref="L20:P21"/>
    <mergeCell ref="Q20:R21"/>
    <mergeCell ref="S20:T21"/>
    <mergeCell ref="U20:Y21"/>
    <mergeCell ref="Z20:AA21"/>
    <mergeCell ref="AB20:AC21"/>
    <mergeCell ref="AD20:AE21"/>
    <mergeCell ref="AZ20:AZ21"/>
    <mergeCell ref="BA20:BA21"/>
    <mergeCell ref="C22:E23"/>
    <mergeCell ref="F22:K23"/>
    <mergeCell ref="L22:P23"/>
    <mergeCell ref="Q22:R23"/>
    <mergeCell ref="S22:T23"/>
    <mergeCell ref="U22:Y23"/>
    <mergeCell ref="Z22:AA23"/>
    <mergeCell ref="AB22:AC23"/>
    <mergeCell ref="AD22:AE23"/>
    <mergeCell ref="AF22:AG23"/>
    <mergeCell ref="AH22:AJ23"/>
    <mergeCell ref="AK22:AN23"/>
    <mergeCell ref="AO22:AQ23"/>
    <mergeCell ref="AU22:AU23"/>
    <mergeCell ref="AV22:AV23"/>
    <mergeCell ref="AW22:AW23"/>
    <mergeCell ref="AX22:AX23"/>
    <mergeCell ref="AY22:AY23"/>
    <mergeCell ref="AZ22:AZ23"/>
    <mergeCell ref="BA22:BA23"/>
    <mergeCell ref="AF20:AG21"/>
    <mergeCell ref="AH20:AJ21"/>
    <mergeCell ref="AK24:AN25"/>
    <mergeCell ref="AO24:AQ25"/>
    <mergeCell ref="AU24:AU25"/>
    <mergeCell ref="AV24:AV25"/>
    <mergeCell ref="AW24:AW25"/>
    <mergeCell ref="AX24:AX25"/>
    <mergeCell ref="AY24:AY25"/>
    <mergeCell ref="C24:E25"/>
    <mergeCell ref="F24:K25"/>
    <mergeCell ref="L24:P25"/>
    <mergeCell ref="Q24:R25"/>
    <mergeCell ref="S24:T25"/>
    <mergeCell ref="U24:Y25"/>
    <mergeCell ref="Z24:AA25"/>
    <mergeCell ref="AB24:AC25"/>
    <mergeCell ref="AD24:AE25"/>
    <mergeCell ref="AZ24:AZ25"/>
    <mergeCell ref="BA24:BA25"/>
    <mergeCell ref="C26:E27"/>
    <mergeCell ref="F26:K27"/>
    <mergeCell ref="L26:P27"/>
    <mergeCell ref="Q26:R27"/>
    <mergeCell ref="S26:T27"/>
    <mergeCell ref="U26:Y27"/>
    <mergeCell ref="Z26:AA27"/>
    <mergeCell ref="AB26:AC27"/>
    <mergeCell ref="AD26:AE27"/>
    <mergeCell ref="AF26:AG27"/>
    <mergeCell ref="AH26:AJ27"/>
    <mergeCell ref="AK26:AN27"/>
    <mergeCell ref="AO26:AQ27"/>
    <mergeCell ref="AU26:AU27"/>
    <mergeCell ref="AV26:AV27"/>
    <mergeCell ref="AW26:AW27"/>
    <mergeCell ref="AX26:AX27"/>
    <mergeCell ref="AY26:AY27"/>
    <mergeCell ref="AZ26:AZ27"/>
    <mergeCell ref="BA26:BA27"/>
    <mergeCell ref="AF24:AG25"/>
    <mergeCell ref="AH24:AJ25"/>
    <mergeCell ref="AK28:AN29"/>
    <mergeCell ref="AO28:AQ29"/>
    <mergeCell ref="AU28:AU29"/>
    <mergeCell ref="AV28:AV29"/>
    <mergeCell ref="AW28:AW29"/>
    <mergeCell ref="AX28:AX29"/>
    <mergeCell ref="AY28:AY29"/>
    <mergeCell ref="C28:E29"/>
    <mergeCell ref="F28:K29"/>
    <mergeCell ref="L28:P29"/>
    <mergeCell ref="Q28:R29"/>
    <mergeCell ref="S28:T29"/>
    <mergeCell ref="U28:Y29"/>
    <mergeCell ref="Z28:AA29"/>
    <mergeCell ref="AB28:AC29"/>
    <mergeCell ref="AD28:AE29"/>
    <mergeCell ref="C30:E31"/>
    <mergeCell ref="F30:K31"/>
    <mergeCell ref="L30:P31"/>
    <mergeCell ref="Q30:R31"/>
    <mergeCell ref="S30:T31"/>
    <mergeCell ref="U30:Y31"/>
    <mergeCell ref="Z30:AA31"/>
    <mergeCell ref="AB30:AC31"/>
    <mergeCell ref="AD30:AE31"/>
    <mergeCell ref="C32:E33"/>
    <mergeCell ref="F32:K33"/>
    <mergeCell ref="L32:P33"/>
    <mergeCell ref="Q32:R33"/>
    <mergeCell ref="S32:T33"/>
    <mergeCell ref="U32:Y33"/>
    <mergeCell ref="Z32:AA33"/>
    <mergeCell ref="AB32:AC33"/>
    <mergeCell ref="AD32:AE33"/>
    <mergeCell ref="AZ34:AZ35"/>
    <mergeCell ref="BA34:BA35"/>
    <mergeCell ref="AF32:AG33"/>
    <mergeCell ref="AH32:AJ33"/>
    <mergeCell ref="AK32:AN33"/>
    <mergeCell ref="AO32:AQ33"/>
    <mergeCell ref="AU32:AU33"/>
    <mergeCell ref="AV32:AV33"/>
    <mergeCell ref="AW32:AW33"/>
    <mergeCell ref="AX32:AX33"/>
    <mergeCell ref="AY32:AY33"/>
    <mergeCell ref="AF34:AG35"/>
    <mergeCell ref="AH34:AJ35"/>
    <mergeCell ref="AK34:AN35"/>
    <mergeCell ref="AO34:AQ35"/>
    <mergeCell ref="AU34:AU35"/>
    <mergeCell ref="AV34:AV35"/>
    <mergeCell ref="AW34:AW35"/>
    <mergeCell ref="AX34:AX35"/>
    <mergeCell ref="AY34:AY35"/>
    <mergeCell ref="C34:E35"/>
    <mergeCell ref="F34:K35"/>
    <mergeCell ref="L34:P35"/>
    <mergeCell ref="Q34:R35"/>
    <mergeCell ref="S34:T35"/>
    <mergeCell ref="U34:Y35"/>
    <mergeCell ref="Z34:AA35"/>
    <mergeCell ref="AB34:AC35"/>
    <mergeCell ref="AD34:AE35"/>
    <mergeCell ref="AH1:AK1"/>
    <mergeCell ref="AL1:AP1"/>
    <mergeCell ref="AH2:AK3"/>
    <mergeCell ref="AL2:AP3"/>
    <mergeCell ref="R12:U13"/>
    <mergeCell ref="V12:Y13"/>
    <mergeCell ref="Z12:AC13"/>
    <mergeCell ref="AZ32:AZ33"/>
    <mergeCell ref="BA32:BA33"/>
    <mergeCell ref="AZ28:AZ29"/>
    <mergeCell ref="BA28:BA29"/>
    <mergeCell ref="AF30:AG31"/>
    <mergeCell ref="AH30:AJ31"/>
    <mergeCell ref="AK30:AN31"/>
    <mergeCell ref="AO30:AQ31"/>
    <mergeCell ref="AU30:AU31"/>
    <mergeCell ref="AV30:AV31"/>
    <mergeCell ref="AW30:AW31"/>
    <mergeCell ref="AX30:AX31"/>
    <mergeCell ref="AY30:AY31"/>
    <mergeCell ref="AZ30:AZ31"/>
    <mergeCell ref="BA30:BA31"/>
    <mergeCell ref="AF28:AG29"/>
    <mergeCell ref="AH28:AJ29"/>
  </mergeCells>
  <conditionalFormatting sqref="AK16 AK18 AK20 AK22 AK24 AK26 AK28 AK30 AK32 AK34">
    <cfRule type="expression" dxfId="107" priority="20">
      <formula>ISNUMBER(AK16)=FALSE</formula>
    </cfRule>
  </conditionalFormatting>
  <conditionalFormatting sqref="Q16:AG17 Q20:AG35 U18:AG19">
    <cfRule type="expression" dxfId="106" priority="19">
      <formula>AND(ISBLANK($F16)=FALSE,ISBLANK(Q16)=TRUE)</formula>
    </cfRule>
  </conditionalFormatting>
  <conditionalFormatting sqref="Q18:T19">
    <cfRule type="expression" dxfId="105" priority="18">
      <formula>AND(ISBLANK($F18)=FALSE,ISBLANK(Q18)=TRUE)</formula>
    </cfRule>
  </conditionalFormatting>
  <conditionalFormatting sqref="L16:P17 L20:P35">
    <cfRule type="expression" dxfId="104" priority="17">
      <formula>AND(ISBLANK($F16)=FALSE,ISBLANK(L16)=TRUE)</formula>
    </cfRule>
  </conditionalFormatting>
  <conditionalFormatting sqref="L18:P19">
    <cfRule type="expression" dxfId="103" priority="16">
      <formula>AND(ISBLANK($F18)=FALSE,ISBLANK(L18)=TRUE)</formula>
    </cfRule>
  </conditionalFormatting>
  <conditionalFormatting sqref="AQ2:AR3">
    <cfRule type="cellIs" dxfId="102" priority="3" operator="equal">
      <formula>1</formula>
    </cfRule>
    <cfRule type="cellIs" dxfId="101" priority="4" operator="between">
      <formula>0.51</formula>
      <formula>0.99</formula>
    </cfRule>
    <cfRule type="cellIs" dxfId="100" priority="5" operator="lessThanOrEqual">
      <formula>0.5</formula>
    </cfRule>
  </conditionalFormatting>
  <conditionalFormatting sqref="AH2 AL2">
    <cfRule type="expression" dxfId="99" priority="1">
      <formula>OR(PROJSTATUS=PROJSTATELI,PROJSTATUS=PROJSTATEXP,PROJSTATUS=PROJSTATUNDER)</formula>
    </cfRule>
    <cfRule type="expression" dxfId="98" priority="2">
      <formula>PROJSTATUS=PROJSTATFILLINITIAL</formula>
    </cfRule>
    <cfRule type="expression" dxfId="97" priority="6">
      <formula>PROJSTATUS=PROJSTATPREAPPROVE</formula>
    </cfRule>
    <cfRule type="expression" dxfId="96" priority="7">
      <formula>OR(PROJSTATUS=PROJSTATSSUBMITINITIAL,PROJSTATUS=PROJSTATREVIEW)</formula>
    </cfRule>
  </conditionalFormatting>
  <dataValidations count="7">
    <dataValidation type="decimal" allowBlank="1" showInputMessage="1" showErrorMessage="1" prompt="Enter the kWh use per unit of equipment in one year." sqref="AB16 S16 AB34 S20 S22 S24 S26 S28 S30 S32 S34 S18 AB20 AB22 AB24 AB26 AB28 AB30 AB32 AB18" xr:uid="{00000000-0002-0000-2300-000000000000}">
      <formula1>0</formula1>
      <formula2>999999999</formula2>
    </dataValidation>
    <dataValidation type="decimal" allowBlank="1" showInputMessage="1" showErrorMessage="1" error="Please enter a numerical value" sqref="Z16 Q16 Z34 Q20 Q22 Q24 Q26 Q28 Q30 Q32 Q34 Q18 Z20 Z22 Z24 Z26 Z28 Z30 Z32 Z18" xr:uid="{00000000-0002-0000-2300-000001000000}">
      <formula1>0</formula1>
      <formula2>999999</formula2>
    </dataValidation>
    <dataValidation type="list" allowBlank="1" showInputMessage="1" showErrorMessage="1" sqref="AW16:AW35" xr:uid="{00000000-0002-0000-2300-000002000000}">
      <formula1>ENDUSECAT</formula1>
    </dataValidation>
    <dataValidation type="decimal" allowBlank="1" showInputMessage="1" showErrorMessage="1" error="Please enter a numerical value" prompt="NOTE: This is the TOTAL Masterial or Labor COST of the measure, not a per UNIT basis._x000a__x000a_For New or Failed Replacement, this is the total cost difference between purchasing the baseline equipment vs. what is being installed." sqref="AF16 AD16 AF32 AD20 AD22 AD24 AD26 AD28 AD30 AD32 AD34 AF34 AF20 AF22 AF24 AF26 AF28 AF30 AF18 AD18" xr:uid="{00000000-0002-0000-2300-000003000000}">
      <formula1>0</formula1>
      <formula2>999999999</formula2>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xr:uid="{00000000-0002-0000-2300-000004000000}">
      <formula1>IF(ISBLANK(F16),NONPRESCPROGRAM,"")</formula1>
    </dataValidation>
    <dataValidation allowBlank="1" showInputMessage="1" showErrorMessage="1" prompt="Baseline Detail is the equipment currently present that is being replaced._x000a__x000a_For New or Failed Replacement, this is the code-minimum equipment or control strategy that could be installed in lieu of the more efficient option." sqref="L16 L18 L34 L20 L22 L24 L26 L28 L30 L32" xr:uid="{00000000-0002-0000-2300-000005000000}"/>
    <dataValidation type="list" allowBlank="1" showInputMessage="1" showErrorMessage="1" prompt="Select the measure type that is closest to the selections in this list. If not listed, select &quot;Others&quot;" sqref="F16:K35" xr:uid="{00000000-0002-0000-2300-000006000000}">
      <formula1>CMEREFRIDESC</formula1>
    </dataValidation>
  </dataValidations>
  <hyperlinks>
    <hyperlink ref="B202" r:id="rId1" display="NIPSCO.Savings@LMCO.com" xr:uid="{00000000-0004-0000-2300-000000000000}"/>
  </hyperlinks>
  <pageMargins left="0.25" right="0.25" top="0.25" bottom="0.25" header="0.25" footer="0.25"/>
  <pageSetup scale="62" fitToHeight="0" orientation="landscape"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pageSetUpPr fitToPage="1"/>
  </sheetPr>
  <dimension ref="A1:BZ202"/>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135" customWidth="1"/>
    <col min="46" max="46" width="4.7109375" style="135" hidden="1" customWidth="1"/>
    <col min="47" max="78" width="9.140625" style="135" hidden="1" customWidth="1"/>
    <col min="79" max="16384" width="9.140625" hidden="1"/>
  </cols>
  <sheetData>
    <row r="1" spans="2:78" ht="15.95" customHeight="1" x14ac:dyDescent="0.3">
      <c r="AH1" s="711" t="s">
        <v>494</v>
      </c>
      <c r="AI1" s="712"/>
      <c r="AJ1" s="712"/>
      <c r="AK1" s="712"/>
      <c r="AL1" s="723" t="s">
        <v>911</v>
      </c>
      <c r="AM1" s="723"/>
      <c r="AN1" s="723"/>
      <c r="AO1" s="723"/>
      <c r="AP1" s="723"/>
      <c r="AQ1" s="717" t="s">
        <v>499</v>
      </c>
      <c r="AR1" s="718"/>
    </row>
    <row r="2" spans="2:78" ht="15.95" customHeight="1" x14ac:dyDescent="0.25">
      <c r="AH2" s="713" t="str">
        <f ca="1">INCENSTATUS</f>
        <v>---</v>
      </c>
      <c r="AI2" s="714"/>
      <c r="AJ2" s="714"/>
      <c r="AK2" s="714"/>
      <c r="AL2" s="724" t="str">
        <f ca="1">PROJSTATUS</f>
        <v>Please Complete Initial Application</v>
      </c>
      <c r="AM2" s="724"/>
      <c r="AN2" s="724"/>
      <c r="AO2" s="724"/>
      <c r="AP2" s="724"/>
      <c r="AQ2" s="719">
        <f ca="1">PROGRESSSTATUS</f>
        <v>0</v>
      </c>
      <c r="AR2" s="720"/>
    </row>
    <row r="3" spans="2:78" ht="15.95" customHeight="1" x14ac:dyDescent="0.25">
      <c r="AH3" s="715"/>
      <c r="AI3" s="716"/>
      <c r="AJ3" s="716"/>
      <c r="AK3" s="716"/>
      <c r="AL3" s="725"/>
      <c r="AM3" s="725"/>
      <c r="AN3" s="725"/>
      <c r="AO3" s="725"/>
      <c r="AP3" s="725"/>
      <c r="AQ3" s="721"/>
      <c r="AR3" s="722"/>
    </row>
    <row r="4" spans="2:78" ht="15.95" customHeight="1" x14ac:dyDescent="0.25"/>
    <row r="5" spans="2:78" ht="15.95" customHeight="1" x14ac:dyDescent="0.25"/>
    <row r="6" spans="2:78" ht="15.95" customHeight="1" x14ac:dyDescent="0.25">
      <c r="AU6" s="145" t="s">
        <v>1372</v>
      </c>
      <c r="AV6" s="145">
        <f>PROJID</f>
        <v>0</v>
      </c>
    </row>
    <row r="7" spans="2:78" ht="15.95" customHeight="1" x14ac:dyDescent="0.25">
      <c r="AU7" s="219"/>
      <c r="AV7" s="219" t="s">
        <v>1184</v>
      </c>
      <c r="AW7" s="219" t="s">
        <v>249</v>
      </c>
      <c r="AX7" s="219" t="s">
        <v>1336</v>
      </c>
      <c r="AY7" s="219"/>
    </row>
    <row r="8" spans="2:78" ht="15.95" customHeight="1" x14ac:dyDescent="0.25">
      <c r="AU8" s="219" t="s">
        <v>237</v>
      </c>
      <c r="AV8" s="219" t="str">
        <f>CBPRESE</f>
        <v>NA</v>
      </c>
      <c r="AW8" s="219" t="str">
        <f>CBCUSE</f>
        <v>NA</v>
      </c>
      <c r="AX8" s="219" t="str">
        <f>CBALL</f>
        <v>NA</v>
      </c>
      <c r="AY8" s="219"/>
    </row>
    <row r="9" spans="2:78" s="63" customFormat="1" ht="15.95" customHeight="1" x14ac:dyDescent="0.25">
      <c r="B9" s="135"/>
      <c r="C9" s="135"/>
      <c r="D9" s="135"/>
      <c r="E9" s="135"/>
      <c r="F9" s="135"/>
      <c r="G9" s="135"/>
      <c r="H9" s="135"/>
      <c r="I9" s="135"/>
      <c r="J9" s="135"/>
      <c r="K9" s="135"/>
      <c r="L9" s="135"/>
      <c r="M9" s="135"/>
      <c r="N9" s="135"/>
      <c r="O9" s="135"/>
      <c r="P9" s="135"/>
      <c r="Q9" s="135"/>
      <c r="R9" s="971" t="str">
        <f>CONCATENATE(M4S7," ","Summary")</f>
        <v>Miscellaneous Summary</v>
      </c>
      <c r="S9" s="971"/>
      <c r="T9" s="971"/>
      <c r="U9" s="971"/>
      <c r="V9" s="971"/>
      <c r="W9" s="971"/>
      <c r="X9" s="971"/>
      <c r="Y9" s="971"/>
      <c r="Z9" s="971"/>
      <c r="AA9" s="971"/>
      <c r="AB9" s="971"/>
      <c r="AC9" s="971"/>
      <c r="AD9" s="135"/>
      <c r="AE9" s="135"/>
      <c r="AF9" s="135"/>
      <c r="AG9" s="135"/>
      <c r="AH9" s="135"/>
      <c r="AI9" s="135"/>
      <c r="AJ9" s="135"/>
      <c r="AK9" s="135"/>
      <c r="AL9" s="135"/>
      <c r="AM9" s="135"/>
      <c r="AN9" s="135"/>
      <c r="AO9" s="135"/>
      <c r="AP9" s="135"/>
      <c r="AQ9" s="135"/>
      <c r="AR9" s="135"/>
      <c r="AS9" s="135"/>
      <c r="AT9" s="135"/>
      <c r="AU9" s="219"/>
      <c r="AV9" s="219"/>
      <c r="AW9" s="219"/>
      <c r="AX9" s="219"/>
      <c r="AY9" s="219"/>
      <c r="AZ9" s="135"/>
      <c r="BA9" s="135"/>
      <c r="BB9" s="135"/>
      <c r="BC9" s="135"/>
      <c r="BD9" s="135"/>
      <c r="BE9" s="135"/>
      <c r="BF9" s="135"/>
      <c r="BG9" s="135"/>
      <c r="BH9" s="135"/>
      <c r="BI9" s="135"/>
      <c r="BJ9" s="135"/>
      <c r="BK9" s="135"/>
      <c r="BL9" s="135"/>
      <c r="BM9" s="135"/>
      <c r="BN9" s="135"/>
      <c r="BO9" s="135"/>
      <c r="BP9" s="135"/>
      <c r="BQ9" s="135"/>
      <c r="BR9" s="135"/>
      <c r="BS9" s="135"/>
      <c r="BT9" s="135"/>
      <c r="BU9" s="135"/>
      <c r="BV9" s="135"/>
      <c r="BW9" s="135"/>
      <c r="BX9" s="135"/>
      <c r="BY9" s="135"/>
      <c r="BZ9" s="135"/>
    </row>
    <row r="10" spans="2:78" ht="15.95" customHeight="1" x14ac:dyDescent="0.25">
      <c r="B10" s="135"/>
      <c r="C10" s="135"/>
      <c r="D10" s="135"/>
      <c r="E10" s="135"/>
      <c r="F10" s="135"/>
      <c r="G10" s="135"/>
      <c r="H10" s="135"/>
      <c r="I10" s="135"/>
      <c r="J10" s="135"/>
      <c r="K10" s="135"/>
      <c r="L10" s="135"/>
      <c r="M10" s="135"/>
      <c r="N10" s="135"/>
      <c r="O10" s="135"/>
      <c r="P10" s="147"/>
      <c r="Q10" s="147"/>
      <c r="R10" s="971"/>
      <c r="S10" s="971"/>
      <c r="T10" s="971"/>
      <c r="U10" s="971"/>
      <c r="V10" s="971"/>
      <c r="W10" s="971"/>
      <c r="X10" s="971"/>
      <c r="Y10" s="971"/>
      <c r="Z10" s="971"/>
      <c r="AA10" s="971"/>
      <c r="AB10" s="971"/>
      <c r="AC10" s="971"/>
      <c r="AD10" s="147"/>
      <c r="AE10" s="147"/>
      <c r="AF10" s="147"/>
      <c r="AG10" s="135"/>
      <c r="AH10" s="135"/>
      <c r="AI10" s="135"/>
      <c r="AJ10" s="135"/>
      <c r="AK10" s="135"/>
      <c r="AL10" s="135"/>
      <c r="AM10" s="135"/>
      <c r="AN10" s="135"/>
      <c r="AO10" s="135"/>
      <c r="AP10" s="135"/>
      <c r="AQ10" s="135"/>
      <c r="AR10" s="135"/>
      <c r="AU10" s="219" t="s">
        <v>642</v>
      </c>
      <c r="AV10" s="219" t="str">
        <f>PAYPRESE</f>
        <v>NA</v>
      </c>
      <c r="AW10" s="219" t="str">
        <f>PAYCUSE</f>
        <v>NA</v>
      </c>
      <c r="AX10" s="219" t="str">
        <f>PAYALL</f>
        <v>NA</v>
      </c>
      <c r="AY10" s="219"/>
    </row>
    <row r="11" spans="2:78" ht="15.95" customHeight="1" x14ac:dyDescent="0.3">
      <c r="B11" s="135"/>
      <c r="C11" s="135"/>
      <c r="D11" s="135"/>
      <c r="E11" s="135"/>
      <c r="F11" s="135"/>
      <c r="G11" s="135"/>
      <c r="H11" s="135"/>
      <c r="I11" s="135"/>
      <c r="J11" s="135"/>
      <c r="K11" s="135"/>
      <c r="L11" s="135"/>
      <c r="M11" s="135"/>
      <c r="N11" s="135"/>
      <c r="O11" s="135"/>
      <c r="P11" s="135"/>
      <c r="Q11" s="135"/>
      <c r="R11" s="974" t="s">
        <v>69</v>
      </c>
      <c r="S11" s="974"/>
      <c r="T11" s="974"/>
      <c r="U11" s="974"/>
      <c r="V11" s="974" t="s">
        <v>70</v>
      </c>
      <c r="W11" s="974"/>
      <c r="X11" s="974"/>
      <c r="Y11" s="974"/>
      <c r="Z11" s="974" t="s">
        <v>71</v>
      </c>
      <c r="AA11" s="974"/>
      <c r="AB11" s="974"/>
      <c r="AC11" s="974"/>
      <c r="AD11" s="135"/>
      <c r="AE11" s="135"/>
      <c r="AF11" s="135"/>
      <c r="AG11" s="135"/>
      <c r="AH11" s="135"/>
      <c r="AI11" s="135"/>
      <c r="AJ11" s="135"/>
      <c r="AK11" s="135"/>
      <c r="AL11" s="135"/>
      <c r="AM11" s="135"/>
      <c r="AN11" s="135"/>
      <c r="AO11" s="135"/>
      <c r="AP11" s="135"/>
      <c r="AQ11" s="135"/>
      <c r="AR11" s="135"/>
      <c r="AU11" s="220" t="s">
        <v>1324</v>
      </c>
      <c r="AV11" s="145"/>
      <c r="AW11" s="145"/>
      <c r="AX11" s="145"/>
      <c r="AY11" s="145"/>
    </row>
    <row r="12" spans="2:78" ht="15.95" customHeight="1" x14ac:dyDescent="0.25">
      <c r="B12" s="135"/>
      <c r="C12" s="135"/>
      <c r="D12" s="135"/>
      <c r="E12" s="135"/>
      <c r="F12" s="135"/>
      <c r="G12" s="135"/>
      <c r="H12" s="135"/>
      <c r="I12" s="135"/>
      <c r="J12" s="135"/>
      <c r="K12" s="135"/>
      <c r="L12" s="135"/>
      <c r="M12" s="135"/>
      <c r="N12" s="135"/>
      <c r="O12" s="135"/>
      <c r="P12" s="135"/>
      <c r="Q12" s="135"/>
      <c r="R12" s="1113">
        <f>SUM(AK16:AN199)</f>
        <v>0</v>
      </c>
      <c r="S12" s="1113"/>
      <c r="T12" s="1113"/>
      <c r="U12" s="1113"/>
      <c r="V12" s="1113">
        <f>SUM(AH16:AJ199)</f>
        <v>0</v>
      </c>
      <c r="W12" s="1113"/>
      <c r="X12" s="1113"/>
      <c r="Y12" s="1113"/>
      <c r="Z12" s="1114">
        <f>SUM(AO16:AQ199)</f>
        <v>0</v>
      </c>
      <c r="AA12" s="1114"/>
      <c r="AB12" s="1114"/>
      <c r="AC12" s="1114"/>
      <c r="AD12" s="1337"/>
      <c r="AE12" s="1337"/>
      <c r="AF12" s="1337"/>
      <c r="AG12" s="1337"/>
      <c r="AH12" s="135"/>
      <c r="AI12" s="135"/>
      <c r="AJ12" s="135"/>
      <c r="AK12" s="135"/>
      <c r="AL12" s="135"/>
      <c r="AM12" s="135"/>
      <c r="AN12" s="135"/>
      <c r="AO12" s="135"/>
      <c r="AP12" s="135"/>
      <c r="AQ12" s="135"/>
      <c r="AR12" s="135"/>
    </row>
    <row r="13" spans="2:78" s="63" customFormat="1" ht="15.95" customHeight="1" x14ac:dyDescent="0.25">
      <c r="B13" s="135"/>
      <c r="C13" s="135"/>
      <c r="D13" s="135"/>
      <c r="E13" s="135"/>
      <c r="F13" s="135"/>
      <c r="G13" s="135"/>
      <c r="H13" s="135"/>
      <c r="I13" s="135"/>
      <c r="J13" s="135"/>
      <c r="K13" s="135"/>
      <c r="L13" s="135"/>
      <c r="M13" s="135"/>
      <c r="N13" s="135"/>
      <c r="O13" s="135"/>
      <c r="P13" s="135"/>
      <c r="Q13" s="135"/>
      <c r="R13" s="1113"/>
      <c r="S13" s="1113"/>
      <c r="T13" s="1113"/>
      <c r="U13" s="1113"/>
      <c r="V13" s="1113"/>
      <c r="W13" s="1113"/>
      <c r="X13" s="1113"/>
      <c r="Y13" s="1113"/>
      <c r="Z13" s="1114"/>
      <c r="AA13" s="1114"/>
      <c r="AB13" s="1114"/>
      <c r="AC13" s="1114"/>
      <c r="AD13" s="187"/>
      <c r="AE13" s="187"/>
      <c r="AF13" s="187"/>
      <c r="AG13" s="187"/>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row>
    <row r="14" spans="2:78" ht="15.95" customHeight="1" x14ac:dyDescent="0.25">
      <c r="B14" s="135"/>
      <c r="C14" s="1060" t="s">
        <v>1005</v>
      </c>
      <c r="D14" s="1060"/>
      <c r="E14" s="1060"/>
      <c r="F14" s="1060" t="s">
        <v>912</v>
      </c>
      <c r="G14" s="1060"/>
      <c r="H14" s="1060"/>
      <c r="I14" s="1060"/>
      <c r="J14" s="1060"/>
      <c r="K14" s="1060"/>
      <c r="L14" s="1060" t="s">
        <v>909</v>
      </c>
      <c r="M14" s="1060"/>
      <c r="N14" s="1060"/>
      <c r="O14" s="1060"/>
      <c r="P14" s="1060"/>
      <c r="Q14" s="1060" t="s">
        <v>91</v>
      </c>
      <c r="R14" s="1060"/>
      <c r="S14" s="1115" t="s">
        <v>107</v>
      </c>
      <c r="T14" s="1115"/>
      <c r="U14" s="1060" t="s">
        <v>252</v>
      </c>
      <c r="V14" s="1060"/>
      <c r="W14" s="1060"/>
      <c r="X14" s="1060"/>
      <c r="Y14" s="1060"/>
      <c r="Z14" s="1060" t="s">
        <v>91</v>
      </c>
      <c r="AA14" s="1060"/>
      <c r="AB14" s="1115" t="s">
        <v>107</v>
      </c>
      <c r="AC14" s="1115"/>
      <c r="AD14" s="1060" t="s">
        <v>103</v>
      </c>
      <c r="AE14" s="1060"/>
      <c r="AF14" s="1060"/>
      <c r="AG14" s="1060"/>
      <c r="AH14" s="1060" t="s">
        <v>103</v>
      </c>
      <c r="AI14" s="1060"/>
      <c r="AJ14" s="1060"/>
      <c r="AK14" s="1060" t="s">
        <v>102</v>
      </c>
      <c r="AL14" s="1060"/>
      <c r="AM14" s="1060"/>
      <c r="AN14" s="1060"/>
      <c r="AO14" s="1060" t="s">
        <v>109</v>
      </c>
      <c r="AP14" s="1060"/>
      <c r="AQ14" s="1060"/>
      <c r="AR14" s="135"/>
      <c r="AS14" s="145"/>
      <c r="AT14" s="145"/>
      <c r="AU14" s="1012" t="s">
        <v>237</v>
      </c>
      <c r="AV14" s="1012" t="s">
        <v>643</v>
      </c>
      <c r="AW14" s="1012" t="s">
        <v>637</v>
      </c>
      <c r="AX14" s="1012" t="s">
        <v>152</v>
      </c>
      <c r="AY14" s="1012" t="s">
        <v>141</v>
      </c>
      <c r="AZ14" s="1012" t="s">
        <v>249</v>
      </c>
      <c r="BA14" s="1012" t="s">
        <v>910</v>
      </c>
      <c r="BB14" s="1012" t="s">
        <v>642</v>
      </c>
      <c r="BC14" s="1012" t="s">
        <v>521</v>
      </c>
    </row>
    <row r="15" spans="2:78" ht="15.95" customHeight="1" thickBot="1" x14ac:dyDescent="0.3">
      <c r="B15" s="135"/>
      <c r="C15" s="1061"/>
      <c r="D15" s="1061"/>
      <c r="E15" s="1061"/>
      <c r="F15" s="1061"/>
      <c r="G15" s="1061"/>
      <c r="H15" s="1061"/>
      <c r="I15" s="1061"/>
      <c r="J15" s="1061"/>
      <c r="K15" s="1061"/>
      <c r="L15" s="1061"/>
      <c r="M15" s="1061"/>
      <c r="N15" s="1061"/>
      <c r="O15" s="1061"/>
      <c r="P15" s="1061"/>
      <c r="Q15" s="1061"/>
      <c r="R15" s="1061"/>
      <c r="S15" s="1116"/>
      <c r="T15" s="1116"/>
      <c r="U15" s="1061"/>
      <c r="V15" s="1061"/>
      <c r="W15" s="1061"/>
      <c r="X15" s="1061"/>
      <c r="Y15" s="1061"/>
      <c r="Z15" s="1061"/>
      <c r="AA15" s="1061"/>
      <c r="AB15" s="1116"/>
      <c r="AC15" s="1116"/>
      <c r="AD15" s="1061" t="s">
        <v>104</v>
      </c>
      <c r="AE15" s="1061"/>
      <c r="AF15" s="1061" t="s">
        <v>105</v>
      </c>
      <c r="AG15" s="1061"/>
      <c r="AH15" s="1061"/>
      <c r="AI15" s="1061"/>
      <c r="AJ15" s="1061"/>
      <c r="AK15" s="1061"/>
      <c r="AL15" s="1061"/>
      <c r="AM15" s="1061"/>
      <c r="AN15" s="1061"/>
      <c r="AO15" s="1061"/>
      <c r="AP15" s="1061"/>
      <c r="AQ15" s="1061"/>
      <c r="AR15" s="135"/>
      <c r="AS15" s="145"/>
      <c r="AT15" s="145"/>
      <c r="AU15" s="1013"/>
      <c r="AV15" s="1013"/>
      <c r="AW15" s="1013"/>
      <c r="AX15" s="1013"/>
      <c r="AY15" s="1013"/>
      <c r="AZ15" s="1013"/>
      <c r="BA15" s="1013"/>
      <c r="BB15" s="1013"/>
      <c r="BC15" s="1013"/>
    </row>
    <row r="16" spans="2:78" ht="15.95" customHeight="1" x14ac:dyDescent="0.25">
      <c r="B16" s="1064">
        <v>1</v>
      </c>
      <c r="C16" s="1103"/>
      <c r="D16" s="1103"/>
      <c r="E16" s="1103"/>
      <c r="F16" s="1111"/>
      <c r="G16" s="1111"/>
      <c r="H16" s="1111"/>
      <c r="I16" s="1111"/>
      <c r="J16" s="1111"/>
      <c r="K16" s="1111"/>
      <c r="L16" s="1111"/>
      <c r="M16" s="1111"/>
      <c r="N16" s="1111"/>
      <c r="O16" s="1111"/>
      <c r="P16" s="1111"/>
      <c r="Q16" s="1105"/>
      <c r="R16" s="1105"/>
      <c r="S16" s="1107"/>
      <c r="T16" s="1108"/>
      <c r="U16" s="1030"/>
      <c r="V16" s="1111"/>
      <c r="W16" s="1111"/>
      <c r="X16" s="1111"/>
      <c r="Y16" s="1111"/>
      <c r="Z16" s="1105"/>
      <c r="AA16" s="1105"/>
      <c r="AB16" s="1107"/>
      <c r="AC16" s="1120"/>
      <c r="AD16" s="1049"/>
      <c r="AE16" s="1135"/>
      <c r="AF16" s="1135"/>
      <c r="AG16" s="1136"/>
      <c r="AH16" s="1027" t="str">
        <f>IF(OR(C16="",F16="",L16="",Q16="",S16="",U16="",Z16="",AB16="",AD16="",AF16=""),"",ROUND(AD16+AF16,2))</f>
        <v/>
      </c>
      <c r="AI16" s="1128"/>
      <c r="AJ16" s="1128"/>
      <c r="AK16" s="1131" t="str">
        <f>IF(OR(C16="",F16="",L16="",Q16="",S16="",U16="",Z16="",AB16="",AD16="",AF16=""),"",IF(BC16&lt;&gt;"",BC16,IF(C16="New/Replace Failed Equip.",BA16,AZ16)))</f>
        <v/>
      </c>
      <c r="AL16" s="1131"/>
      <c r="AM16" s="1131"/>
      <c r="AN16" s="1131"/>
      <c r="AO16" s="1133" t="str">
        <f>IF(OR(C16="",F16="",L16="",Q16="",S16="",U16="",Z16="",AB16="",AD16="",AF16=""),"",IF((Q16*S16)-(Z16*AB16)&lt;=0,0,ROUND((Q16*S16)-(Z16*AB16),0)))</f>
        <v/>
      </c>
      <c r="AP16" s="1133"/>
      <c r="AQ16" s="1133"/>
      <c r="AR16" s="135"/>
      <c r="AS16" s="145"/>
      <c r="AT16" s="145"/>
      <c r="AU16" s="1124" t="str">
        <f>IFERROR(IF(OR(C16="",F16="",L16="",Q16="",S16="",U16="",Z16="",AB16="",AD16="",AF16=""),"",((1+ELOSS)*PEAKTD*(1+INDEX(ELECCB[Capacity Reserve Margin],MATCH(AX16,ELECCB[Year Number],0)))*((AO16*INDEX(ELECCB[NPV AEC $/kWh],MATCH(AX16,ELECCB[Year Number],1)))+(AV16*INDEX(ELECCB[NPV ACC+T&amp;D $/kW],MATCH(AX16,ELECCB[Year Number],1))))/AH16)),0)</f>
        <v/>
      </c>
      <c r="AV16" s="1141" t="str">
        <f>IF(OR(C16="",F16="",L16="",Q16="",S16="",U16="",Z16="",AB16="",AD16="",AF16=""),"",ROUND(AO16*INDEX(ENDUSEALL[Factor],MATCH(AW16,ENDUSEALL[End Use to Coincident Peak Demand Factors],0)),4))</f>
        <v/>
      </c>
      <c r="AW16" s="987" t="str">
        <f>IF(OR(C16="",F16="",L16="",Q16="",S16="",U16="",Z16="",AB16="",AD16="",AF16=""),"",INDEX(CMEMISC[End Use Category],MATCH(F16,CMEMISC[Proj Desc 1],0)))</f>
        <v/>
      </c>
      <c r="AX16" s="1126" t="str">
        <f>IF(OR(C16="",F16="",L16="",Q16="",S16="",U16="",Z16="",AB16="",AD16="",AF16=""),"",INDEX(CMEMISC[EUL],MATCH(F16,CMEMISC[Proj Desc 1],0)))</f>
        <v/>
      </c>
      <c r="AY16" s="1122" t="str">
        <f>IF(OR(C16="",F16="",L16="",Q16="",S16="",U16="",Z16="",AB16="",AD16="",AF16=""),"",INDEX(CMEMISC[Measure Number],MATCH(F16,CMEMISC[Proj Desc 1],0)))</f>
        <v/>
      </c>
      <c r="AZ16" s="1118" t="str">
        <f>IFERROR(ROUND(MIN(AH16*0.5,AO16*INDEX(ENDUSEALL[Inc Rate],MATCH(AW16,ENDUSEALL[End Use to Coincident Peak Demand Factors],0))),2),"")</f>
        <v/>
      </c>
      <c r="BA16" s="1118" t="str">
        <f>IFERROR(ROUND(MIN(AH16,AO16*INDEX(ENDUSEALL[Inc Rate],MATCH(AW16,ENDUSEALL[End Use to Coincident Peak Demand Factors],0))),2),"")</f>
        <v/>
      </c>
      <c r="BB16" s="1118" t="str">
        <f>IFERROR(AH16/M02S02F35/AO16,"")</f>
        <v/>
      </c>
      <c r="BC16" s="1118" t="str">
        <f>IFERROR(IF((Q16*S16)-(Z16*AB16)&lt;=0,MEASURESAV,IF(M02S02F35="",MEASURERATE, IF(AH16/M02S02F35/AO16&lt;1,MEASUREPAY,IF(AU16&lt;1,MEASURECB,"")))),MEASURESUBMIT)</f>
        <v>Submit for Review</v>
      </c>
    </row>
    <row r="17" spans="2:55" ht="15.95" customHeight="1" x14ac:dyDescent="0.25">
      <c r="B17" s="1064"/>
      <c r="C17" s="1104"/>
      <c r="D17" s="1104"/>
      <c r="E17" s="1104"/>
      <c r="F17" s="1112"/>
      <c r="G17" s="1112"/>
      <c r="H17" s="1112"/>
      <c r="I17" s="1112"/>
      <c r="J17" s="1112"/>
      <c r="K17" s="1112"/>
      <c r="L17" s="1112"/>
      <c r="M17" s="1112"/>
      <c r="N17" s="1112"/>
      <c r="O17" s="1112"/>
      <c r="P17" s="1112"/>
      <c r="Q17" s="1106"/>
      <c r="R17" s="1106"/>
      <c r="S17" s="1109"/>
      <c r="T17" s="1110"/>
      <c r="U17" s="1033"/>
      <c r="V17" s="1112"/>
      <c r="W17" s="1112"/>
      <c r="X17" s="1112"/>
      <c r="Y17" s="1112"/>
      <c r="Z17" s="1106"/>
      <c r="AA17" s="1106"/>
      <c r="AB17" s="1109"/>
      <c r="AC17" s="1121"/>
      <c r="AD17" s="1051"/>
      <c r="AE17" s="1137"/>
      <c r="AF17" s="1137"/>
      <c r="AG17" s="1138"/>
      <c r="AH17" s="1129"/>
      <c r="AI17" s="1130"/>
      <c r="AJ17" s="1130"/>
      <c r="AK17" s="1132"/>
      <c r="AL17" s="1132"/>
      <c r="AM17" s="1132"/>
      <c r="AN17" s="1132"/>
      <c r="AO17" s="1134"/>
      <c r="AP17" s="1134"/>
      <c r="AQ17" s="1134"/>
      <c r="AR17" s="135"/>
      <c r="AS17" s="145"/>
      <c r="AT17" s="145"/>
      <c r="AU17" s="1125"/>
      <c r="AV17" s="1142"/>
      <c r="AW17" s="988"/>
      <c r="AX17" s="1127"/>
      <c r="AY17" s="1123"/>
      <c r="AZ17" s="1119"/>
      <c r="BA17" s="1119"/>
      <c r="BB17" s="1119"/>
      <c r="BC17" s="1119"/>
    </row>
    <row r="18" spans="2:55" ht="15.95" customHeight="1" x14ac:dyDescent="0.25">
      <c r="B18" s="1063">
        <v>2</v>
      </c>
      <c r="C18" s="1103"/>
      <c r="D18" s="1103"/>
      <c r="E18" s="1103"/>
      <c r="F18" s="1111"/>
      <c r="G18" s="1111"/>
      <c r="H18" s="1111"/>
      <c r="I18" s="1111"/>
      <c r="J18" s="1111"/>
      <c r="K18" s="1111"/>
      <c r="L18" s="1111"/>
      <c r="M18" s="1111"/>
      <c r="N18" s="1111"/>
      <c r="O18" s="1111"/>
      <c r="P18" s="1111"/>
      <c r="Q18" s="1105"/>
      <c r="R18" s="1105"/>
      <c r="S18" s="1107"/>
      <c r="T18" s="1108"/>
      <c r="U18" s="1030"/>
      <c r="V18" s="1111"/>
      <c r="W18" s="1111"/>
      <c r="X18" s="1111"/>
      <c r="Y18" s="1111"/>
      <c r="Z18" s="1105"/>
      <c r="AA18" s="1105"/>
      <c r="AB18" s="1107"/>
      <c r="AC18" s="1120"/>
      <c r="AD18" s="1049"/>
      <c r="AE18" s="1135"/>
      <c r="AF18" s="1135"/>
      <c r="AG18" s="1136"/>
      <c r="AH18" s="1027" t="str">
        <f t="shared" ref="AH18" si="0">IF(OR(C18="",F18="",L18="",Q18="",S18="",U18="",Z18="",AB18="",AD18="",AF18=""),"",ROUND(AD18+AF18,2))</f>
        <v/>
      </c>
      <c r="AI18" s="1128"/>
      <c r="AJ18" s="1128"/>
      <c r="AK18" s="1131" t="str">
        <f t="shared" ref="AK18" si="1">IF(OR(C18="",F18="",L18="",Q18="",S18="",U18="",Z18="",AB18="",AD18="",AF18=""),"",IF(BC18&lt;&gt;"",BC18,IF(C18="New/Replace Failed Equip.",BA18,AZ18)))</f>
        <v/>
      </c>
      <c r="AL18" s="1131"/>
      <c r="AM18" s="1131"/>
      <c r="AN18" s="1131"/>
      <c r="AO18" s="1133" t="str">
        <f t="shared" ref="AO18" si="2">IF(OR(C18="",F18="",L18="",Q18="",S18="",U18="",Z18="",AB18="",AD18="",AF18=""),"",IF((Q18*S18)-(Z18*AB18)&lt;=0,0,ROUND((Q18*S18)-(Z18*AB18),0)))</f>
        <v/>
      </c>
      <c r="AP18" s="1133"/>
      <c r="AQ18" s="1133"/>
      <c r="AR18" s="135"/>
      <c r="AS18" s="145"/>
      <c r="AT18" s="145"/>
      <c r="AU18" s="1124" t="str">
        <f>IFERROR(IF(OR(C18="",F18="",L18="",Q18="",S18="",U18="",Z18="",AB18="",AD18="",AF18=""),"",((1+ELOSS)*PEAKTD*(1+INDEX(ELECCB[Capacity Reserve Margin],MATCH(AX18,ELECCB[Year Number],0)))*((AO18*INDEX(ELECCB[NPV AEC $/kWh],MATCH(AX18,ELECCB[Year Number],1)))+(AV18*INDEX(ELECCB[NPV ACC+T&amp;D $/kW],MATCH(AX18,ELECCB[Year Number],1))))/AH18)),0)</f>
        <v/>
      </c>
      <c r="AV18" s="1141" t="str">
        <f>IF(OR(C18="",F18="",L18="",Q18="",S18="",U18="",Z18="",AB18="",AD18="",AF18=""),"",ROUND(AO18*INDEX(ENDUSEALL[Factor],MATCH(AW18,ENDUSEALL[End Use to Coincident Peak Demand Factors],0)),4))</f>
        <v/>
      </c>
      <c r="AW18" s="987" t="str">
        <f>IF(OR(C18="",F18="",L18="",Q18="",S18="",U18="",Z18="",AB18="",AD18="",AF18=""),"",INDEX(CMEMISC[End Use Category],MATCH(F18,CMEMISC[Proj Desc 1],0)))</f>
        <v/>
      </c>
      <c r="AX18" s="1126" t="str">
        <f>IF(OR(C18="",F18="",L18="",Q18="",S18="",U18="",Z18="",AB18="",AD18="",AF18=""),"",INDEX(CMEMISC[EUL],MATCH(F18,CMEMISC[Proj Desc 1],0)))</f>
        <v/>
      </c>
      <c r="AY18" s="1122" t="str">
        <f>IF(OR(C18="",F18="",L18="",Q18="",S18="",U18="",Z18="",AB18="",AD18="",AF18=""),"",INDEX(CMEMISC[Measure Number],MATCH(F18,CMEMISC[Proj Desc 1],0)))</f>
        <v/>
      </c>
      <c r="AZ18" s="1118" t="str">
        <f>IFERROR(ROUND(MIN(AH18*0.5,AO18*INDEX(ENDUSEALL[Inc Rate],MATCH(AW18,ENDUSEALL[End Use to Coincident Peak Demand Factors],0))),2),"")</f>
        <v/>
      </c>
      <c r="BA18" s="1118" t="str">
        <f>IFERROR(ROUND(MIN(AH18,AO18*INDEX(ENDUSEALL[Inc Rate],MATCH(AW18,ENDUSEALL[End Use to Coincident Peak Demand Factors],0))),2),"")</f>
        <v/>
      </c>
      <c r="BB18" s="1118" t="str">
        <f>IFERROR(AH18/M02S02F35/AO18,"")</f>
        <v/>
      </c>
      <c r="BC18" s="1118" t="str">
        <f>IFERROR(IF((Q18*S18)-(Z18*AB18)&lt;=0,MEASURESAV,IF(M02S02F35="",MEASURERATE, IF(AH18/M02S02F35/AO18&lt;1,MEASUREPAY,IF(AU18&lt;1,MEASURECB,"")))),MEASURESUBMIT)</f>
        <v>Submit for Review</v>
      </c>
    </row>
    <row r="19" spans="2:55" ht="15.95" customHeight="1" x14ac:dyDescent="0.25">
      <c r="B19" s="1063"/>
      <c r="C19" s="1104"/>
      <c r="D19" s="1104"/>
      <c r="E19" s="1104"/>
      <c r="F19" s="1112"/>
      <c r="G19" s="1112"/>
      <c r="H19" s="1112"/>
      <c r="I19" s="1112"/>
      <c r="J19" s="1112"/>
      <c r="K19" s="1112"/>
      <c r="L19" s="1112"/>
      <c r="M19" s="1112"/>
      <c r="N19" s="1112"/>
      <c r="O19" s="1112"/>
      <c r="P19" s="1112"/>
      <c r="Q19" s="1106"/>
      <c r="R19" s="1106"/>
      <c r="S19" s="1109"/>
      <c r="T19" s="1110"/>
      <c r="U19" s="1033"/>
      <c r="V19" s="1112"/>
      <c r="W19" s="1112"/>
      <c r="X19" s="1112"/>
      <c r="Y19" s="1112"/>
      <c r="Z19" s="1106"/>
      <c r="AA19" s="1106"/>
      <c r="AB19" s="1109"/>
      <c r="AC19" s="1121"/>
      <c r="AD19" s="1051"/>
      <c r="AE19" s="1137"/>
      <c r="AF19" s="1137"/>
      <c r="AG19" s="1138"/>
      <c r="AH19" s="1129"/>
      <c r="AI19" s="1130"/>
      <c r="AJ19" s="1130"/>
      <c r="AK19" s="1132"/>
      <c r="AL19" s="1132"/>
      <c r="AM19" s="1132"/>
      <c r="AN19" s="1132"/>
      <c r="AO19" s="1134"/>
      <c r="AP19" s="1134"/>
      <c r="AQ19" s="1134"/>
      <c r="AR19" s="135"/>
      <c r="AS19" s="145"/>
      <c r="AT19" s="145"/>
      <c r="AU19" s="1125"/>
      <c r="AV19" s="1142"/>
      <c r="AW19" s="988"/>
      <c r="AX19" s="1127"/>
      <c r="AY19" s="1123"/>
      <c r="AZ19" s="1119"/>
      <c r="BA19" s="1119"/>
      <c r="BB19" s="1119"/>
      <c r="BC19" s="1119"/>
    </row>
    <row r="20" spans="2:55" ht="15.95" customHeight="1" x14ac:dyDescent="0.25">
      <c r="B20" s="1063">
        <v>3</v>
      </c>
      <c r="C20" s="1103"/>
      <c r="D20" s="1103"/>
      <c r="E20" s="1103"/>
      <c r="F20" s="1111"/>
      <c r="G20" s="1111"/>
      <c r="H20" s="1111"/>
      <c r="I20" s="1111"/>
      <c r="J20" s="1111"/>
      <c r="K20" s="1111"/>
      <c r="L20" s="1111"/>
      <c r="M20" s="1111"/>
      <c r="N20" s="1111"/>
      <c r="O20" s="1111"/>
      <c r="P20" s="1111"/>
      <c r="Q20" s="1105"/>
      <c r="R20" s="1105"/>
      <c r="S20" s="1107"/>
      <c r="T20" s="1108"/>
      <c r="U20" s="1030"/>
      <c r="V20" s="1111"/>
      <c r="W20" s="1111"/>
      <c r="X20" s="1111"/>
      <c r="Y20" s="1111"/>
      <c r="Z20" s="1105"/>
      <c r="AA20" s="1105"/>
      <c r="AB20" s="1107"/>
      <c r="AC20" s="1120"/>
      <c r="AD20" s="1049"/>
      <c r="AE20" s="1135"/>
      <c r="AF20" s="1135"/>
      <c r="AG20" s="1136"/>
      <c r="AH20" s="1027" t="str">
        <f t="shared" ref="AH20" si="3">IF(OR(C20="",F20="",L20="",Q20="",S20="",U20="",Z20="",AB20="",AD20="",AF20=""),"",ROUND(AD20+AF20,2))</f>
        <v/>
      </c>
      <c r="AI20" s="1128"/>
      <c r="AJ20" s="1128"/>
      <c r="AK20" s="1131" t="str">
        <f t="shared" ref="AK20" si="4">IF(OR(C20="",F20="",L20="",Q20="",S20="",U20="",Z20="",AB20="",AD20="",AF20=""),"",IF(BC20&lt;&gt;"",BC20,IF(C20="New/Replace Failed Equip.",BA20,AZ20)))</f>
        <v/>
      </c>
      <c r="AL20" s="1131"/>
      <c r="AM20" s="1131"/>
      <c r="AN20" s="1131"/>
      <c r="AO20" s="1133" t="str">
        <f t="shared" ref="AO20" si="5">IF(OR(C20="",F20="",L20="",Q20="",S20="",U20="",Z20="",AB20="",AD20="",AF20=""),"",IF((Q20*S20)-(Z20*AB20)&lt;=0,0,ROUND((Q20*S20)-(Z20*AB20),0)))</f>
        <v/>
      </c>
      <c r="AP20" s="1133"/>
      <c r="AQ20" s="1133"/>
      <c r="AR20" s="135"/>
      <c r="AS20" s="145"/>
      <c r="AT20" s="145"/>
      <c r="AU20" s="1124" t="str">
        <f>IFERROR(IF(OR(C20="",F20="",L20="",Q20="",S20="",U20="",Z20="",AB20="",AD20="",AF20=""),"",((1+ELOSS)*PEAKTD*(1+INDEX(ELECCB[Capacity Reserve Margin],MATCH(AX20,ELECCB[Year Number],0)))*((AO20*INDEX(ELECCB[NPV AEC $/kWh],MATCH(AX20,ELECCB[Year Number],1)))+(AV20*INDEX(ELECCB[NPV ACC+T&amp;D $/kW],MATCH(AX20,ELECCB[Year Number],1))))/AH20)),0)</f>
        <v/>
      </c>
      <c r="AV20" s="1141" t="str">
        <f>IF(OR(C20="",F20="",L20="",Q20="",S20="",U20="",Z20="",AB20="",AD20="",AF20=""),"",ROUND(AO20*INDEX(ENDUSEALL[Factor],MATCH(AW20,ENDUSEALL[End Use to Coincident Peak Demand Factors],0)),4))</f>
        <v/>
      </c>
      <c r="AW20" s="987" t="str">
        <f>IF(OR(C20="",F20="",L20="",Q20="",S20="",U20="",Z20="",AB20="",AD20="",AF20=""),"",INDEX(CMEMISC[End Use Category],MATCH(F20,CMEMISC[Proj Desc 1],0)))</f>
        <v/>
      </c>
      <c r="AX20" s="1126" t="str">
        <f>IF(OR(C20="",F20="",L20="",Q20="",S20="",U20="",Z20="",AB20="",AD20="",AF20=""),"",INDEX(CMEMISC[EUL],MATCH(F20,CMEMISC[Proj Desc 1],0)))</f>
        <v/>
      </c>
      <c r="AY20" s="1122" t="str">
        <f>IF(OR(C20="",F20="",L20="",Q20="",S20="",U20="",Z20="",AB20="",AD20="",AF20=""),"",INDEX(CMEMISC[Measure Number],MATCH(F20,CMEMISC[Proj Desc 1],0)))</f>
        <v/>
      </c>
      <c r="AZ20" s="1118" t="str">
        <f>IFERROR(ROUND(MIN(AH20*0.5,AO20*INDEX(ENDUSEALL[Inc Rate],MATCH(AW20,ENDUSEALL[End Use to Coincident Peak Demand Factors],0))),2),"")</f>
        <v/>
      </c>
      <c r="BA20" s="1118" t="str">
        <f>IFERROR(ROUND(MIN(AH20,AO20*INDEX(ENDUSEALL[Inc Rate],MATCH(AW20,ENDUSEALL[End Use to Coincident Peak Demand Factors],0))),2),"")</f>
        <v/>
      </c>
      <c r="BB20" s="1118" t="str">
        <f>IFERROR(AH20/M02S02F35/AO20,"")</f>
        <v/>
      </c>
      <c r="BC20" s="1118" t="str">
        <f>IFERROR(IF((Q20*S20)-(Z20*AB20)&lt;=0,MEASURESAV,IF(M02S02F35="",MEASURERATE, IF(AH20/M02S02F35/AO20&lt;1,MEASUREPAY,IF(AU20&lt;1,MEASURECB,"")))),MEASURESUBMIT)</f>
        <v>Submit for Review</v>
      </c>
    </row>
    <row r="21" spans="2:55" ht="15.95" customHeight="1" x14ac:dyDescent="0.25">
      <c r="B21" s="1063"/>
      <c r="C21" s="1104"/>
      <c r="D21" s="1104"/>
      <c r="E21" s="1104"/>
      <c r="F21" s="1112"/>
      <c r="G21" s="1112"/>
      <c r="H21" s="1112"/>
      <c r="I21" s="1112"/>
      <c r="J21" s="1112"/>
      <c r="K21" s="1112"/>
      <c r="L21" s="1112"/>
      <c r="M21" s="1112"/>
      <c r="N21" s="1112"/>
      <c r="O21" s="1112"/>
      <c r="P21" s="1112"/>
      <c r="Q21" s="1106"/>
      <c r="R21" s="1106"/>
      <c r="S21" s="1109"/>
      <c r="T21" s="1110"/>
      <c r="U21" s="1033"/>
      <c r="V21" s="1112"/>
      <c r="W21" s="1112"/>
      <c r="X21" s="1112"/>
      <c r="Y21" s="1112"/>
      <c r="Z21" s="1106"/>
      <c r="AA21" s="1106"/>
      <c r="AB21" s="1109"/>
      <c r="AC21" s="1121"/>
      <c r="AD21" s="1051"/>
      <c r="AE21" s="1137"/>
      <c r="AF21" s="1137"/>
      <c r="AG21" s="1138"/>
      <c r="AH21" s="1129"/>
      <c r="AI21" s="1130"/>
      <c r="AJ21" s="1130"/>
      <c r="AK21" s="1132"/>
      <c r="AL21" s="1132"/>
      <c r="AM21" s="1132"/>
      <c r="AN21" s="1132"/>
      <c r="AO21" s="1134"/>
      <c r="AP21" s="1134"/>
      <c r="AQ21" s="1134"/>
      <c r="AR21" s="135"/>
      <c r="AS21" s="145"/>
      <c r="AT21" s="145"/>
      <c r="AU21" s="1125"/>
      <c r="AV21" s="1142"/>
      <c r="AW21" s="988"/>
      <c r="AX21" s="1127"/>
      <c r="AY21" s="1123"/>
      <c r="AZ21" s="1119"/>
      <c r="BA21" s="1119"/>
      <c r="BB21" s="1119"/>
      <c r="BC21" s="1119"/>
    </row>
    <row r="22" spans="2:55" ht="15.95" customHeight="1" x14ac:dyDescent="0.25">
      <c r="B22" s="1063">
        <v>4</v>
      </c>
      <c r="C22" s="1103"/>
      <c r="D22" s="1103"/>
      <c r="E22" s="1103"/>
      <c r="F22" s="1111"/>
      <c r="G22" s="1111"/>
      <c r="H22" s="1111"/>
      <c r="I22" s="1111"/>
      <c r="J22" s="1111"/>
      <c r="K22" s="1111"/>
      <c r="L22" s="1111"/>
      <c r="M22" s="1111"/>
      <c r="N22" s="1111"/>
      <c r="O22" s="1111"/>
      <c r="P22" s="1111"/>
      <c r="Q22" s="1105"/>
      <c r="R22" s="1105"/>
      <c r="S22" s="1107"/>
      <c r="T22" s="1108"/>
      <c r="U22" s="1030"/>
      <c r="V22" s="1111"/>
      <c r="W22" s="1111"/>
      <c r="X22" s="1111"/>
      <c r="Y22" s="1111"/>
      <c r="Z22" s="1105"/>
      <c r="AA22" s="1105"/>
      <c r="AB22" s="1107"/>
      <c r="AC22" s="1120"/>
      <c r="AD22" s="1049"/>
      <c r="AE22" s="1135"/>
      <c r="AF22" s="1135"/>
      <c r="AG22" s="1136"/>
      <c r="AH22" s="1027" t="str">
        <f t="shared" ref="AH22" si="6">IF(OR(C22="",F22="",L22="",Q22="",S22="",U22="",Z22="",AB22="",AD22="",AF22=""),"",ROUND(AD22+AF22,2))</f>
        <v/>
      </c>
      <c r="AI22" s="1128"/>
      <c r="AJ22" s="1128"/>
      <c r="AK22" s="1131" t="str">
        <f t="shared" ref="AK22" si="7">IF(OR(C22="",F22="",L22="",Q22="",S22="",U22="",Z22="",AB22="",AD22="",AF22=""),"",IF(BC22&lt;&gt;"",BC22,IF(C22="New/Replace Failed Equip.",BA22,AZ22)))</f>
        <v/>
      </c>
      <c r="AL22" s="1131"/>
      <c r="AM22" s="1131"/>
      <c r="AN22" s="1131"/>
      <c r="AO22" s="1133" t="str">
        <f t="shared" ref="AO22" si="8">IF(OR(C22="",F22="",L22="",Q22="",S22="",U22="",Z22="",AB22="",AD22="",AF22=""),"",IF((Q22*S22)-(Z22*AB22)&lt;=0,0,ROUND((Q22*S22)-(Z22*AB22),0)))</f>
        <v/>
      </c>
      <c r="AP22" s="1133"/>
      <c r="AQ22" s="1133"/>
      <c r="AR22" s="135"/>
      <c r="AS22" s="145"/>
      <c r="AT22" s="145"/>
      <c r="AU22" s="1124" t="str">
        <f>IFERROR(IF(OR(C22="",F22="",L22="",Q22="",S22="",U22="",Z22="",AB22="",AD22="",AF22=""),"",((1+ELOSS)*PEAKTD*(1+INDEX(ELECCB[Capacity Reserve Margin],MATCH(AX22,ELECCB[Year Number],0)))*((AO22*INDEX(ELECCB[NPV AEC $/kWh],MATCH(AX22,ELECCB[Year Number],1)))+(AV22*INDEX(ELECCB[NPV ACC+T&amp;D $/kW],MATCH(AX22,ELECCB[Year Number],1))))/AH22)),0)</f>
        <v/>
      </c>
      <c r="AV22" s="1141" t="str">
        <f>IF(OR(C22="",F22="",L22="",Q22="",S22="",U22="",Z22="",AB22="",AD22="",AF22=""),"",ROUND(AO22*INDEX(ENDUSEALL[Factor],MATCH(AW22,ENDUSEALL[End Use to Coincident Peak Demand Factors],0)),4))</f>
        <v/>
      </c>
      <c r="AW22" s="987" t="str">
        <f>IF(OR(C22="",F22="",L22="",Q22="",S22="",U22="",Z22="",AB22="",AD22="",AF22=""),"",INDEX(CMEMISC[End Use Category],MATCH(F22,CMEMISC[Proj Desc 1],0)))</f>
        <v/>
      </c>
      <c r="AX22" s="1126" t="str">
        <f>IF(OR(C22="",F22="",L22="",Q22="",S22="",U22="",Z22="",AB22="",AD22="",AF22=""),"",INDEX(CMEMISC[EUL],MATCH(F22,CMEMISC[Proj Desc 1],0)))</f>
        <v/>
      </c>
      <c r="AY22" s="1122" t="str">
        <f>IF(OR(C22="",F22="",L22="",Q22="",S22="",U22="",Z22="",AB22="",AD22="",AF22=""),"",INDEX(CMEMISC[Measure Number],MATCH(F22,CMEMISC[Proj Desc 1],0)))</f>
        <v/>
      </c>
      <c r="AZ22" s="1118" t="str">
        <f>IFERROR(ROUND(MIN(AH22*0.5,AO22*INDEX(ENDUSEALL[Inc Rate],MATCH(AW22,ENDUSEALL[End Use to Coincident Peak Demand Factors],0))),2),"")</f>
        <v/>
      </c>
      <c r="BA22" s="1118" t="str">
        <f>IFERROR(ROUND(MIN(AH22,AO22*INDEX(ENDUSEALL[Inc Rate],MATCH(AW22,ENDUSEALL[End Use to Coincident Peak Demand Factors],0))),2),"")</f>
        <v/>
      </c>
      <c r="BB22" s="1118" t="str">
        <f>IFERROR(AH22/M02S02F35/AO22,"")</f>
        <v/>
      </c>
      <c r="BC22" s="1118" t="str">
        <f>IFERROR(IF((Q22*S22)-(Z22*AB22)&lt;=0,MEASURESAV,IF(M02S02F35="",MEASURERATE, IF(AH22/M02S02F35/AO22&lt;1,MEASUREPAY,IF(AU22&lt;1,MEASURECB,"")))),MEASURESUBMIT)</f>
        <v>Submit for Review</v>
      </c>
    </row>
    <row r="23" spans="2:55" ht="15.95" customHeight="1" x14ac:dyDescent="0.25">
      <c r="B23" s="1063"/>
      <c r="C23" s="1104"/>
      <c r="D23" s="1104"/>
      <c r="E23" s="1104"/>
      <c r="F23" s="1112"/>
      <c r="G23" s="1112"/>
      <c r="H23" s="1112"/>
      <c r="I23" s="1112"/>
      <c r="J23" s="1112"/>
      <c r="K23" s="1112"/>
      <c r="L23" s="1112"/>
      <c r="M23" s="1112"/>
      <c r="N23" s="1112"/>
      <c r="O23" s="1112"/>
      <c r="P23" s="1112"/>
      <c r="Q23" s="1106"/>
      <c r="R23" s="1106"/>
      <c r="S23" s="1109"/>
      <c r="T23" s="1110"/>
      <c r="U23" s="1033"/>
      <c r="V23" s="1112"/>
      <c r="W23" s="1112"/>
      <c r="X23" s="1112"/>
      <c r="Y23" s="1112"/>
      <c r="Z23" s="1106"/>
      <c r="AA23" s="1106"/>
      <c r="AB23" s="1109"/>
      <c r="AC23" s="1121"/>
      <c r="AD23" s="1051"/>
      <c r="AE23" s="1137"/>
      <c r="AF23" s="1137"/>
      <c r="AG23" s="1138"/>
      <c r="AH23" s="1129"/>
      <c r="AI23" s="1130"/>
      <c r="AJ23" s="1130"/>
      <c r="AK23" s="1132"/>
      <c r="AL23" s="1132"/>
      <c r="AM23" s="1132"/>
      <c r="AN23" s="1132"/>
      <c r="AO23" s="1134"/>
      <c r="AP23" s="1134"/>
      <c r="AQ23" s="1134"/>
      <c r="AR23" s="135"/>
      <c r="AS23" s="145"/>
      <c r="AT23" s="145"/>
      <c r="AU23" s="1125"/>
      <c r="AV23" s="1142"/>
      <c r="AW23" s="988"/>
      <c r="AX23" s="1127"/>
      <c r="AY23" s="1123"/>
      <c r="AZ23" s="1119"/>
      <c r="BA23" s="1119"/>
      <c r="BB23" s="1119"/>
      <c r="BC23" s="1119"/>
    </row>
    <row r="24" spans="2:55" ht="15.95" customHeight="1" x14ac:dyDescent="0.25">
      <c r="B24" s="1063">
        <v>5</v>
      </c>
      <c r="C24" s="1103"/>
      <c r="D24" s="1103"/>
      <c r="E24" s="1103"/>
      <c r="F24" s="1111"/>
      <c r="G24" s="1111"/>
      <c r="H24" s="1111"/>
      <c r="I24" s="1111"/>
      <c r="J24" s="1111"/>
      <c r="K24" s="1111"/>
      <c r="L24" s="1111"/>
      <c r="M24" s="1111"/>
      <c r="N24" s="1111"/>
      <c r="O24" s="1111"/>
      <c r="P24" s="1111"/>
      <c r="Q24" s="1105"/>
      <c r="R24" s="1105"/>
      <c r="S24" s="1107"/>
      <c r="T24" s="1108"/>
      <c r="U24" s="1030"/>
      <c r="V24" s="1111"/>
      <c r="W24" s="1111"/>
      <c r="X24" s="1111"/>
      <c r="Y24" s="1111"/>
      <c r="Z24" s="1105"/>
      <c r="AA24" s="1105"/>
      <c r="AB24" s="1107"/>
      <c r="AC24" s="1120"/>
      <c r="AD24" s="1049"/>
      <c r="AE24" s="1135"/>
      <c r="AF24" s="1135"/>
      <c r="AG24" s="1136"/>
      <c r="AH24" s="1027" t="str">
        <f t="shared" ref="AH24" si="9">IF(OR(C24="",F24="",L24="",Q24="",S24="",U24="",Z24="",AB24="",AD24="",AF24=""),"",ROUND(AD24+AF24,2))</f>
        <v/>
      </c>
      <c r="AI24" s="1128"/>
      <c r="AJ24" s="1128"/>
      <c r="AK24" s="1131" t="str">
        <f t="shared" ref="AK24" si="10">IF(OR(C24="",F24="",L24="",Q24="",S24="",U24="",Z24="",AB24="",AD24="",AF24=""),"",IF(BC24&lt;&gt;"",BC24,IF(C24="New/Replace Failed Equip.",BA24,AZ24)))</f>
        <v/>
      </c>
      <c r="AL24" s="1131"/>
      <c r="AM24" s="1131"/>
      <c r="AN24" s="1131"/>
      <c r="AO24" s="1133" t="str">
        <f t="shared" ref="AO24" si="11">IF(OR(C24="",F24="",L24="",Q24="",S24="",U24="",Z24="",AB24="",AD24="",AF24=""),"",IF((Q24*S24)-(Z24*AB24)&lt;=0,0,ROUND((Q24*S24)-(Z24*AB24),0)))</f>
        <v/>
      </c>
      <c r="AP24" s="1133"/>
      <c r="AQ24" s="1133"/>
      <c r="AR24" s="135"/>
      <c r="AS24" s="145"/>
      <c r="AT24" s="145"/>
      <c r="AU24" s="1124" t="str">
        <f>IFERROR(IF(OR(C24="",F24="",L24="",Q24="",S24="",U24="",Z24="",AB24="",AD24="",AF24=""),"",((1+ELOSS)*PEAKTD*(1+INDEX(ELECCB[Capacity Reserve Margin],MATCH(AX24,ELECCB[Year Number],0)))*((AO24*INDEX(ELECCB[NPV AEC $/kWh],MATCH(AX24,ELECCB[Year Number],1)))+(AV24*INDEX(ELECCB[NPV ACC+T&amp;D $/kW],MATCH(AX24,ELECCB[Year Number],1))))/AH24)),0)</f>
        <v/>
      </c>
      <c r="AV24" s="1141" t="str">
        <f>IF(OR(C24="",F24="",L24="",Q24="",S24="",U24="",Z24="",AB24="",AD24="",AF24=""),"",ROUND(AO24*INDEX(ENDUSEALL[Factor],MATCH(AW24,ENDUSEALL[End Use to Coincident Peak Demand Factors],0)),4))</f>
        <v/>
      </c>
      <c r="AW24" s="987" t="str">
        <f>IF(OR(C24="",F24="",L24="",Q24="",S24="",U24="",Z24="",AB24="",AD24="",AF24=""),"",INDEX(CMEMISC[End Use Category],MATCH(F24,CMEMISC[Proj Desc 1],0)))</f>
        <v/>
      </c>
      <c r="AX24" s="1126" t="str">
        <f>IF(OR(C24="",F24="",L24="",Q24="",S24="",U24="",Z24="",AB24="",AD24="",AF24=""),"",INDEX(CMEMISC[EUL],MATCH(F24,CMEMISC[Proj Desc 1],0)))</f>
        <v/>
      </c>
      <c r="AY24" s="1122" t="str">
        <f>IF(OR(C24="",F24="",L24="",Q24="",S24="",U24="",Z24="",AB24="",AD24="",AF24=""),"",INDEX(CMEMISC[Measure Number],MATCH(F24,CMEMISC[Proj Desc 1],0)))</f>
        <v/>
      </c>
      <c r="AZ24" s="1118" t="str">
        <f>IFERROR(ROUND(MIN(AH24*0.5,AO24*INDEX(ENDUSEALL[Inc Rate],MATCH(AW24,ENDUSEALL[End Use to Coincident Peak Demand Factors],0))),2),"")</f>
        <v/>
      </c>
      <c r="BA24" s="1118" t="str">
        <f>IFERROR(ROUND(MIN(AH24,AO24*INDEX(ENDUSEALL[Inc Rate],MATCH(AW24,ENDUSEALL[End Use to Coincident Peak Demand Factors],0))),2),"")</f>
        <v/>
      </c>
      <c r="BB24" s="1118" t="str">
        <f>IFERROR(AH24/M02S02F35/AO24,"")</f>
        <v/>
      </c>
      <c r="BC24" s="1118" t="str">
        <f>IFERROR(IF((Q24*S24)-(Z24*AB24)&lt;=0,MEASURESAV,IF(M02S02F35="",MEASURERATE, IF(AH24/M02S02F35/AO24&lt;1,MEASUREPAY,IF(AU24&lt;1,MEASURECB,"")))),MEASURESUBMIT)</f>
        <v>Submit for Review</v>
      </c>
    </row>
    <row r="25" spans="2:55" ht="15.95" customHeight="1" x14ac:dyDescent="0.25">
      <c r="B25" s="1063"/>
      <c r="C25" s="1104"/>
      <c r="D25" s="1104"/>
      <c r="E25" s="1104"/>
      <c r="F25" s="1112"/>
      <c r="G25" s="1112"/>
      <c r="H25" s="1112"/>
      <c r="I25" s="1112"/>
      <c r="J25" s="1112"/>
      <c r="K25" s="1112"/>
      <c r="L25" s="1112"/>
      <c r="M25" s="1112"/>
      <c r="N25" s="1112"/>
      <c r="O25" s="1112"/>
      <c r="P25" s="1112"/>
      <c r="Q25" s="1106"/>
      <c r="R25" s="1106"/>
      <c r="S25" s="1109"/>
      <c r="T25" s="1110"/>
      <c r="U25" s="1033"/>
      <c r="V25" s="1112"/>
      <c r="W25" s="1112"/>
      <c r="X25" s="1112"/>
      <c r="Y25" s="1112"/>
      <c r="Z25" s="1106"/>
      <c r="AA25" s="1106"/>
      <c r="AB25" s="1109"/>
      <c r="AC25" s="1121"/>
      <c r="AD25" s="1051"/>
      <c r="AE25" s="1137"/>
      <c r="AF25" s="1137"/>
      <c r="AG25" s="1138"/>
      <c r="AH25" s="1129"/>
      <c r="AI25" s="1130"/>
      <c r="AJ25" s="1130"/>
      <c r="AK25" s="1132"/>
      <c r="AL25" s="1132"/>
      <c r="AM25" s="1132"/>
      <c r="AN25" s="1132"/>
      <c r="AO25" s="1134"/>
      <c r="AP25" s="1134"/>
      <c r="AQ25" s="1134"/>
      <c r="AR25" s="135"/>
      <c r="AS25" s="145"/>
      <c r="AT25" s="145"/>
      <c r="AU25" s="1125"/>
      <c r="AV25" s="1142"/>
      <c r="AW25" s="988"/>
      <c r="AX25" s="1127"/>
      <c r="AY25" s="1123"/>
      <c r="AZ25" s="1119"/>
      <c r="BA25" s="1119"/>
      <c r="BB25" s="1119"/>
      <c r="BC25" s="1119"/>
    </row>
    <row r="26" spans="2:55" ht="15.95" customHeight="1" x14ac:dyDescent="0.25">
      <c r="B26" s="1063">
        <v>6</v>
      </c>
      <c r="C26" s="1103"/>
      <c r="D26" s="1103"/>
      <c r="E26" s="1103"/>
      <c r="F26" s="1111"/>
      <c r="G26" s="1111"/>
      <c r="H26" s="1111"/>
      <c r="I26" s="1111"/>
      <c r="J26" s="1111"/>
      <c r="K26" s="1111"/>
      <c r="L26" s="1111"/>
      <c r="M26" s="1111"/>
      <c r="N26" s="1111"/>
      <c r="O26" s="1111"/>
      <c r="P26" s="1111"/>
      <c r="Q26" s="1105"/>
      <c r="R26" s="1105"/>
      <c r="S26" s="1107"/>
      <c r="T26" s="1108"/>
      <c r="U26" s="1030"/>
      <c r="V26" s="1111"/>
      <c r="W26" s="1111"/>
      <c r="X26" s="1111"/>
      <c r="Y26" s="1111"/>
      <c r="Z26" s="1105"/>
      <c r="AA26" s="1105"/>
      <c r="AB26" s="1107"/>
      <c r="AC26" s="1120"/>
      <c r="AD26" s="1049"/>
      <c r="AE26" s="1135"/>
      <c r="AF26" s="1135"/>
      <c r="AG26" s="1136"/>
      <c r="AH26" s="1027" t="str">
        <f t="shared" ref="AH26" si="12">IF(OR(C26="",F26="",L26="",Q26="",S26="",U26="",Z26="",AB26="",AD26="",AF26=""),"",ROUND(AD26+AF26,2))</f>
        <v/>
      </c>
      <c r="AI26" s="1128"/>
      <c r="AJ26" s="1128"/>
      <c r="AK26" s="1131" t="str">
        <f t="shared" ref="AK26" si="13">IF(OR(C26="",F26="",L26="",Q26="",S26="",U26="",Z26="",AB26="",AD26="",AF26=""),"",IF(BC26&lt;&gt;"",BC26,IF(C26="New/Replace Failed Equip.",BA26,AZ26)))</f>
        <v/>
      </c>
      <c r="AL26" s="1131"/>
      <c r="AM26" s="1131"/>
      <c r="AN26" s="1131"/>
      <c r="AO26" s="1133" t="str">
        <f t="shared" ref="AO26" si="14">IF(OR(C26="",F26="",L26="",Q26="",S26="",U26="",Z26="",AB26="",AD26="",AF26=""),"",IF((Q26*S26)-(Z26*AB26)&lt;=0,0,ROUND((Q26*S26)-(Z26*AB26),0)))</f>
        <v/>
      </c>
      <c r="AP26" s="1133"/>
      <c r="AQ26" s="1133"/>
      <c r="AR26" s="135"/>
      <c r="AS26" s="145"/>
      <c r="AT26" s="145"/>
      <c r="AU26" s="1124" t="str">
        <f>IFERROR(IF(OR(C26="",F26="",L26="",Q26="",S26="",U26="",Z26="",AB26="",AD26="",AF26=""),"",((1+ELOSS)*PEAKTD*(1+INDEX(ELECCB[Capacity Reserve Margin],MATCH(AX26,ELECCB[Year Number],0)))*((AO26*INDEX(ELECCB[NPV AEC $/kWh],MATCH(AX26,ELECCB[Year Number],1)))+(AV26*INDEX(ELECCB[NPV ACC+T&amp;D $/kW],MATCH(AX26,ELECCB[Year Number],1))))/AH26)),0)</f>
        <v/>
      </c>
      <c r="AV26" s="1141" t="str">
        <f>IF(OR(C26="",F26="",L26="",Q26="",S26="",U26="",Z26="",AB26="",AD26="",AF26=""),"",ROUND(AO26*INDEX(ENDUSEALL[Factor],MATCH(AW26,ENDUSEALL[End Use to Coincident Peak Demand Factors],0)),4))</f>
        <v/>
      </c>
      <c r="AW26" s="987" t="str">
        <f>IF(OR(C26="",F26="",L26="",Q26="",S26="",U26="",Z26="",AB26="",AD26="",AF26=""),"",INDEX(CMEMISC[End Use Category],MATCH(F26,CMEMISC[Proj Desc 1],0)))</f>
        <v/>
      </c>
      <c r="AX26" s="1126" t="str">
        <f>IF(OR(C26="",F26="",L26="",Q26="",S26="",U26="",Z26="",AB26="",AD26="",AF26=""),"",INDEX(CMEMISC[EUL],MATCH(F26,CMEMISC[Proj Desc 1],0)))</f>
        <v/>
      </c>
      <c r="AY26" s="1122" t="str">
        <f>IF(OR(C26="",F26="",L26="",Q26="",S26="",U26="",Z26="",AB26="",AD26="",AF26=""),"",INDEX(CMEMISC[Measure Number],MATCH(F26,CMEMISC[Proj Desc 1],0)))</f>
        <v/>
      </c>
      <c r="AZ26" s="1118" t="str">
        <f>IFERROR(ROUND(MIN(AH26*0.5,AO26*INDEX(ENDUSEALL[Inc Rate],MATCH(AW26,ENDUSEALL[End Use to Coincident Peak Demand Factors],0))),2),"")</f>
        <v/>
      </c>
      <c r="BA26" s="1118" t="str">
        <f>IFERROR(ROUND(MIN(AH26,AO26*INDEX(ENDUSEALL[Inc Rate],MATCH(AW26,ENDUSEALL[End Use to Coincident Peak Demand Factors],0))),2),"")</f>
        <v/>
      </c>
      <c r="BB26" s="1118" t="str">
        <f>IFERROR(AH26/M02S02F35/AO26,"")</f>
        <v/>
      </c>
      <c r="BC26" s="1118" t="str">
        <f>IFERROR(IF((Q26*S26)-(Z26*AB26)&lt;=0,MEASURESAV,IF(M02S02F35="",MEASURERATE, IF(AH26/M02S02F35/AO26&lt;1,MEASUREPAY,IF(AU26&lt;1,MEASURECB,"")))),MEASURESUBMIT)</f>
        <v>Submit for Review</v>
      </c>
    </row>
    <row r="27" spans="2:55" ht="15.95" customHeight="1" x14ac:dyDescent="0.25">
      <c r="B27" s="1063"/>
      <c r="C27" s="1104"/>
      <c r="D27" s="1104"/>
      <c r="E27" s="1104"/>
      <c r="F27" s="1112"/>
      <c r="G27" s="1112"/>
      <c r="H27" s="1112"/>
      <c r="I27" s="1112"/>
      <c r="J27" s="1112"/>
      <c r="K27" s="1112"/>
      <c r="L27" s="1112"/>
      <c r="M27" s="1112"/>
      <c r="N27" s="1112"/>
      <c r="O27" s="1112"/>
      <c r="P27" s="1112"/>
      <c r="Q27" s="1106"/>
      <c r="R27" s="1106"/>
      <c r="S27" s="1109"/>
      <c r="T27" s="1110"/>
      <c r="U27" s="1033"/>
      <c r="V27" s="1112"/>
      <c r="W27" s="1112"/>
      <c r="X27" s="1112"/>
      <c r="Y27" s="1112"/>
      <c r="Z27" s="1106"/>
      <c r="AA27" s="1106"/>
      <c r="AB27" s="1109"/>
      <c r="AC27" s="1121"/>
      <c r="AD27" s="1051"/>
      <c r="AE27" s="1137"/>
      <c r="AF27" s="1137"/>
      <c r="AG27" s="1138"/>
      <c r="AH27" s="1129"/>
      <c r="AI27" s="1130"/>
      <c r="AJ27" s="1130"/>
      <c r="AK27" s="1132"/>
      <c r="AL27" s="1132"/>
      <c r="AM27" s="1132"/>
      <c r="AN27" s="1132"/>
      <c r="AO27" s="1134"/>
      <c r="AP27" s="1134"/>
      <c r="AQ27" s="1134"/>
      <c r="AR27" s="135"/>
      <c r="AS27" s="145"/>
      <c r="AT27" s="145"/>
      <c r="AU27" s="1125"/>
      <c r="AV27" s="1142"/>
      <c r="AW27" s="988"/>
      <c r="AX27" s="1127"/>
      <c r="AY27" s="1123"/>
      <c r="AZ27" s="1119"/>
      <c r="BA27" s="1119"/>
      <c r="BB27" s="1119"/>
      <c r="BC27" s="1119"/>
    </row>
    <row r="28" spans="2:55" ht="15.95" customHeight="1" x14ac:dyDescent="0.25">
      <c r="B28" s="1063">
        <v>7</v>
      </c>
      <c r="C28" s="1103"/>
      <c r="D28" s="1103"/>
      <c r="E28" s="1103"/>
      <c r="F28" s="1111"/>
      <c r="G28" s="1111"/>
      <c r="H28" s="1111"/>
      <c r="I28" s="1111"/>
      <c r="J28" s="1111"/>
      <c r="K28" s="1111"/>
      <c r="L28" s="1111"/>
      <c r="M28" s="1111"/>
      <c r="N28" s="1111"/>
      <c r="O28" s="1111"/>
      <c r="P28" s="1111"/>
      <c r="Q28" s="1105"/>
      <c r="R28" s="1105"/>
      <c r="S28" s="1107"/>
      <c r="T28" s="1108"/>
      <c r="U28" s="1030"/>
      <c r="V28" s="1111"/>
      <c r="W28" s="1111"/>
      <c r="X28" s="1111"/>
      <c r="Y28" s="1111"/>
      <c r="Z28" s="1105"/>
      <c r="AA28" s="1105"/>
      <c r="AB28" s="1107"/>
      <c r="AC28" s="1120"/>
      <c r="AD28" s="1049"/>
      <c r="AE28" s="1135"/>
      <c r="AF28" s="1135"/>
      <c r="AG28" s="1136"/>
      <c r="AH28" s="1027" t="str">
        <f t="shared" ref="AH28" si="15">IF(OR(C28="",F28="",L28="",Q28="",S28="",U28="",Z28="",AB28="",AD28="",AF28=""),"",ROUND(AD28+AF28,2))</f>
        <v/>
      </c>
      <c r="AI28" s="1128"/>
      <c r="AJ28" s="1128"/>
      <c r="AK28" s="1131" t="str">
        <f t="shared" ref="AK28" si="16">IF(OR(C28="",F28="",L28="",Q28="",S28="",U28="",Z28="",AB28="",AD28="",AF28=""),"",IF(BC28&lt;&gt;"",BC28,IF(C28="New/Replace Failed Equip.",BA28,AZ28)))</f>
        <v/>
      </c>
      <c r="AL28" s="1131"/>
      <c r="AM28" s="1131"/>
      <c r="AN28" s="1131"/>
      <c r="AO28" s="1133" t="str">
        <f t="shared" ref="AO28" si="17">IF(OR(C28="",F28="",L28="",Q28="",S28="",U28="",Z28="",AB28="",AD28="",AF28=""),"",IF((Q28*S28)-(Z28*AB28)&lt;=0,0,ROUND((Q28*S28)-(Z28*AB28),0)))</f>
        <v/>
      </c>
      <c r="AP28" s="1133"/>
      <c r="AQ28" s="1133"/>
      <c r="AR28" s="135"/>
      <c r="AS28" s="145"/>
      <c r="AT28" s="145"/>
      <c r="AU28" s="1124" t="str">
        <f>IFERROR(IF(OR(C28="",F28="",L28="",Q28="",S28="",U28="",Z28="",AB28="",AD28="",AF28=""),"",((1+ELOSS)*PEAKTD*(1+INDEX(ELECCB[Capacity Reserve Margin],MATCH(AX28,ELECCB[Year Number],0)))*((AO28*INDEX(ELECCB[NPV AEC $/kWh],MATCH(AX28,ELECCB[Year Number],1)))+(AV28*INDEX(ELECCB[NPV ACC+T&amp;D $/kW],MATCH(AX28,ELECCB[Year Number],1))))/AH28)),0)</f>
        <v/>
      </c>
      <c r="AV28" s="1141" t="str">
        <f>IF(OR(C28="",F28="",L28="",Q28="",S28="",U28="",Z28="",AB28="",AD28="",AF28=""),"",ROUND(AO28*INDEX(ENDUSEALL[Factor],MATCH(AW28,ENDUSEALL[End Use to Coincident Peak Demand Factors],0)),4))</f>
        <v/>
      </c>
      <c r="AW28" s="987" t="str">
        <f>IF(OR(C28="",F28="",L28="",Q28="",S28="",U28="",Z28="",AB28="",AD28="",AF28=""),"",INDEX(CMEMISC[End Use Category],MATCH(F28,CMEMISC[Proj Desc 1],0)))</f>
        <v/>
      </c>
      <c r="AX28" s="1126" t="str">
        <f>IF(OR(C28="",F28="",L28="",Q28="",S28="",U28="",Z28="",AB28="",AD28="",AF28=""),"",INDEX(CMEMISC[EUL],MATCH(F28,CMEMISC[Proj Desc 1],0)))</f>
        <v/>
      </c>
      <c r="AY28" s="1122" t="str">
        <f>IF(OR(C28="",F28="",L28="",Q28="",S28="",U28="",Z28="",AB28="",AD28="",AF28=""),"",INDEX(CMEMISC[Measure Number],MATCH(F28,CMEMISC[Proj Desc 1],0)))</f>
        <v/>
      </c>
      <c r="AZ28" s="1118" t="str">
        <f>IFERROR(ROUND(MIN(AH28*0.5,AO28*INDEX(ENDUSEALL[Inc Rate],MATCH(AW28,ENDUSEALL[End Use to Coincident Peak Demand Factors],0))),2),"")</f>
        <v/>
      </c>
      <c r="BA28" s="1118" t="str">
        <f>IFERROR(ROUND(MIN(AH28,AO28*INDEX(ENDUSEALL[Inc Rate],MATCH(AW28,ENDUSEALL[End Use to Coincident Peak Demand Factors],0))),2),"")</f>
        <v/>
      </c>
      <c r="BB28" s="1118" t="str">
        <f>IFERROR(AH28/M02S02F35/AO28,"")</f>
        <v/>
      </c>
      <c r="BC28" s="1118" t="str">
        <f>IFERROR(IF((Q28*S28)-(Z28*AB28)&lt;=0,MEASURESAV,IF(M02S02F35="",MEASURERATE, IF(AH28/M02S02F35/AO28&lt;1,MEASUREPAY,IF(AU28&lt;1,MEASURECB,"")))),MEASURESUBMIT)</f>
        <v>Submit for Review</v>
      </c>
    </row>
    <row r="29" spans="2:55" ht="15.95" customHeight="1" x14ac:dyDescent="0.25">
      <c r="B29" s="1063"/>
      <c r="C29" s="1104"/>
      <c r="D29" s="1104"/>
      <c r="E29" s="1104"/>
      <c r="F29" s="1112"/>
      <c r="G29" s="1112"/>
      <c r="H29" s="1112"/>
      <c r="I29" s="1112"/>
      <c r="J29" s="1112"/>
      <c r="K29" s="1112"/>
      <c r="L29" s="1112"/>
      <c r="M29" s="1112"/>
      <c r="N29" s="1112"/>
      <c r="O29" s="1112"/>
      <c r="P29" s="1112"/>
      <c r="Q29" s="1106"/>
      <c r="R29" s="1106"/>
      <c r="S29" s="1109"/>
      <c r="T29" s="1110"/>
      <c r="U29" s="1033"/>
      <c r="V29" s="1112"/>
      <c r="W29" s="1112"/>
      <c r="X29" s="1112"/>
      <c r="Y29" s="1112"/>
      <c r="Z29" s="1106"/>
      <c r="AA29" s="1106"/>
      <c r="AB29" s="1109"/>
      <c r="AC29" s="1121"/>
      <c r="AD29" s="1051"/>
      <c r="AE29" s="1137"/>
      <c r="AF29" s="1137"/>
      <c r="AG29" s="1138"/>
      <c r="AH29" s="1129"/>
      <c r="AI29" s="1130"/>
      <c r="AJ29" s="1130"/>
      <c r="AK29" s="1132"/>
      <c r="AL29" s="1132"/>
      <c r="AM29" s="1132"/>
      <c r="AN29" s="1132"/>
      <c r="AO29" s="1134"/>
      <c r="AP29" s="1134"/>
      <c r="AQ29" s="1134"/>
      <c r="AR29" s="135"/>
      <c r="AS29" s="145"/>
      <c r="AT29" s="145"/>
      <c r="AU29" s="1125"/>
      <c r="AV29" s="1142"/>
      <c r="AW29" s="988"/>
      <c r="AX29" s="1127"/>
      <c r="AY29" s="1123"/>
      <c r="AZ29" s="1119"/>
      <c r="BA29" s="1119"/>
      <c r="BB29" s="1119"/>
      <c r="BC29" s="1119"/>
    </row>
    <row r="30" spans="2:55" ht="15.95" customHeight="1" x14ac:dyDescent="0.25">
      <c r="B30" s="1063">
        <v>8</v>
      </c>
      <c r="C30" s="1103"/>
      <c r="D30" s="1103"/>
      <c r="E30" s="1103"/>
      <c r="F30" s="1111"/>
      <c r="G30" s="1111"/>
      <c r="H30" s="1111"/>
      <c r="I30" s="1111"/>
      <c r="J30" s="1111"/>
      <c r="K30" s="1111"/>
      <c r="L30" s="1111"/>
      <c r="M30" s="1111"/>
      <c r="N30" s="1111"/>
      <c r="O30" s="1111"/>
      <c r="P30" s="1111"/>
      <c r="Q30" s="1105"/>
      <c r="R30" s="1105"/>
      <c r="S30" s="1107"/>
      <c r="T30" s="1108"/>
      <c r="U30" s="1030"/>
      <c r="V30" s="1111"/>
      <c r="W30" s="1111"/>
      <c r="X30" s="1111"/>
      <c r="Y30" s="1111"/>
      <c r="Z30" s="1105"/>
      <c r="AA30" s="1105"/>
      <c r="AB30" s="1107"/>
      <c r="AC30" s="1120"/>
      <c r="AD30" s="1049"/>
      <c r="AE30" s="1135"/>
      <c r="AF30" s="1135"/>
      <c r="AG30" s="1136"/>
      <c r="AH30" s="1027" t="str">
        <f t="shared" ref="AH30" si="18">IF(OR(C30="",F30="",L30="",Q30="",S30="",U30="",Z30="",AB30="",AD30="",AF30=""),"",ROUND(AD30+AF30,2))</f>
        <v/>
      </c>
      <c r="AI30" s="1128"/>
      <c r="AJ30" s="1128"/>
      <c r="AK30" s="1131" t="str">
        <f t="shared" ref="AK30" si="19">IF(OR(C30="",F30="",L30="",Q30="",S30="",U30="",Z30="",AB30="",AD30="",AF30=""),"",IF(BC30&lt;&gt;"",BC30,IF(C30="New/Replace Failed Equip.",BA30,AZ30)))</f>
        <v/>
      </c>
      <c r="AL30" s="1131"/>
      <c r="AM30" s="1131"/>
      <c r="AN30" s="1131"/>
      <c r="AO30" s="1133" t="str">
        <f t="shared" ref="AO30" si="20">IF(OR(C30="",F30="",L30="",Q30="",S30="",U30="",Z30="",AB30="",AD30="",AF30=""),"",IF((Q30*S30)-(Z30*AB30)&lt;=0,0,ROUND((Q30*S30)-(Z30*AB30),0)))</f>
        <v/>
      </c>
      <c r="AP30" s="1133"/>
      <c r="AQ30" s="1133"/>
      <c r="AR30" s="135"/>
      <c r="AS30" s="145"/>
      <c r="AT30" s="145"/>
      <c r="AU30" s="1124" t="str">
        <f>IFERROR(IF(OR(C30="",F30="",L30="",Q30="",S30="",U30="",Z30="",AB30="",AD30="",AF30=""),"",((1+ELOSS)*PEAKTD*(1+INDEX(ELECCB[Capacity Reserve Margin],MATCH(AX30,ELECCB[Year Number],0)))*((AO30*INDEX(ELECCB[NPV AEC $/kWh],MATCH(AX30,ELECCB[Year Number],1)))+(AV30*INDEX(ELECCB[NPV ACC+T&amp;D $/kW],MATCH(AX30,ELECCB[Year Number],1))))/AH30)),0)</f>
        <v/>
      </c>
      <c r="AV30" s="1141" t="str">
        <f>IF(OR(C30="",F30="",L30="",Q30="",S30="",U30="",Z30="",AB30="",AD30="",AF30=""),"",ROUND(AO30*INDEX(ENDUSEALL[Factor],MATCH(AW30,ENDUSEALL[End Use to Coincident Peak Demand Factors],0)),4))</f>
        <v/>
      </c>
      <c r="AW30" s="987" t="str">
        <f>IF(OR(C30="",F30="",L30="",Q30="",S30="",U30="",Z30="",AB30="",AD30="",AF30=""),"",INDEX(CMEMISC[End Use Category],MATCH(F30,CMEMISC[Proj Desc 1],0)))</f>
        <v/>
      </c>
      <c r="AX30" s="1126" t="str">
        <f>IF(OR(C30="",F30="",L30="",Q30="",S30="",U30="",Z30="",AB30="",AD30="",AF30=""),"",INDEX(CMEMISC[EUL],MATCH(F30,CMEMISC[Proj Desc 1],0)))</f>
        <v/>
      </c>
      <c r="AY30" s="1122" t="str">
        <f>IF(OR(C30="",F30="",L30="",Q30="",S30="",U30="",Z30="",AB30="",AD30="",AF30=""),"",INDEX(CMEMISC[Measure Number],MATCH(F30,CMEMISC[Proj Desc 1],0)))</f>
        <v/>
      </c>
      <c r="AZ30" s="1118" t="str">
        <f>IFERROR(ROUND(MIN(AH30*0.5,AO30*INDEX(ENDUSEALL[Inc Rate],MATCH(AW30,ENDUSEALL[End Use to Coincident Peak Demand Factors],0))),2),"")</f>
        <v/>
      </c>
      <c r="BA30" s="1118" t="str">
        <f>IFERROR(ROUND(MIN(AH30,AO30*INDEX(ENDUSEALL[Inc Rate],MATCH(AW30,ENDUSEALL[End Use to Coincident Peak Demand Factors],0))),2),"")</f>
        <v/>
      </c>
      <c r="BB30" s="1118" t="str">
        <f>IFERROR(AH30/M02S02F35/AO30,"")</f>
        <v/>
      </c>
      <c r="BC30" s="1118" t="str">
        <f>IFERROR(IF((Q30*S30)-(Z30*AB30)&lt;=0,MEASURESAV,IF(M02S02F35="",MEASURERATE, IF(AH30/M02S02F35/AO30&lt;1,MEASUREPAY,IF(AU30&lt;1,MEASURECB,"")))),MEASURESUBMIT)</f>
        <v>Submit for Review</v>
      </c>
    </row>
    <row r="31" spans="2:55" ht="15.95" customHeight="1" x14ac:dyDescent="0.25">
      <c r="B31" s="1063"/>
      <c r="C31" s="1104"/>
      <c r="D31" s="1104"/>
      <c r="E31" s="1104"/>
      <c r="F31" s="1112"/>
      <c r="G31" s="1112"/>
      <c r="H31" s="1112"/>
      <c r="I31" s="1112"/>
      <c r="J31" s="1112"/>
      <c r="K31" s="1112"/>
      <c r="L31" s="1112"/>
      <c r="M31" s="1112"/>
      <c r="N31" s="1112"/>
      <c r="O31" s="1112"/>
      <c r="P31" s="1112"/>
      <c r="Q31" s="1106"/>
      <c r="R31" s="1106"/>
      <c r="S31" s="1109"/>
      <c r="T31" s="1110"/>
      <c r="U31" s="1033"/>
      <c r="V31" s="1112"/>
      <c r="W31" s="1112"/>
      <c r="X31" s="1112"/>
      <c r="Y31" s="1112"/>
      <c r="Z31" s="1106"/>
      <c r="AA31" s="1106"/>
      <c r="AB31" s="1109"/>
      <c r="AC31" s="1121"/>
      <c r="AD31" s="1051"/>
      <c r="AE31" s="1137"/>
      <c r="AF31" s="1137"/>
      <c r="AG31" s="1138"/>
      <c r="AH31" s="1129"/>
      <c r="AI31" s="1130"/>
      <c r="AJ31" s="1130"/>
      <c r="AK31" s="1132"/>
      <c r="AL31" s="1132"/>
      <c r="AM31" s="1132"/>
      <c r="AN31" s="1132"/>
      <c r="AO31" s="1134"/>
      <c r="AP31" s="1134"/>
      <c r="AQ31" s="1134"/>
      <c r="AR31" s="135"/>
      <c r="AS31" s="145"/>
      <c r="AT31" s="145"/>
      <c r="AU31" s="1125"/>
      <c r="AV31" s="1142"/>
      <c r="AW31" s="988"/>
      <c r="AX31" s="1127"/>
      <c r="AY31" s="1123"/>
      <c r="AZ31" s="1119"/>
      <c r="BA31" s="1119"/>
      <c r="BB31" s="1119"/>
      <c r="BC31" s="1119"/>
    </row>
    <row r="32" spans="2:55" ht="15.95" customHeight="1" x14ac:dyDescent="0.25">
      <c r="B32" s="1063">
        <v>9</v>
      </c>
      <c r="C32" s="1103"/>
      <c r="D32" s="1103"/>
      <c r="E32" s="1103"/>
      <c r="F32" s="1111"/>
      <c r="G32" s="1111"/>
      <c r="H32" s="1111"/>
      <c r="I32" s="1111"/>
      <c r="J32" s="1111"/>
      <c r="K32" s="1111"/>
      <c r="L32" s="1111"/>
      <c r="M32" s="1111"/>
      <c r="N32" s="1111"/>
      <c r="O32" s="1111"/>
      <c r="P32" s="1111"/>
      <c r="Q32" s="1105"/>
      <c r="R32" s="1105"/>
      <c r="S32" s="1107"/>
      <c r="T32" s="1108"/>
      <c r="U32" s="1030"/>
      <c r="V32" s="1111"/>
      <c r="W32" s="1111"/>
      <c r="X32" s="1111"/>
      <c r="Y32" s="1111"/>
      <c r="Z32" s="1105"/>
      <c r="AA32" s="1105"/>
      <c r="AB32" s="1107"/>
      <c r="AC32" s="1120"/>
      <c r="AD32" s="1049"/>
      <c r="AE32" s="1135"/>
      <c r="AF32" s="1135"/>
      <c r="AG32" s="1136"/>
      <c r="AH32" s="1027" t="str">
        <f t="shared" ref="AH32" si="21">IF(OR(C32="",F32="",L32="",Q32="",S32="",U32="",Z32="",AB32="",AD32="",AF32=""),"",ROUND(AD32+AF32,2))</f>
        <v/>
      </c>
      <c r="AI32" s="1128"/>
      <c r="AJ32" s="1128"/>
      <c r="AK32" s="1131" t="str">
        <f t="shared" ref="AK32" si="22">IF(OR(C32="",F32="",L32="",Q32="",S32="",U32="",Z32="",AB32="",AD32="",AF32=""),"",IF(BC32&lt;&gt;"",BC32,IF(C32="New/Replace Failed Equip.",BA32,AZ32)))</f>
        <v/>
      </c>
      <c r="AL32" s="1131"/>
      <c r="AM32" s="1131"/>
      <c r="AN32" s="1131"/>
      <c r="AO32" s="1133" t="str">
        <f t="shared" ref="AO32" si="23">IF(OR(C32="",F32="",L32="",Q32="",S32="",U32="",Z32="",AB32="",AD32="",AF32=""),"",IF((Q32*S32)-(Z32*AB32)&lt;=0,0,ROUND((Q32*S32)-(Z32*AB32),0)))</f>
        <v/>
      </c>
      <c r="AP32" s="1133"/>
      <c r="AQ32" s="1133"/>
      <c r="AR32" s="135"/>
      <c r="AS32" s="145"/>
      <c r="AT32" s="145"/>
      <c r="AU32" s="1124" t="str">
        <f>IFERROR(IF(OR(C32="",F32="",L32="",Q32="",S32="",U32="",Z32="",AB32="",AD32="",AF32=""),"",((1+ELOSS)*PEAKTD*(1+INDEX(ELECCB[Capacity Reserve Margin],MATCH(AX32,ELECCB[Year Number],0)))*((AO32*INDEX(ELECCB[NPV AEC $/kWh],MATCH(AX32,ELECCB[Year Number],1)))+(AV32*INDEX(ELECCB[NPV ACC+T&amp;D $/kW],MATCH(AX32,ELECCB[Year Number],1))))/AH32)),0)</f>
        <v/>
      </c>
      <c r="AV32" s="1141" t="str">
        <f>IF(OR(C32="",F32="",L32="",Q32="",S32="",U32="",Z32="",AB32="",AD32="",AF32=""),"",ROUND(AO32*INDEX(ENDUSEALL[Factor],MATCH(AW32,ENDUSEALL[End Use to Coincident Peak Demand Factors],0)),4))</f>
        <v/>
      </c>
      <c r="AW32" s="987" t="str">
        <f>IF(OR(C32="",F32="",L32="",Q32="",S32="",U32="",Z32="",AB32="",AD32="",AF32=""),"",INDEX(CMEMISC[End Use Category],MATCH(F32,CMEMISC[Proj Desc 1],0)))</f>
        <v/>
      </c>
      <c r="AX32" s="1126" t="str">
        <f>IF(OR(C32="",F32="",L32="",Q32="",S32="",U32="",Z32="",AB32="",AD32="",AF32=""),"",INDEX(CMEMISC[EUL],MATCH(F32,CMEMISC[Proj Desc 1],0)))</f>
        <v/>
      </c>
      <c r="AY32" s="1122" t="str">
        <f>IF(OR(C32="",F32="",L32="",Q32="",S32="",U32="",Z32="",AB32="",AD32="",AF32=""),"",INDEX(CMEMISC[Measure Number],MATCH(F32,CMEMISC[Proj Desc 1],0)))</f>
        <v/>
      </c>
      <c r="AZ32" s="1118" t="str">
        <f>IFERROR(ROUND(MIN(AH32*0.5,AO32*INDEX(ENDUSEALL[Inc Rate],MATCH(AW32,ENDUSEALL[End Use to Coincident Peak Demand Factors],0))),2),"")</f>
        <v/>
      </c>
      <c r="BA32" s="1118" t="str">
        <f>IFERROR(ROUND(MIN(AH32,AO32*INDEX(ENDUSEALL[Inc Rate],MATCH(AW32,ENDUSEALL[End Use to Coincident Peak Demand Factors],0))),2),"")</f>
        <v/>
      </c>
      <c r="BB32" s="1118" t="str">
        <f>IFERROR(AH32/M02S02F35/AO32,"")</f>
        <v/>
      </c>
      <c r="BC32" s="1118" t="str">
        <f>IFERROR(IF((Q32*S32)-(Z32*AB32)&lt;=0,MEASURESAV,IF(M02S02F35="",MEASURERATE, IF(AH32/M02S02F35/AO32&lt;1,MEASUREPAY,IF(AU32&lt;1,MEASURECB,"")))),MEASURESUBMIT)</f>
        <v>Submit for Review</v>
      </c>
    </row>
    <row r="33" spans="2:55" ht="15.95" customHeight="1" x14ac:dyDescent="0.25">
      <c r="B33" s="1063"/>
      <c r="C33" s="1104"/>
      <c r="D33" s="1104"/>
      <c r="E33" s="1104"/>
      <c r="F33" s="1112"/>
      <c r="G33" s="1112"/>
      <c r="H33" s="1112"/>
      <c r="I33" s="1112"/>
      <c r="J33" s="1112"/>
      <c r="K33" s="1112"/>
      <c r="L33" s="1112"/>
      <c r="M33" s="1112"/>
      <c r="N33" s="1112"/>
      <c r="O33" s="1112"/>
      <c r="P33" s="1112"/>
      <c r="Q33" s="1106"/>
      <c r="R33" s="1106"/>
      <c r="S33" s="1109"/>
      <c r="T33" s="1110"/>
      <c r="U33" s="1033"/>
      <c r="V33" s="1112"/>
      <c r="W33" s="1112"/>
      <c r="X33" s="1112"/>
      <c r="Y33" s="1112"/>
      <c r="Z33" s="1106"/>
      <c r="AA33" s="1106"/>
      <c r="AB33" s="1109"/>
      <c r="AC33" s="1121"/>
      <c r="AD33" s="1051"/>
      <c r="AE33" s="1137"/>
      <c r="AF33" s="1137"/>
      <c r="AG33" s="1138"/>
      <c r="AH33" s="1129"/>
      <c r="AI33" s="1130"/>
      <c r="AJ33" s="1130"/>
      <c r="AK33" s="1132"/>
      <c r="AL33" s="1132"/>
      <c r="AM33" s="1132"/>
      <c r="AN33" s="1132"/>
      <c r="AO33" s="1134"/>
      <c r="AP33" s="1134"/>
      <c r="AQ33" s="1134"/>
      <c r="AR33" s="135"/>
      <c r="AS33" s="145"/>
      <c r="AT33" s="145"/>
      <c r="AU33" s="1125"/>
      <c r="AV33" s="1142"/>
      <c r="AW33" s="988"/>
      <c r="AX33" s="1127"/>
      <c r="AY33" s="1123"/>
      <c r="AZ33" s="1119"/>
      <c r="BA33" s="1119"/>
      <c r="BB33" s="1119"/>
      <c r="BC33" s="1119"/>
    </row>
    <row r="34" spans="2:55" ht="15.95" customHeight="1" x14ac:dyDescent="0.25">
      <c r="B34" s="1063">
        <v>10</v>
      </c>
      <c r="C34" s="1103"/>
      <c r="D34" s="1103"/>
      <c r="E34" s="1103"/>
      <c r="F34" s="1111"/>
      <c r="G34" s="1111"/>
      <c r="H34" s="1111"/>
      <c r="I34" s="1111"/>
      <c r="J34" s="1111"/>
      <c r="K34" s="1111"/>
      <c r="L34" s="1111"/>
      <c r="M34" s="1111"/>
      <c r="N34" s="1111"/>
      <c r="O34" s="1111"/>
      <c r="P34" s="1111"/>
      <c r="Q34" s="1105"/>
      <c r="R34" s="1105"/>
      <c r="S34" s="1107"/>
      <c r="T34" s="1108"/>
      <c r="U34" s="1030"/>
      <c r="V34" s="1111"/>
      <c r="W34" s="1111"/>
      <c r="X34" s="1111"/>
      <c r="Y34" s="1111"/>
      <c r="Z34" s="1105"/>
      <c r="AA34" s="1105"/>
      <c r="AB34" s="1107"/>
      <c r="AC34" s="1120"/>
      <c r="AD34" s="1049"/>
      <c r="AE34" s="1135"/>
      <c r="AF34" s="1135"/>
      <c r="AG34" s="1136"/>
      <c r="AH34" s="1027" t="str">
        <f t="shared" ref="AH34" si="24">IF(OR(C34="",F34="",L34="",Q34="",S34="",U34="",Z34="",AB34="",AD34="",AF34=""),"",ROUND(AD34+AF34,2))</f>
        <v/>
      </c>
      <c r="AI34" s="1128"/>
      <c r="AJ34" s="1128"/>
      <c r="AK34" s="1131" t="str">
        <f t="shared" ref="AK34" si="25">IF(OR(C34="",F34="",L34="",Q34="",S34="",U34="",Z34="",AB34="",AD34="",AF34=""),"",IF(BC34&lt;&gt;"",BC34,IF(C34="New/Replace Failed Equip.",BA34,AZ34)))</f>
        <v/>
      </c>
      <c r="AL34" s="1131"/>
      <c r="AM34" s="1131"/>
      <c r="AN34" s="1131"/>
      <c r="AO34" s="1133" t="str">
        <f t="shared" ref="AO34" si="26">IF(OR(C34="",F34="",L34="",Q34="",S34="",U34="",Z34="",AB34="",AD34="",AF34=""),"",IF((Q34*S34)-(Z34*AB34)&lt;=0,0,ROUND((Q34*S34)-(Z34*AB34),0)))</f>
        <v/>
      </c>
      <c r="AP34" s="1133"/>
      <c r="AQ34" s="1133"/>
      <c r="AR34" s="135"/>
      <c r="AS34" s="145"/>
      <c r="AT34" s="145"/>
      <c r="AU34" s="1124" t="str">
        <f>IFERROR(IF(OR(C34="",F34="",L34="",Q34="",S34="",U34="",Z34="",AB34="",AD34="",AF34=""),"",((1+ELOSS)*PEAKTD*(1+INDEX(ELECCB[Capacity Reserve Margin],MATCH(AX34,ELECCB[Year Number],0)))*((AO34*INDEX(ELECCB[NPV AEC $/kWh],MATCH(AX34,ELECCB[Year Number],1)))+(AV34*INDEX(ELECCB[NPV ACC+T&amp;D $/kW],MATCH(AX34,ELECCB[Year Number],1))))/AH34)),0)</f>
        <v/>
      </c>
      <c r="AV34" s="1141" t="str">
        <f>IF(OR(C34="",F34="",L34="",Q34="",S34="",U34="",Z34="",AB34="",AD34="",AF34=""),"",ROUND(AO34*INDEX(ENDUSEALL[Factor],MATCH(AW34,ENDUSEALL[End Use to Coincident Peak Demand Factors],0)),4))</f>
        <v/>
      </c>
      <c r="AW34" s="987" t="str">
        <f>IF(OR(C34="",F34="",L34="",Q34="",S34="",U34="",Z34="",AB34="",AD34="",AF34=""),"",INDEX(CMEMISC[End Use Category],MATCH(F34,CMEMISC[Proj Desc 1],0)))</f>
        <v/>
      </c>
      <c r="AX34" s="1126" t="str">
        <f>IF(OR(C34="",F34="",L34="",Q34="",S34="",U34="",Z34="",AB34="",AD34="",AF34=""),"",INDEX(CMEMISC[EUL],MATCH(F34,CMEMISC[Proj Desc 1],0)))</f>
        <v/>
      </c>
      <c r="AY34" s="1122" t="str">
        <f>IF(OR(C34="",F34="",L34="",Q34="",S34="",U34="",Z34="",AB34="",AD34="",AF34=""),"",INDEX(CMEMISC[Measure Number],MATCH(F34,CMEMISC[Proj Desc 1],0)))</f>
        <v/>
      </c>
      <c r="AZ34" s="1118" t="str">
        <f>IFERROR(ROUND(MIN(AH34*0.5,AO34*INDEX(ENDUSEALL[Inc Rate],MATCH(AW34,ENDUSEALL[End Use to Coincident Peak Demand Factors],0))),2),"")</f>
        <v/>
      </c>
      <c r="BA34" s="1118" t="str">
        <f>IFERROR(ROUND(MIN(AH34,AO34*INDEX(ENDUSEALL[Inc Rate],MATCH(AW34,ENDUSEALL[End Use to Coincident Peak Demand Factors],0))),2),"")</f>
        <v/>
      </c>
      <c r="BB34" s="1118" t="str">
        <f>IFERROR(AH34/M02S02F35/AO34,"")</f>
        <v/>
      </c>
      <c r="BC34" s="1118" t="str">
        <f>IFERROR(IF((Q34*S34)-(Z34*AB34)&lt;=0,MEASURESAV,IF(M02S02F35="",MEASURERATE, IF(AH34/M02S02F35/AO34&lt;1,MEASUREPAY,IF(AU34&lt;1,MEASURECB,"")))),MEASURESUBMIT)</f>
        <v>Submit for Review</v>
      </c>
    </row>
    <row r="35" spans="2:55" ht="15.95" customHeight="1" x14ac:dyDescent="0.25">
      <c r="B35" s="1063"/>
      <c r="C35" s="1104"/>
      <c r="D35" s="1104"/>
      <c r="E35" s="1104"/>
      <c r="F35" s="1112"/>
      <c r="G35" s="1112"/>
      <c r="H35" s="1112"/>
      <c r="I35" s="1112"/>
      <c r="J35" s="1112"/>
      <c r="K35" s="1112"/>
      <c r="L35" s="1112"/>
      <c r="M35" s="1112"/>
      <c r="N35" s="1112"/>
      <c r="O35" s="1112"/>
      <c r="P35" s="1112"/>
      <c r="Q35" s="1106"/>
      <c r="R35" s="1106"/>
      <c r="S35" s="1109"/>
      <c r="T35" s="1110"/>
      <c r="U35" s="1033"/>
      <c r="V35" s="1112"/>
      <c r="W35" s="1112"/>
      <c r="X35" s="1112"/>
      <c r="Y35" s="1112"/>
      <c r="Z35" s="1106"/>
      <c r="AA35" s="1106"/>
      <c r="AB35" s="1109"/>
      <c r="AC35" s="1121"/>
      <c r="AD35" s="1051"/>
      <c r="AE35" s="1137"/>
      <c r="AF35" s="1137"/>
      <c r="AG35" s="1138"/>
      <c r="AH35" s="1129"/>
      <c r="AI35" s="1130"/>
      <c r="AJ35" s="1130"/>
      <c r="AK35" s="1132"/>
      <c r="AL35" s="1132"/>
      <c r="AM35" s="1132"/>
      <c r="AN35" s="1132"/>
      <c r="AO35" s="1134"/>
      <c r="AP35" s="1134"/>
      <c r="AQ35" s="1134"/>
      <c r="AR35" s="135"/>
      <c r="AS35" s="145"/>
      <c r="AT35" s="145"/>
      <c r="AU35" s="1125"/>
      <c r="AV35" s="1142"/>
      <c r="AW35" s="988"/>
      <c r="AX35" s="1127"/>
      <c r="AY35" s="1123"/>
      <c r="AZ35" s="1119"/>
      <c r="BA35" s="1119"/>
      <c r="BB35" s="1119"/>
      <c r="BC35" s="1119"/>
    </row>
    <row r="36" spans="2:55" ht="15.95" hidden="1" customHeight="1" x14ac:dyDescent="0.25">
      <c r="B36" s="1063">
        <v>11</v>
      </c>
      <c r="C36" s="135"/>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row>
    <row r="37" spans="2:55" ht="15.95" hidden="1" customHeight="1" x14ac:dyDescent="0.25">
      <c r="B37" s="1063"/>
      <c r="C37" s="135"/>
      <c r="D37" s="135"/>
      <c r="E37" s="135"/>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row>
    <row r="38" spans="2:55" ht="15.95" hidden="1" customHeight="1" x14ac:dyDescent="0.25">
      <c r="B38" s="1063">
        <v>12</v>
      </c>
      <c r="C38" s="148"/>
      <c r="D38" s="148"/>
      <c r="E38" s="148"/>
      <c r="F38" s="148"/>
      <c r="G38" s="148"/>
      <c r="H38" s="148"/>
      <c r="I38" s="148"/>
      <c r="J38" s="148"/>
      <c r="K38" s="148"/>
      <c r="L38" s="148"/>
      <c r="M38" s="148"/>
      <c r="N38" s="148"/>
      <c r="O38" s="148"/>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35"/>
    </row>
    <row r="39" spans="2:55" ht="15.95" hidden="1" customHeight="1" x14ac:dyDescent="0.25">
      <c r="B39" s="1063"/>
      <c r="C39" s="148"/>
      <c r="D39" s="148"/>
      <c r="E39" s="148"/>
      <c r="F39" s="148"/>
      <c r="G39" s="148"/>
      <c r="H39" s="148"/>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35"/>
    </row>
    <row r="40" spans="2:55" ht="15.95" hidden="1" customHeight="1" x14ac:dyDescent="0.25">
      <c r="B40" s="1063">
        <v>13</v>
      </c>
      <c r="C40" s="148"/>
      <c r="D40" s="148"/>
      <c r="E40" s="148"/>
      <c r="F40" s="148"/>
      <c r="G40" s="148"/>
      <c r="H40" s="148"/>
      <c r="I40" s="148"/>
      <c r="J40" s="148"/>
      <c r="K40" s="148"/>
      <c r="L40" s="148"/>
      <c r="M40" s="148"/>
      <c r="N40" s="148"/>
      <c r="O40" s="148"/>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35"/>
    </row>
    <row r="41" spans="2:55" ht="15.95" hidden="1" customHeight="1" x14ac:dyDescent="0.25">
      <c r="B41" s="1063"/>
      <c r="C41" s="148"/>
      <c r="D41" s="148"/>
      <c r="E41" s="148"/>
      <c r="F41" s="148"/>
      <c r="G41" s="148"/>
      <c r="H41" s="148"/>
      <c r="I41" s="148"/>
      <c r="J41" s="148"/>
      <c r="K41" s="148"/>
      <c r="L41" s="148"/>
      <c r="M41" s="148"/>
      <c r="N41" s="148"/>
      <c r="O41" s="148"/>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35"/>
    </row>
    <row r="42" spans="2:55" ht="15.95" hidden="1" customHeight="1" x14ac:dyDescent="0.25">
      <c r="B42" s="1063">
        <v>14</v>
      </c>
      <c r="C42" s="148"/>
      <c r="D42" s="148"/>
      <c r="E42" s="148"/>
      <c r="F42" s="148"/>
      <c r="G42" s="148"/>
      <c r="H42" s="148"/>
      <c r="I42" s="148"/>
      <c r="J42" s="148"/>
      <c r="K42" s="148"/>
      <c r="L42" s="148"/>
      <c r="M42" s="148"/>
      <c r="N42" s="148"/>
      <c r="O42" s="148"/>
      <c r="P42" s="148"/>
      <c r="Q42" s="148"/>
      <c r="R42" s="148"/>
      <c r="S42" s="148"/>
      <c r="T42" s="148"/>
      <c r="U42" s="148"/>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35"/>
    </row>
    <row r="43" spans="2:55" ht="15.95" hidden="1" customHeight="1" x14ac:dyDescent="0.25">
      <c r="B43" s="1063"/>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35"/>
    </row>
    <row r="44" spans="2:55" ht="15.95" hidden="1" customHeight="1" x14ac:dyDescent="0.25">
      <c r="B44" s="1063">
        <v>15</v>
      </c>
      <c r="C44" s="148"/>
      <c r="D44" s="148"/>
      <c r="E44" s="148"/>
      <c r="F44" s="148"/>
      <c r="G44" s="148"/>
      <c r="H44" s="148"/>
      <c r="I44" s="148"/>
      <c r="J44" s="148"/>
      <c r="K44" s="148"/>
      <c r="L44" s="148"/>
      <c r="M44" s="148"/>
      <c r="N44" s="148"/>
      <c r="O44" s="148"/>
      <c r="P44" s="148"/>
      <c r="Q44" s="148"/>
      <c r="R44" s="148"/>
      <c r="S44" s="148"/>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35"/>
    </row>
    <row r="45" spans="2:55" ht="15.95" hidden="1" customHeight="1" x14ac:dyDescent="0.25">
      <c r="B45" s="1063"/>
      <c r="C45" s="148"/>
      <c r="D45" s="148"/>
      <c r="E45" s="148"/>
      <c r="F45" s="148"/>
      <c r="G45" s="148"/>
      <c r="H45" s="148"/>
      <c r="I45" s="148"/>
      <c r="J45" s="148"/>
      <c r="K45" s="148"/>
      <c r="L45" s="148"/>
      <c r="M45" s="148"/>
      <c r="N45" s="148"/>
      <c r="O45" s="148"/>
      <c r="P45" s="148"/>
      <c r="Q45" s="148"/>
      <c r="R45" s="148"/>
      <c r="S45" s="148"/>
      <c r="T45" s="148"/>
      <c r="U45" s="148"/>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35"/>
    </row>
    <row r="46" spans="2:55" ht="15.95" hidden="1" customHeight="1" x14ac:dyDescent="0.25">
      <c r="B46" s="1063">
        <v>16</v>
      </c>
      <c r="C46" s="148"/>
      <c r="D46" s="148"/>
      <c r="E46" s="148"/>
      <c r="F46" s="148"/>
      <c r="G46" s="148"/>
      <c r="H46" s="148"/>
      <c r="I46" s="148"/>
      <c r="J46" s="148"/>
      <c r="K46" s="148"/>
      <c r="L46" s="148"/>
      <c r="M46" s="148"/>
      <c r="N46" s="148"/>
      <c r="O46" s="148"/>
      <c r="P46" s="148"/>
      <c r="Q46" s="148"/>
      <c r="R46" s="148"/>
      <c r="S46" s="148"/>
      <c r="T46" s="148"/>
      <c r="U46" s="148"/>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35"/>
    </row>
    <row r="47" spans="2:55" ht="15.95" hidden="1" customHeight="1" x14ac:dyDescent="0.25">
      <c r="B47" s="1063"/>
      <c r="C47" s="148"/>
      <c r="D47" s="148"/>
      <c r="E47" s="148"/>
      <c r="F47" s="148"/>
      <c r="G47" s="148"/>
      <c r="H47" s="148"/>
      <c r="I47" s="148"/>
      <c r="J47" s="148"/>
      <c r="K47" s="148"/>
      <c r="L47" s="148"/>
      <c r="M47" s="148"/>
      <c r="N47" s="148"/>
      <c r="O47" s="148"/>
      <c r="P47" s="148"/>
      <c r="Q47" s="148"/>
      <c r="R47" s="148"/>
      <c r="S47" s="148"/>
      <c r="T47" s="148"/>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35"/>
    </row>
    <row r="48" spans="2:55" ht="15.95" hidden="1" customHeight="1" x14ac:dyDescent="0.25">
      <c r="B48" s="1063">
        <v>17</v>
      </c>
      <c r="C48" s="148"/>
      <c r="D48" s="148"/>
      <c r="E48" s="148"/>
      <c r="F48" s="148"/>
      <c r="G48" s="148"/>
      <c r="H48" s="148"/>
      <c r="I48" s="148"/>
      <c r="J48" s="148"/>
      <c r="K48" s="148"/>
      <c r="L48" s="148"/>
      <c r="M48" s="148"/>
      <c r="N48" s="148"/>
      <c r="O48" s="148"/>
      <c r="P48" s="148"/>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35"/>
    </row>
    <row r="49" spans="2:44" ht="15.95" hidden="1" customHeight="1" x14ac:dyDescent="0.25">
      <c r="B49" s="1063"/>
      <c r="C49" s="148"/>
      <c r="D49" s="148"/>
      <c r="E49" s="148"/>
      <c r="F49" s="148"/>
      <c r="G49" s="148"/>
      <c r="H49" s="148"/>
      <c r="I49" s="148"/>
      <c r="J49" s="148"/>
      <c r="K49" s="148"/>
      <c r="L49" s="148"/>
      <c r="M49" s="148"/>
      <c r="N49" s="148"/>
      <c r="O49" s="148"/>
      <c r="P49" s="148"/>
      <c r="Q49" s="148"/>
      <c r="R49" s="148"/>
      <c r="S49" s="148"/>
      <c r="T49" s="148"/>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35"/>
    </row>
    <row r="50" spans="2:44" ht="15.95" hidden="1" customHeight="1" x14ac:dyDescent="0.25">
      <c r="B50" s="1063">
        <v>18</v>
      </c>
      <c r="C50" s="148"/>
      <c r="D50" s="148"/>
      <c r="E50" s="148"/>
      <c r="F50" s="148"/>
      <c r="G50" s="148"/>
      <c r="H50" s="148"/>
      <c r="I50" s="148"/>
      <c r="J50" s="148"/>
      <c r="K50" s="148"/>
      <c r="L50" s="148"/>
      <c r="M50" s="148"/>
      <c r="N50" s="148"/>
      <c r="O50" s="148"/>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35"/>
    </row>
    <row r="51" spans="2:44" ht="15.95" hidden="1" customHeight="1" x14ac:dyDescent="0.25">
      <c r="B51" s="1063"/>
      <c r="C51" s="148"/>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35"/>
    </row>
    <row r="52" spans="2:44" ht="15.95" hidden="1" customHeight="1" x14ac:dyDescent="0.25">
      <c r="B52" s="1063">
        <v>19</v>
      </c>
      <c r="C52" s="148"/>
      <c r="D52" s="148"/>
      <c r="E52" s="148"/>
      <c r="F52" s="148"/>
      <c r="G52" s="148"/>
      <c r="H52" s="148"/>
      <c r="I52" s="148"/>
      <c r="J52" s="148"/>
      <c r="K52" s="148"/>
      <c r="L52" s="148"/>
      <c r="M52" s="148"/>
      <c r="N52" s="148"/>
      <c r="O52" s="148"/>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35"/>
    </row>
    <row r="53" spans="2:44" ht="15.95" hidden="1" customHeight="1" x14ac:dyDescent="0.25">
      <c r="B53" s="1063"/>
      <c r="C53" s="148"/>
      <c r="D53" s="148"/>
      <c r="E53" s="148"/>
      <c r="F53" s="148"/>
      <c r="G53" s="148"/>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35"/>
    </row>
    <row r="54" spans="2:44" ht="15.95" hidden="1" customHeight="1" x14ac:dyDescent="0.25">
      <c r="B54" s="1063">
        <v>20</v>
      </c>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35"/>
    </row>
    <row r="55" spans="2:44" ht="15.95" hidden="1" customHeight="1" x14ac:dyDescent="0.25">
      <c r="B55" s="1063"/>
      <c r="C55" s="148"/>
      <c r="D55" s="148"/>
      <c r="E55" s="148"/>
      <c r="F55" s="148"/>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35"/>
    </row>
    <row r="56" spans="2:44" ht="15.95" hidden="1" customHeight="1" x14ac:dyDescent="0.25">
      <c r="B56" s="1063">
        <v>21</v>
      </c>
      <c r="C56" s="148"/>
      <c r="D56" s="148"/>
      <c r="E56" s="148"/>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35"/>
    </row>
    <row r="57" spans="2:44" ht="15.95" hidden="1" customHeight="1" x14ac:dyDescent="0.25">
      <c r="B57" s="1063"/>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35"/>
    </row>
    <row r="58" spans="2:44" ht="15.95" hidden="1" customHeight="1" x14ac:dyDescent="0.25">
      <c r="B58" s="1063">
        <v>22</v>
      </c>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35"/>
    </row>
    <row r="59" spans="2:44" ht="15.95" hidden="1" customHeight="1" x14ac:dyDescent="0.25">
      <c r="B59" s="1063"/>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35"/>
    </row>
    <row r="60" spans="2:44" ht="15.95" hidden="1" customHeight="1" x14ac:dyDescent="0.25">
      <c r="B60" s="1063">
        <v>23</v>
      </c>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35"/>
    </row>
    <row r="61" spans="2:44" ht="15.95" hidden="1" customHeight="1" x14ac:dyDescent="0.25">
      <c r="B61" s="1063"/>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35"/>
    </row>
    <row r="62" spans="2:44" ht="15.95" hidden="1" customHeight="1" x14ac:dyDescent="0.25">
      <c r="B62" s="1063">
        <v>24</v>
      </c>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35"/>
    </row>
    <row r="63" spans="2:44" ht="15.95" hidden="1" customHeight="1" x14ac:dyDescent="0.25">
      <c r="B63" s="1063"/>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35"/>
    </row>
    <row r="64" spans="2:44" ht="15.95" hidden="1" customHeight="1" x14ac:dyDescent="0.25">
      <c r="B64" s="1063">
        <v>25</v>
      </c>
      <c r="C64" s="148"/>
      <c r="D64" s="148"/>
      <c r="E64" s="148"/>
      <c r="F64" s="148"/>
      <c r="G64" s="148"/>
      <c r="H64" s="148"/>
      <c r="I64" s="148"/>
      <c r="J64" s="148"/>
      <c r="K64" s="148"/>
      <c r="L64" s="148"/>
      <c r="M64" s="148"/>
      <c r="N64" s="148"/>
      <c r="O64" s="148"/>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35"/>
    </row>
    <row r="65" spans="2:44" ht="15.95" hidden="1" customHeight="1" x14ac:dyDescent="0.25">
      <c r="B65" s="1063"/>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35"/>
    </row>
    <row r="66" spans="2:44" ht="15.95" hidden="1" customHeight="1" x14ac:dyDescent="0.25">
      <c r="B66" s="1063">
        <v>26</v>
      </c>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35"/>
    </row>
    <row r="67" spans="2:44" ht="15.95" hidden="1" customHeight="1" x14ac:dyDescent="0.25">
      <c r="B67" s="1063"/>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35"/>
    </row>
    <row r="68" spans="2:44" ht="15.95" hidden="1" customHeight="1" x14ac:dyDescent="0.25">
      <c r="B68" s="1063">
        <v>27</v>
      </c>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35"/>
    </row>
    <row r="69" spans="2:44" ht="15.95" hidden="1" customHeight="1" x14ac:dyDescent="0.25">
      <c r="B69" s="1063"/>
      <c r="C69" s="148"/>
      <c r="D69" s="148"/>
      <c r="E69" s="148"/>
      <c r="F69" s="148"/>
      <c r="G69" s="148"/>
      <c r="H69" s="148"/>
      <c r="I69" s="148"/>
      <c r="J69" s="148"/>
      <c r="K69" s="148"/>
      <c r="L69" s="148"/>
      <c r="M69" s="148"/>
      <c r="N69" s="148"/>
      <c r="O69" s="148"/>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35"/>
    </row>
    <row r="70" spans="2:44" ht="15.95" hidden="1" customHeight="1" x14ac:dyDescent="0.25">
      <c r="B70" s="1063">
        <v>28</v>
      </c>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35"/>
    </row>
    <row r="71" spans="2:44" ht="15.95" hidden="1" customHeight="1" x14ac:dyDescent="0.25">
      <c r="B71" s="1063"/>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35"/>
    </row>
    <row r="72" spans="2:44" ht="15.95" hidden="1" customHeight="1" x14ac:dyDescent="0.25">
      <c r="B72" s="1063">
        <v>29</v>
      </c>
      <c r="C72" s="148"/>
      <c r="D72" s="148"/>
      <c r="E72" s="148"/>
      <c r="F72" s="148"/>
      <c r="G72" s="148"/>
      <c r="H72" s="148"/>
      <c r="I72" s="148"/>
      <c r="J72" s="148"/>
      <c r="K72" s="148"/>
      <c r="L72" s="148"/>
      <c r="M72" s="148"/>
      <c r="N72" s="148"/>
      <c r="O72" s="148"/>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35"/>
    </row>
    <row r="73" spans="2:44" ht="15.95" hidden="1" customHeight="1" x14ac:dyDescent="0.25">
      <c r="B73" s="1063"/>
      <c r="C73" s="148"/>
      <c r="D73" s="148"/>
      <c r="E73" s="148"/>
      <c r="F73" s="148"/>
      <c r="G73" s="148"/>
      <c r="H73" s="148"/>
      <c r="I73" s="148"/>
      <c r="J73" s="148"/>
      <c r="K73" s="148"/>
      <c r="L73" s="148"/>
      <c r="M73" s="148"/>
      <c r="N73" s="148"/>
      <c r="O73" s="148"/>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35"/>
    </row>
    <row r="74" spans="2:44" ht="15.95" hidden="1" customHeight="1" x14ac:dyDescent="0.25">
      <c r="B74" s="1063">
        <v>30</v>
      </c>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35"/>
    </row>
    <row r="75" spans="2:44" ht="15.95" hidden="1" customHeight="1" x14ac:dyDescent="0.25">
      <c r="B75" s="1063"/>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35"/>
    </row>
    <row r="76" spans="2:44" ht="15.95" hidden="1" customHeight="1" x14ac:dyDescent="0.25">
      <c r="B76" s="1063">
        <v>31</v>
      </c>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35"/>
    </row>
    <row r="77" spans="2:44" ht="15.95" hidden="1" customHeight="1" x14ac:dyDescent="0.25">
      <c r="B77" s="1063"/>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35"/>
    </row>
    <row r="78" spans="2:44" ht="15.95" hidden="1" customHeight="1" x14ac:dyDescent="0.25">
      <c r="B78" s="1063">
        <v>32</v>
      </c>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35"/>
    </row>
    <row r="79" spans="2:44" ht="15.95" hidden="1" customHeight="1" x14ac:dyDescent="0.25">
      <c r="B79" s="1063"/>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35"/>
    </row>
    <row r="80" spans="2:44" ht="15.95" hidden="1" customHeight="1" x14ac:dyDescent="0.25">
      <c r="B80" s="1063">
        <v>33</v>
      </c>
      <c r="C80" s="148"/>
      <c r="D80" s="148"/>
      <c r="E80" s="148"/>
      <c r="F80" s="148"/>
      <c r="G80" s="148"/>
      <c r="H80" s="148"/>
      <c r="I80" s="148"/>
      <c r="J80" s="148"/>
      <c r="K80" s="148"/>
      <c r="L80" s="148"/>
      <c r="M80" s="148"/>
      <c r="N80" s="148"/>
      <c r="O80" s="148"/>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35"/>
    </row>
    <row r="81" spans="2:44" ht="15.95" hidden="1" customHeight="1" x14ac:dyDescent="0.25">
      <c r="B81" s="1063"/>
      <c r="C81" s="148"/>
      <c r="D81" s="148"/>
      <c r="E81" s="148"/>
      <c r="F81" s="148"/>
      <c r="G81" s="148"/>
      <c r="H81" s="148"/>
      <c r="I81" s="148"/>
      <c r="J81" s="148"/>
      <c r="K81" s="148"/>
      <c r="L81" s="148"/>
      <c r="M81" s="148"/>
      <c r="N81" s="148"/>
      <c r="O81" s="148"/>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35"/>
    </row>
    <row r="82" spans="2:44" ht="15.95" hidden="1" customHeight="1" x14ac:dyDescent="0.25">
      <c r="B82" s="1063">
        <v>34</v>
      </c>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35"/>
    </row>
    <row r="83" spans="2:44" ht="15.95" hidden="1" customHeight="1" x14ac:dyDescent="0.25">
      <c r="B83" s="1063"/>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35"/>
    </row>
    <row r="84" spans="2:44" ht="15.95" hidden="1" customHeight="1" x14ac:dyDescent="0.25">
      <c r="B84" s="1063">
        <v>35</v>
      </c>
      <c r="C84" s="148"/>
      <c r="D84" s="148"/>
      <c r="E84" s="148"/>
      <c r="F84" s="148"/>
      <c r="G84" s="148"/>
      <c r="H84" s="148"/>
      <c r="I84" s="148"/>
      <c r="J84" s="148"/>
      <c r="K84" s="148"/>
      <c r="L84" s="148"/>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35"/>
    </row>
    <row r="85" spans="2:44" ht="15.95" hidden="1" customHeight="1" x14ac:dyDescent="0.25">
      <c r="B85" s="1063"/>
      <c r="C85" s="148"/>
      <c r="D85" s="148"/>
      <c r="E85" s="148"/>
      <c r="F85" s="148"/>
      <c r="G85" s="148"/>
      <c r="H85" s="148"/>
      <c r="I85" s="148"/>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35"/>
    </row>
    <row r="86" spans="2:44" ht="15.95" hidden="1" customHeight="1" x14ac:dyDescent="0.25">
      <c r="B86" s="1063">
        <v>36</v>
      </c>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35"/>
    </row>
    <row r="87" spans="2:44" ht="15.95" hidden="1" customHeight="1" x14ac:dyDescent="0.25">
      <c r="B87" s="1063"/>
      <c r="C87" s="148"/>
      <c r="D87" s="148"/>
      <c r="E87" s="148"/>
      <c r="F87" s="148"/>
      <c r="G87" s="148"/>
      <c r="H87" s="148"/>
      <c r="I87" s="148"/>
      <c r="J87" s="148"/>
      <c r="K87" s="148"/>
      <c r="L87" s="148"/>
      <c r="M87" s="148"/>
      <c r="N87" s="148"/>
      <c r="O87" s="148"/>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35"/>
    </row>
    <row r="88" spans="2:44" ht="15.95" hidden="1" customHeight="1" x14ac:dyDescent="0.25">
      <c r="B88" s="1063">
        <v>37</v>
      </c>
      <c r="C88" s="148"/>
      <c r="D88" s="148"/>
      <c r="E88" s="148"/>
      <c r="F88" s="148"/>
      <c r="G88" s="148"/>
      <c r="H88" s="148"/>
      <c r="I88" s="148"/>
      <c r="J88" s="148"/>
      <c r="K88" s="148"/>
      <c r="L88" s="148"/>
      <c r="M88" s="148"/>
      <c r="N88" s="148"/>
      <c r="O88" s="148"/>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35"/>
    </row>
    <row r="89" spans="2:44" ht="15.95" hidden="1" customHeight="1" x14ac:dyDescent="0.25">
      <c r="B89" s="1063"/>
      <c r="C89" s="148"/>
      <c r="D89" s="148"/>
      <c r="E89" s="148"/>
      <c r="F89" s="148"/>
      <c r="G89" s="148"/>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35"/>
    </row>
    <row r="90" spans="2:44" ht="15.95" hidden="1" customHeight="1" x14ac:dyDescent="0.25">
      <c r="B90" s="1063">
        <v>38</v>
      </c>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35"/>
    </row>
    <row r="91" spans="2:44" ht="15.95" hidden="1" customHeight="1" x14ac:dyDescent="0.25">
      <c r="B91" s="1063"/>
      <c r="C91" s="148"/>
      <c r="D91" s="148"/>
      <c r="E91" s="148"/>
      <c r="F91" s="148"/>
      <c r="G91" s="148"/>
      <c r="H91" s="148"/>
      <c r="I91" s="148"/>
      <c r="J91" s="148"/>
      <c r="K91" s="148"/>
      <c r="L91" s="148"/>
      <c r="M91" s="148"/>
      <c r="N91" s="148"/>
      <c r="O91" s="148"/>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35"/>
    </row>
    <row r="92" spans="2:44" ht="15.95" hidden="1" customHeight="1" x14ac:dyDescent="0.25">
      <c r="B92" s="1063">
        <v>39</v>
      </c>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35"/>
    </row>
    <row r="93" spans="2:44" ht="15.95" hidden="1" customHeight="1" x14ac:dyDescent="0.25">
      <c r="B93" s="1063"/>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35"/>
    </row>
    <row r="94" spans="2:44" ht="15.95" hidden="1" customHeight="1" x14ac:dyDescent="0.25">
      <c r="B94" s="1063">
        <v>40</v>
      </c>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35"/>
    </row>
    <row r="95" spans="2:44" ht="15.95" hidden="1" customHeight="1" x14ac:dyDescent="0.25">
      <c r="B95" s="1063"/>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35"/>
    </row>
    <row r="96" spans="2:44" ht="15.95" hidden="1" customHeight="1" x14ac:dyDescent="0.25">
      <c r="B96" s="1063">
        <v>41</v>
      </c>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35"/>
    </row>
    <row r="97" spans="2:44" ht="15.95" hidden="1" customHeight="1" x14ac:dyDescent="0.25">
      <c r="B97" s="1063"/>
      <c r="C97" s="148"/>
      <c r="D97" s="148"/>
      <c r="E97" s="148"/>
      <c r="F97" s="148"/>
      <c r="G97" s="148"/>
      <c r="H97" s="148"/>
      <c r="I97" s="148"/>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35"/>
    </row>
    <row r="98" spans="2:44" ht="15.95" hidden="1" customHeight="1" x14ac:dyDescent="0.25">
      <c r="B98" s="1063">
        <v>42</v>
      </c>
      <c r="C98" s="148"/>
      <c r="D98" s="148"/>
      <c r="E98" s="148"/>
      <c r="F98" s="148"/>
      <c r="G98" s="148"/>
      <c r="H98" s="148"/>
      <c r="I98" s="148"/>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35"/>
    </row>
    <row r="99" spans="2:44" ht="15.95" hidden="1" customHeight="1" x14ac:dyDescent="0.25">
      <c r="B99" s="1063"/>
      <c r="C99" s="148"/>
      <c r="D99" s="148"/>
      <c r="E99" s="148"/>
      <c r="F99" s="148"/>
      <c r="G99" s="148"/>
      <c r="H99" s="148"/>
      <c r="I99" s="148"/>
      <c r="J99" s="148"/>
      <c r="K99" s="148"/>
      <c r="L99" s="148"/>
      <c r="M99" s="148"/>
      <c r="N99" s="148"/>
      <c r="O99" s="148"/>
      <c r="P99" s="148"/>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35"/>
    </row>
    <row r="100" spans="2:44" ht="15.95" hidden="1" customHeight="1" x14ac:dyDescent="0.25">
      <c r="B100" s="1063">
        <v>43</v>
      </c>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35"/>
    </row>
    <row r="101" spans="2:44" ht="15.95" hidden="1" customHeight="1" x14ac:dyDescent="0.25">
      <c r="B101" s="1063"/>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35"/>
    </row>
    <row r="102" spans="2:44" ht="15.95" hidden="1" customHeight="1" x14ac:dyDescent="0.25">
      <c r="B102" s="1063">
        <v>44</v>
      </c>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35"/>
    </row>
    <row r="103" spans="2:44" ht="15.95" hidden="1" customHeight="1" x14ac:dyDescent="0.25">
      <c r="B103" s="1063"/>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35"/>
    </row>
    <row r="104" spans="2:44" ht="15.95" hidden="1" customHeight="1" x14ac:dyDescent="0.25">
      <c r="B104" s="1063">
        <v>45</v>
      </c>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8"/>
      <c r="AN104" s="148"/>
      <c r="AO104" s="148"/>
      <c r="AP104" s="148"/>
      <c r="AQ104" s="148"/>
      <c r="AR104" s="135"/>
    </row>
    <row r="105" spans="2:44" ht="15.95" hidden="1" customHeight="1" x14ac:dyDescent="0.25">
      <c r="B105" s="1063"/>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35"/>
    </row>
    <row r="106" spans="2:44" ht="15.95" hidden="1" customHeight="1" x14ac:dyDescent="0.25">
      <c r="B106" s="1063">
        <v>46</v>
      </c>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c r="AA106" s="148"/>
      <c r="AB106" s="148"/>
      <c r="AC106" s="148"/>
      <c r="AD106" s="148"/>
      <c r="AE106" s="148"/>
      <c r="AF106" s="148"/>
      <c r="AG106" s="148"/>
      <c r="AH106" s="148"/>
      <c r="AI106" s="148"/>
      <c r="AJ106" s="148"/>
      <c r="AK106" s="148"/>
      <c r="AL106" s="148"/>
      <c r="AM106" s="148"/>
      <c r="AN106" s="148"/>
      <c r="AO106" s="148"/>
      <c r="AP106" s="148"/>
      <c r="AQ106" s="148"/>
      <c r="AR106" s="135"/>
    </row>
    <row r="107" spans="2:44" ht="15.95" hidden="1" customHeight="1" x14ac:dyDescent="0.25">
      <c r="B107" s="1063"/>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c r="AA107" s="148"/>
      <c r="AB107" s="148"/>
      <c r="AC107" s="148"/>
      <c r="AD107" s="148"/>
      <c r="AE107" s="148"/>
      <c r="AF107" s="148"/>
      <c r="AG107" s="148"/>
      <c r="AH107" s="148"/>
      <c r="AI107" s="148"/>
      <c r="AJ107" s="148"/>
      <c r="AK107" s="148"/>
      <c r="AL107" s="148"/>
      <c r="AM107" s="148"/>
      <c r="AN107" s="148"/>
      <c r="AO107" s="148"/>
      <c r="AP107" s="148"/>
      <c r="AQ107" s="148"/>
      <c r="AR107" s="135"/>
    </row>
    <row r="108" spans="2:44" ht="15.95" hidden="1" customHeight="1" x14ac:dyDescent="0.25">
      <c r="B108" s="1063">
        <v>47</v>
      </c>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35"/>
    </row>
    <row r="109" spans="2:44" ht="15.95" hidden="1" customHeight="1" x14ac:dyDescent="0.25">
      <c r="B109" s="1063"/>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c r="AA109" s="148"/>
      <c r="AB109" s="148"/>
      <c r="AC109" s="148"/>
      <c r="AD109" s="148"/>
      <c r="AE109" s="148"/>
      <c r="AF109" s="148"/>
      <c r="AG109" s="148"/>
      <c r="AH109" s="148"/>
      <c r="AI109" s="148"/>
      <c r="AJ109" s="148"/>
      <c r="AK109" s="148"/>
      <c r="AL109" s="148"/>
      <c r="AM109" s="148"/>
      <c r="AN109" s="148"/>
      <c r="AO109" s="148"/>
      <c r="AP109" s="148"/>
      <c r="AQ109" s="148"/>
      <c r="AR109" s="135"/>
    </row>
    <row r="110" spans="2:44" ht="15.95" hidden="1" customHeight="1" x14ac:dyDescent="0.25">
      <c r="B110" s="1063">
        <v>48</v>
      </c>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35"/>
    </row>
    <row r="111" spans="2:44" ht="15.95" hidden="1" customHeight="1" x14ac:dyDescent="0.25">
      <c r="B111" s="1063"/>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c r="AA111" s="148"/>
      <c r="AB111" s="148"/>
      <c r="AC111" s="148"/>
      <c r="AD111" s="148"/>
      <c r="AE111" s="148"/>
      <c r="AF111" s="148"/>
      <c r="AG111" s="148"/>
      <c r="AH111" s="148"/>
      <c r="AI111" s="148"/>
      <c r="AJ111" s="148"/>
      <c r="AK111" s="148"/>
      <c r="AL111" s="148"/>
      <c r="AM111" s="148"/>
      <c r="AN111" s="148"/>
      <c r="AO111" s="148"/>
      <c r="AP111" s="148"/>
      <c r="AQ111" s="148"/>
      <c r="AR111" s="135"/>
    </row>
    <row r="112" spans="2:44" ht="15.95" hidden="1" customHeight="1" x14ac:dyDescent="0.25">
      <c r="B112" s="1063">
        <v>49</v>
      </c>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35"/>
    </row>
    <row r="113" spans="2:44" ht="15.95" hidden="1" customHeight="1" x14ac:dyDescent="0.25">
      <c r="B113" s="1063"/>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35"/>
    </row>
    <row r="114" spans="2:44" ht="15.95" hidden="1" customHeight="1" x14ac:dyDescent="0.25">
      <c r="B114" s="1063">
        <v>50</v>
      </c>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35"/>
    </row>
    <row r="115" spans="2:44" ht="15.95" hidden="1" customHeight="1" x14ac:dyDescent="0.25">
      <c r="B115" s="1063"/>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48"/>
      <c r="AR115" s="135"/>
    </row>
    <row r="116" spans="2:44" ht="15.95" hidden="1" customHeight="1" x14ac:dyDescent="0.25">
      <c r="B116" s="1063">
        <v>51</v>
      </c>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35"/>
    </row>
    <row r="117" spans="2:44" ht="15.95" hidden="1" customHeight="1" x14ac:dyDescent="0.25">
      <c r="B117" s="1063"/>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35"/>
    </row>
    <row r="118" spans="2:44" ht="15.95" hidden="1" customHeight="1" x14ac:dyDescent="0.25">
      <c r="B118" s="1063">
        <v>52</v>
      </c>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35"/>
    </row>
    <row r="119" spans="2:44" ht="15.95" hidden="1" customHeight="1" x14ac:dyDescent="0.25">
      <c r="B119" s="1063"/>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c r="AA119" s="148"/>
      <c r="AB119" s="148"/>
      <c r="AC119" s="148"/>
      <c r="AD119" s="148"/>
      <c r="AE119" s="148"/>
      <c r="AF119" s="148"/>
      <c r="AG119" s="148"/>
      <c r="AH119" s="148"/>
      <c r="AI119" s="148"/>
      <c r="AJ119" s="148"/>
      <c r="AK119" s="148"/>
      <c r="AL119" s="148"/>
      <c r="AM119" s="148"/>
      <c r="AN119" s="148"/>
      <c r="AO119" s="148"/>
      <c r="AP119" s="148"/>
      <c r="AQ119" s="148"/>
      <c r="AR119" s="135"/>
    </row>
    <row r="120" spans="2:44" ht="15.95" hidden="1" customHeight="1" x14ac:dyDescent="0.25">
      <c r="B120" s="1063">
        <v>53</v>
      </c>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48"/>
      <c r="AG120" s="148"/>
      <c r="AH120" s="148"/>
      <c r="AI120" s="148"/>
      <c r="AJ120" s="148"/>
      <c r="AK120" s="148"/>
      <c r="AL120" s="148"/>
      <c r="AM120" s="148"/>
      <c r="AN120" s="148"/>
      <c r="AO120" s="148"/>
      <c r="AP120" s="148"/>
      <c r="AQ120" s="148"/>
      <c r="AR120" s="135"/>
    </row>
    <row r="121" spans="2:44" ht="15.95" hidden="1" customHeight="1" x14ac:dyDescent="0.25">
      <c r="B121" s="1063"/>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c r="AK121" s="148"/>
      <c r="AL121" s="148"/>
      <c r="AM121" s="148"/>
      <c r="AN121" s="148"/>
      <c r="AO121" s="148"/>
      <c r="AP121" s="148"/>
      <c r="AQ121" s="148"/>
      <c r="AR121" s="135"/>
    </row>
    <row r="122" spans="2:44" ht="15.95" hidden="1" customHeight="1" x14ac:dyDescent="0.25">
      <c r="B122" s="1062">
        <v>54</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row>
    <row r="123" spans="2:44" ht="15.95" hidden="1" customHeight="1" x14ac:dyDescent="0.25">
      <c r="B123" s="1062"/>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row>
    <row r="124" spans="2:44" ht="15.95" hidden="1" customHeight="1" x14ac:dyDescent="0.25">
      <c r="B124" s="1062">
        <v>55</v>
      </c>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row>
    <row r="125" spans="2:44" ht="15.95" hidden="1" customHeight="1" x14ac:dyDescent="0.25">
      <c r="B125" s="1062"/>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row>
    <row r="126" spans="2:44" ht="15.95" hidden="1" customHeight="1" x14ac:dyDescent="0.25">
      <c r="B126" s="1062">
        <v>56</v>
      </c>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row>
    <row r="127" spans="2:44" ht="15.95" hidden="1" customHeight="1" x14ac:dyDescent="0.25">
      <c r="B127" s="1062"/>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row>
    <row r="128" spans="2:44" ht="15.95" hidden="1" customHeight="1" x14ac:dyDescent="0.25">
      <c r="B128" s="1062">
        <v>57</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row>
    <row r="129" spans="2:43" ht="15.95" hidden="1" customHeight="1" x14ac:dyDescent="0.25">
      <c r="B129" s="1062"/>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row>
    <row r="130" spans="2:43" ht="15.95" hidden="1" customHeight="1" x14ac:dyDescent="0.25">
      <c r="B130" s="1062">
        <v>58</v>
      </c>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row>
    <row r="131" spans="2:43" ht="15.95" hidden="1" customHeight="1" x14ac:dyDescent="0.25">
      <c r="B131" s="1062"/>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row>
    <row r="132" spans="2:43" ht="15.95" hidden="1" customHeight="1" x14ac:dyDescent="0.25">
      <c r="B132" s="1062">
        <v>59</v>
      </c>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row>
    <row r="133" spans="2:43" ht="15.95" hidden="1" customHeight="1" x14ac:dyDescent="0.25">
      <c r="B133" s="1062"/>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row>
    <row r="134" spans="2:43" ht="15.95" hidden="1" customHeight="1" x14ac:dyDescent="0.25">
      <c r="B134" s="1062">
        <v>60</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row>
    <row r="135" spans="2:43" ht="15.95" hidden="1" customHeight="1" x14ac:dyDescent="0.25">
      <c r="B135" s="1062"/>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row>
    <row r="136" spans="2:43" ht="15.95" hidden="1" customHeight="1" x14ac:dyDescent="0.25">
      <c r="B136" s="1062">
        <v>61</v>
      </c>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row>
    <row r="137" spans="2:43" ht="15.95" hidden="1" customHeight="1" x14ac:dyDescent="0.25">
      <c r="B137" s="1062"/>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row>
    <row r="138" spans="2:43" ht="15.95" hidden="1" customHeight="1" x14ac:dyDescent="0.25">
      <c r="B138" s="1062">
        <v>62</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row>
    <row r="139" spans="2:43" ht="15.95" hidden="1" customHeight="1" x14ac:dyDescent="0.25">
      <c r="B139" s="1062"/>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row>
    <row r="140" spans="2:43" ht="15.95" hidden="1" customHeight="1" x14ac:dyDescent="0.25">
      <c r="B140" s="1062">
        <v>63</v>
      </c>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row>
    <row r="141" spans="2:43" ht="15.95" hidden="1" customHeight="1" x14ac:dyDescent="0.25">
      <c r="B141" s="1062"/>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row>
    <row r="142" spans="2:43" ht="15.95" hidden="1" customHeight="1" x14ac:dyDescent="0.25">
      <c r="B142" s="1062">
        <v>64</v>
      </c>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row>
    <row r="143" spans="2:43" ht="15.95" hidden="1" customHeight="1" x14ac:dyDescent="0.25">
      <c r="B143" s="1062"/>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row>
    <row r="144" spans="2:43" ht="15.95" hidden="1" customHeight="1" x14ac:dyDescent="0.25">
      <c r="B144" s="1062">
        <v>65</v>
      </c>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row>
    <row r="145" spans="2:43" ht="15.95" hidden="1" customHeight="1" x14ac:dyDescent="0.25">
      <c r="B145" s="1062"/>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row>
    <row r="146" spans="2:43" ht="15.95" hidden="1" customHeight="1" x14ac:dyDescent="0.25">
      <c r="B146" s="1062">
        <v>66</v>
      </c>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row>
    <row r="147" spans="2:43" ht="15.95" hidden="1" customHeight="1" x14ac:dyDescent="0.25">
      <c r="B147" s="1062"/>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row>
    <row r="148" spans="2:43" ht="15.95" hidden="1" customHeight="1" x14ac:dyDescent="0.25">
      <c r="B148" s="1062">
        <v>67</v>
      </c>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row>
    <row r="149" spans="2:43" ht="15.95" hidden="1" customHeight="1" x14ac:dyDescent="0.25">
      <c r="B149" s="1062"/>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row>
    <row r="150" spans="2:43" ht="15.95" hidden="1" customHeight="1" x14ac:dyDescent="0.25">
      <c r="B150" s="1062">
        <v>68</v>
      </c>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row>
    <row r="151" spans="2:43" ht="15.95" hidden="1" customHeight="1" x14ac:dyDescent="0.25">
      <c r="B151" s="1062"/>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row>
    <row r="152" spans="2:43" ht="15.95" hidden="1" customHeight="1" x14ac:dyDescent="0.25">
      <c r="B152" s="1062">
        <v>69</v>
      </c>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row>
    <row r="153" spans="2:43" ht="15.95" hidden="1" customHeight="1" x14ac:dyDescent="0.25">
      <c r="B153" s="1062"/>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row>
    <row r="154" spans="2:43" ht="15.95" hidden="1" customHeight="1" x14ac:dyDescent="0.25">
      <c r="B154" s="1062">
        <v>70</v>
      </c>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row>
    <row r="155" spans="2:43" ht="15.95" hidden="1" customHeight="1" x14ac:dyDescent="0.25">
      <c r="B155" s="1062"/>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row>
    <row r="156" spans="2:43" ht="15.95" hidden="1" customHeight="1" x14ac:dyDescent="0.25">
      <c r="B156" s="1062">
        <v>71</v>
      </c>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row>
    <row r="157" spans="2:43" ht="15.95" hidden="1" customHeight="1" x14ac:dyDescent="0.25">
      <c r="B157" s="1062"/>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row>
    <row r="158" spans="2:43" ht="15.95" hidden="1" customHeight="1" x14ac:dyDescent="0.25">
      <c r="B158" s="1062">
        <v>72</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3" ht="15.95" hidden="1" customHeight="1" x14ac:dyDescent="0.25">
      <c r="B159" s="1062"/>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3" ht="15.95" hidden="1" customHeight="1" x14ac:dyDescent="0.25">
      <c r="B160" s="1062">
        <v>73</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hidden="1" customHeight="1" x14ac:dyDescent="0.25">
      <c r="B161" s="1062"/>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hidden="1" customHeight="1" x14ac:dyDescent="0.25">
      <c r="B162" s="1062">
        <v>74</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hidden="1" customHeight="1" x14ac:dyDescent="0.25">
      <c r="B163" s="1062"/>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hidden="1" customHeight="1" x14ac:dyDescent="0.25">
      <c r="B164" s="1062">
        <v>75</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hidden="1" customHeight="1" x14ac:dyDescent="0.25">
      <c r="B165" s="1062"/>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hidden="1" customHeight="1" x14ac:dyDescent="0.25">
      <c r="B166" s="1062">
        <v>76</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hidden="1" customHeight="1" x14ac:dyDescent="0.25">
      <c r="B167" s="1062"/>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hidden="1" customHeight="1" x14ac:dyDescent="0.25">
      <c r="B168" s="1062">
        <v>77</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hidden="1" customHeight="1" x14ac:dyDescent="0.25">
      <c r="B169" s="1062"/>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hidden="1" customHeight="1" x14ac:dyDescent="0.25">
      <c r="B170" s="1062">
        <v>78</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hidden="1" customHeight="1" x14ac:dyDescent="0.25">
      <c r="B171" s="1062"/>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hidden="1" customHeight="1" x14ac:dyDescent="0.25">
      <c r="B172" s="1062">
        <v>79</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hidden="1" customHeight="1" x14ac:dyDescent="0.25">
      <c r="B173" s="1062"/>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hidden="1" customHeight="1" x14ac:dyDescent="0.25">
      <c r="B174" s="1062">
        <v>80</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hidden="1" customHeight="1" x14ac:dyDescent="0.25">
      <c r="B175" s="1062"/>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hidden="1" customHeight="1" x14ac:dyDescent="0.25">
      <c r="B176" s="1062">
        <v>81</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hidden="1" customHeight="1" x14ac:dyDescent="0.25">
      <c r="B177" s="1062"/>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hidden="1" customHeight="1" x14ac:dyDescent="0.25">
      <c r="B178" s="1062">
        <v>82</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hidden="1" customHeight="1" x14ac:dyDescent="0.25">
      <c r="B179" s="1062"/>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hidden="1" customHeight="1" x14ac:dyDescent="0.25">
      <c r="B180" s="1062">
        <v>83</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hidden="1" customHeight="1" x14ac:dyDescent="0.25">
      <c r="B181" s="1062"/>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hidden="1" customHeight="1" x14ac:dyDescent="0.25">
      <c r="B182" s="1062">
        <v>84</v>
      </c>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hidden="1" customHeight="1" x14ac:dyDescent="0.25">
      <c r="B183" s="1062"/>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hidden="1" customHeight="1" x14ac:dyDescent="0.25">
      <c r="B184" s="1062">
        <v>85</v>
      </c>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hidden="1" customHeight="1" x14ac:dyDescent="0.25">
      <c r="B185" s="1062"/>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hidden="1" customHeight="1" x14ac:dyDescent="0.25">
      <c r="B186" s="1062">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hidden="1" customHeight="1" x14ac:dyDescent="0.25">
      <c r="B187" s="1062"/>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hidden="1" customHeight="1" x14ac:dyDescent="0.25">
      <c r="B188" s="1062">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hidden="1" customHeight="1" x14ac:dyDescent="0.25">
      <c r="B189" s="1062"/>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hidden="1" customHeight="1" x14ac:dyDescent="0.25">
      <c r="B190" s="1062">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hidden="1" customHeight="1" x14ac:dyDescent="0.25">
      <c r="B191" s="1062"/>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hidden="1" customHeight="1" x14ac:dyDescent="0.25">
      <c r="B192" s="1062">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4" ht="15.95" hidden="1" customHeight="1" x14ac:dyDescent="0.25">
      <c r="B193" s="1062"/>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4" ht="15.95" hidden="1" customHeight="1" x14ac:dyDescent="0.25">
      <c r="B194" s="1062">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4" ht="15.95" hidden="1" customHeight="1" x14ac:dyDescent="0.25">
      <c r="B195" s="1062"/>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4" ht="15.95" hidden="1" customHeight="1" x14ac:dyDescent="0.25">
      <c r="B196" s="1062">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4" ht="15.95" hidden="1" customHeight="1" x14ac:dyDescent="0.25">
      <c r="B197" s="1062"/>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4" ht="15.95" hidden="1" customHeight="1" x14ac:dyDescent="0.25">
      <c r="B198" s="1062">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4" ht="15.95" hidden="1" customHeight="1" x14ac:dyDescent="0.25">
      <c r="B199" s="1062"/>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4" ht="15.95" customHeight="1" x14ac:dyDescent="0.25">
      <c r="B200" s="136" t="str">
        <f>FOOT1</f>
        <v>Ameren Missouri BizSavers program</v>
      </c>
      <c r="C200" s="136"/>
      <c r="D200" s="136"/>
      <c r="E200" s="136"/>
      <c r="F200" s="136"/>
      <c r="G200" s="136"/>
      <c r="H200" s="136"/>
      <c r="I200" s="136"/>
      <c r="J200" s="136"/>
      <c r="K200" s="136"/>
      <c r="L200" s="136"/>
      <c r="M200" s="729" t="str">
        <f>FOOTDISCLAIM</f>
        <v/>
      </c>
      <c r="N200" s="729"/>
      <c r="O200" s="729"/>
      <c r="P200" s="729"/>
      <c r="Q200" s="729"/>
      <c r="R200" s="729"/>
      <c r="S200" s="729"/>
      <c r="T200" s="729"/>
      <c r="U200" s="729"/>
      <c r="V200" s="729"/>
      <c r="W200" s="729"/>
      <c r="X200" s="729"/>
      <c r="Y200" s="729"/>
      <c r="Z200" s="729"/>
      <c r="AA200" s="729"/>
      <c r="AB200" s="729"/>
      <c r="AC200" s="729"/>
      <c r="AD200" s="729"/>
      <c r="AE200" s="729"/>
      <c r="AF200" s="729"/>
      <c r="AG200" s="729"/>
      <c r="AH200" s="136"/>
      <c r="AI200" s="136"/>
      <c r="AJ200" s="136"/>
      <c r="AK200" s="136"/>
      <c r="AL200" s="136"/>
      <c r="AM200" s="136"/>
      <c r="AN200" s="136"/>
      <c r="AO200" s="136"/>
      <c r="AP200" s="136"/>
      <c r="AQ200" s="136"/>
      <c r="AR200" s="300" t="str">
        <f>FOOT4</f>
        <v/>
      </c>
    </row>
    <row r="201" spans="2:44" ht="15.95" customHeight="1" x14ac:dyDescent="0.25">
      <c r="B201" s="136" t="str">
        <f>FOOT2</f>
        <v>Toll-Free 866-941-7299</v>
      </c>
      <c r="C201" s="136"/>
      <c r="D201" s="136"/>
      <c r="E201" s="136"/>
      <c r="F201" s="136"/>
      <c r="G201" s="136"/>
      <c r="H201" s="136"/>
      <c r="I201" s="136"/>
      <c r="J201" s="136"/>
      <c r="K201" s="136"/>
      <c r="L201" s="136"/>
      <c r="M201" s="729"/>
      <c r="N201" s="729"/>
      <c r="O201" s="729"/>
      <c r="P201" s="729"/>
      <c r="Q201" s="729"/>
      <c r="R201" s="729"/>
      <c r="S201" s="729"/>
      <c r="T201" s="729"/>
      <c r="U201" s="729"/>
      <c r="V201" s="729"/>
      <c r="W201" s="729"/>
      <c r="X201" s="729"/>
      <c r="Y201" s="729"/>
      <c r="Z201" s="729"/>
      <c r="AA201" s="729"/>
      <c r="AB201" s="729"/>
      <c r="AC201" s="729"/>
      <c r="AD201" s="729"/>
      <c r="AE201" s="729"/>
      <c r="AF201" s="729"/>
      <c r="AG201" s="729"/>
      <c r="AH201" s="136"/>
      <c r="AI201" s="136"/>
      <c r="AJ201" s="136"/>
      <c r="AK201" s="136"/>
      <c r="AL201" s="136"/>
      <c r="AM201" s="136"/>
      <c r="AN201" s="136"/>
      <c r="AO201" s="136"/>
      <c r="AP201" s="136"/>
      <c r="AQ201" s="136"/>
      <c r="AR201" s="300" t="str">
        <f>FOOT5</f>
        <v/>
      </c>
    </row>
    <row r="202" spans="2:44" ht="15.95" customHeight="1" x14ac:dyDescent="0.25">
      <c r="B202" s="138" t="str">
        <f>FOOT3</f>
        <v>BizSavers@ameren.com</v>
      </c>
      <c r="C202" s="136"/>
      <c r="D202" s="136"/>
      <c r="E202" s="136"/>
      <c r="F202" s="136"/>
      <c r="G202" s="136"/>
      <c r="H202" s="136"/>
      <c r="I202" s="136"/>
      <c r="J202" s="136"/>
      <c r="K202" s="136"/>
      <c r="L202" s="136"/>
      <c r="M202" s="139"/>
      <c r="N202" s="136"/>
      <c r="O202" s="136"/>
      <c r="P202" s="139"/>
      <c r="Q202" s="139"/>
      <c r="R202" s="139"/>
      <c r="S202" s="139"/>
      <c r="T202" s="139"/>
      <c r="U202" s="139"/>
      <c r="V202" s="139"/>
      <c r="W202" s="140" t="str">
        <f>VERSION</f>
        <v>New Construction v3.8.0</v>
      </c>
      <c r="X202" s="139"/>
      <c r="Y202" s="139"/>
      <c r="Z202" s="139"/>
      <c r="AA202" s="139"/>
      <c r="AB202" s="139"/>
      <c r="AC202" s="139"/>
      <c r="AD202" s="139"/>
      <c r="AE202" s="136"/>
      <c r="AF202" s="136"/>
      <c r="AG202" s="136"/>
      <c r="AH202" s="136"/>
      <c r="AI202" s="136"/>
      <c r="AJ202" s="136"/>
      <c r="AK202" s="136"/>
      <c r="AL202" s="136"/>
      <c r="AM202" s="136"/>
      <c r="AN202" s="136"/>
      <c r="AO202" s="136"/>
      <c r="AP202" s="136"/>
      <c r="AQ202" s="136"/>
      <c r="AR202" s="300" t="str">
        <f>FOOT6</f>
        <v>Product of TRC Companies</v>
      </c>
    </row>
  </sheetData>
  <sheetProtection algorithmName="SHA-512" hashValue="U6qCLi8yHGreAuynwTO/N+be7dNwlhbeqnnq3X3HRWAFmbPZb4eancjUTZyZfzWyXUSIZ5HqSoK2hK1xD/2D5Q==" saltValue="oiAOVCCLppEmE0wl1AgMDw==" spinCount="100000" sheet="1" objects="1" scenarios="1" selectLockedCells="1"/>
  <mergeCells count="350">
    <mergeCell ref="BB34:BB35"/>
    <mergeCell ref="BC34:BC35"/>
    <mergeCell ref="BB24:BB25"/>
    <mergeCell ref="BC24:BC25"/>
    <mergeCell ref="BB26:BB27"/>
    <mergeCell ref="BC26:BC27"/>
    <mergeCell ref="BB28:BB29"/>
    <mergeCell ref="BC28:BC29"/>
    <mergeCell ref="BB30:BB31"/>
    <mergeCell ref="BC30:BC31"/>
    <mergeCell ref="BB32:BB33"/>
    <mergeCell ref="BC32:BC33"/>
    <mergeCell ref="BB14:BB15"/>
    <mergeCell ref="BC14:BC15"/>
    <mergeCell ref="BB16:BB17"/>
    <mergeCell ref="BC16:BC17"/>
    <mergeCell ref="BB18:BB19"/>
    <mergeCell ref="BC18:BC19"/>
    <mergeCell ref="BB20:BB21"/>
    <mergeCell ref="BC20:BC21"/>
    <mergeCell ref="BB22:BB23"/>
    <mergeCell ref="BC22:BC23"/>
    <mergeCell ref="B16:B17"/>
    <mergeCell ref="R11:U11"/>
    <mergeCell ref="V11:Y11"/>
    <mergeCell ref="Z11:AC11"/>
    <mergeCell ref="AD12:AG12"/>
    <mergeCell ref="B40:B41"/>
    <mergeCell ref="B18:B19"/>
    <mergeCell ref="B20:B21"/>
    <mergeCell ref="B22:B23"/>
    <mergeCell ref="B24:B25"/>
    <mergeCell ref="B26:B27"/>
    <mergeCell ref="B28:B29"/>
    <mergeCell ref="B30:B31"/>
    <mergeCell ref="B32:B33"/>
    <mergeCell ref="B34:B35"/>
    <mergeCell ref="B36:B37"/>
    <mergeCell ref="B38:B39"/>
    <mergeCell ref="C14:E15"/>
    <mergeCell ref="F14:K15"/>
    <mergeCell ref="L14:P15"/>
    <mergeCell ref="Q14:R15"/>
    <mergeCell ref="S14:T15"/>
    <mergeCell ref="U14:Y15"/>
    <mergeCell ref="Z14:AA15"/>
    <mergeCell ref="B64:B65"/>
    <mergeCell ref="B42:B43"/>
    <mergeCell ref="B44:B45"/>
    <mergeCell ref="B46:B47"/>
    <mergeCell ref="B48:B49"/>
    <mergeCell ref="B50:B51"/>
    <mergeCell ref="B52:B53"/>
    <mergeCell ref="B54:B55"/>
    <mergeCell ref="B56:B57"/>
    <mergeCell ref="B58:B59"/>
    <mergeCell ref="B60:B61"/>
    <mergeCell ref="B62:B63"/>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90:B91"/>
    <mergeCell ref="B92:B93"/>
    <mergeCell ref="B94:B95"/>
    <mergeCell ref="B96:B97"/>
    <mergeCell ref="B98:B99"/>
    <mergeCell ref="B100:B101"/>
    <mergeCell ref="B102:B103"/>
    <mergeCell ref="B104:B105"/>
    <mergeCell ref="B106:B107"/>
    <mergeCell ref="AQ1:AR1"/>
    <mergeCell ref="AQ2:AR3"/>
    <mergeCell ref="R9:AC10"/>
    <mergeCell ref="B168:B169"/>
    <mergeCell ref="B170:B17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8:B149"/>
    <mergeCell ref="B150:B151"/>
    <mergeCell ref="B152:B153"/>
    <mergeCell ref="B154:B155"/>
    <mergeCell ref="B156:B157"/>
    <mergeCell ref="B158:B159"/>
    <mergeCell ref="B112:B113"/>
    <mergeCell ref="B180:B181"/>
    <mergeCell ref="B182:B183"/>
    <mergeCell ref="B160:B161"/>
    <mergeCell ref="B138:B139"/>
    <mergeCell ref="B140:B141"/>
    <mergeCell ref="B142:B143"/>
    <mergeCell ref="B144:B145"/>
    <mergeCell ref="B146:B147"/>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72:B173"/>
    <mergeCell ref="B174:B175"/>
    <mergeCell ref="B176:B177"/>
    <mergeCell ref="B178:B179"/>
    <mergeCell ref="AB14:AC15"/>
    <mergeCell ref="AD14:AG14"/>
    <mergeCell ref="AH14:AJ15"/>
    <mergeCell ref="AK14:AN15"/>
    <mergeCell ref="AO14:AQ15"/>
    <mergeCell ref="AU14:AU15"/>
    <mergeCell ref="AV14:AV15"/>
    <mergeCell ref="AW14:AW15"/>
    <mergeCell ref="AX14:AX15"/>
    <mergeCell ref="AY14:AY15"/>
    <mergeCell ref="AZ14:AZ15"/>
    <mergeCell ref="BA14:BA15"/>
    <mergeCell ref="AD15:AE15"/>
    <mergeCell ref="AF15:AG15"/>
    <mergeCell ref="C16:E17"/>
    <mergeCell ref="F16:K17"/>
    <mergeCell ref="L16:P17"/>
    <mergeCell ref="Q16:R17"/>
    <mergeCell ref="S16:T17"/>
    <mergeCell ref="U16:Y17"/>
    <mergeCell ref="Z16:AA17"/>
    <mergeCell ref="AB16:AC17"/>
    <mergeCell ref="AD16:AE17"/>
    <mergeCell ref="AF16:AG17"/>
    <mergeCell ref="AH16:AJ17"/>
    <mergeCell ref="AK16:AN17"/>
    <mergeCell ref="AO16:AQ17"/>
    <mergeCell ref="AU16:AU17"/>
    <mergeCell ref="AV16:AV17"/>
    <mergeCell ref="AW16:AW17"/>
    <mergeCell ref="AX16:AX17"/>
    <mergeCell ref="AY16:AY17"/>
    <mergeCell ref="AZ16:AZ17"/>
    <mergeCell ref="BA16:BA17"/>
    <mergeCell ref="C18:E19"/>
    <mergeCell ref="F18:K19"/>
    <mergeCell ref="L18:P19"/>
    <mergeCell ref="Q18:R19"/>
    <mergeCell ref="S18:T19"/>
    <mergeCell ref="U18:Y19"/>
    <mergeCell ref="Z18:AA19"/>
    <mergeCell ref="AB18:AC19"/>
    <mergeCell ref="AD18:AE19"/>
    <mergeCell ref="AF18:AG19"/>
    <mergeCell ref="AH18:AJ19"/>
    <mergeCell ref="AK18:AN19"/>
    <mergeCell ref="AO18:AQ19"/>
    <mergeCell ref="AU18:AU19"/>
    <mergeCell ref="AV18:AV19"/>
    <mergeCell ref="AW18:AW19"/>
    <mergeCell ref="AX18:AX19"/>
    <mergeCell ref="AY18:AY19"/>
    <mergeCell ref="AZ18:AZ19"/>
    <mergeCell ref="BA18:BA19"/>
    <mergeCell ref="AK20:AN21"/>
    <mergeCell ref="AO20:AQ21"/>
    <mergeCell ref="AU20:AU21"/>
    <mergeCell ref="AV20:AV21"/>
    <mergeCell ref="AW20:AW21"/>
    <mergeCell ref="AX20:AX21"/>
    <mergeCell ref="AY20:AY21"/>
    <mergeCell ref="C20:E21"/>
    <mergeCell ref="F20:K21"/>
    <mergeCell ref="L20:P21"/>
    <mergeCell ref="Q20:R21"/>
    <mergeCell ref="S20:T21"/>
    <mergeCell ref="U20:Y21"/>
    <mergeCell ref="Z20:AA21"/>
    <mergeCell ref="AB20:AC21"/>
    <mergeCell ref="AD20:AE21"/>
    <mergeCell ref="AZ20:AZ21"/>
    <mergeCell ref="BA20:BA21"/>
    <mergeCell ref="C22:E23"/>
    <mergeCell ref="F22:K23"/>
    <mergeCell ref="L22:P23"/>
    <mergeCell ref="Q22:R23"/>
    <mergeCell ref="S22:T23"/>
    <mergeCell ref="U22:Y23"/>
    <mergeCell ref="Z22:AA23"/>
    <mergeCell ref="AB22:AC23"/>
    <mergeCell ref="AD22:AE23"/>
    <mergeCell ref="AF22:AG23"/>
    <mergeCell ref="AH22:AJ23"/>
    <mergeCell ref="AK22:AN23"/>
    <mergeCell ref="AO22:AQ23"/>
    <mergeCell ref="AU22:AU23"/>
    <mergeCell ref="AV22:AV23"/>
    <mergeCell ref="AW22:AW23"/>
    <mergeCell ref="AX22:AX23"/>
    <mergeCell ref="AY22:AY23"/>
    <mergeCell ref="AZ22:AZ23"/>
    <mergeCell ref="BA22:BA23"/>
    <mergeCell ref="AF20:AG21"/>
    <mergeCell ref="AH20:AJ21"/>
    <mergeCell ref="AK24:AN25"/>
    <mergeCell ref="AO24:AQ25"/>
    <mergeCell ref="AU24:AU25"/>
    <mergeCell ref="AV24:AV25"/>
    <mergeCell ref="AW24:AW25"/>
    <mergeCell ref="AX24:AX25"/>
    <mergeCell ref="AY24:AY25"/>
    <mergeCell ref="C24:E25"/>
    <mergeCell ref="F24:K25"/>
    <mergeCell ref="L24:P25"/>
    <mergeCell ref="Q24:R25"/>
    <mergeCell ref="S24:T25"/>
    <mergeCell ref="U24:Y25"/>
    <mergeCell ref="Z24:AA25"/>
    <mergeCell ref="AB24:AC25"/>
    <mergeCell ref="AD24:AE25"/>
    <mergeCell ref="AZ24:AZ25"/>
    <mergeCell ref="BA24:BA25"/>
    <mergeCell ref="C26:E27"/>
    <mergeCell ref="F26:K27"/>
    <mergeCell ref="L26:P27"/>
    <mergeCell ref="Q26:R27"/>
    <mergeCell ref="S26:T27"/>
    <mergeCell ref="U26:Y27"/>
    <mergeCell ref="Z26:AA27"/>
    <mergeCell ref="AB26:AC27"/>
    <mergeCell ref="AD26:AE27"/>
    <mergeCell ref="AF26:AG27"/>
    <mergeCell ref="AH26:AJ27"/>
    <mergeCell ref="AK26:AN27"/>
    <mergeCell ref="AO26:AQ27"/>
    <mergeCell ref="AU26:AU27"/>
    <mergeCell ref="AV26:AV27"/>
    <mergeCell ref="AW26:AW27"/>
    <mergeCell ref="AX26:AX27"/>
    <mergeCell ref="AY26:AY27"/>
    <mergeCell ref="AZ26:AZ27"/>
    <mergeCell ref="BA26:BA27"/>
    <mergeCell ref="AF24:AG25"/>
    <mergeCell ref="AH24:AJ25"/>
    <mergeCell ref="AK28:AN29"/>
    <mergeCell ref="AO28:AQ29"/>
    <mergeCell ref="AU28:AU29"/>
    <mergeCell ref="AV28:AV29"/>
    <mergeCell ref="AW28:AW29"/>
    <mergeCell ref="AX28:AX29"/>
    <mergeCell ref="AY28:AY29"/>
    <mergeCell ref="C28:E29"/>
    <mergeCell ref="F28:K29"/>
    <mergeCell ref="L28:P29"/>
    <mergeCell ref="Q28:R29"/>
    <mergeCell ref="S28:T29"/>
    <mergeCell ref="U28:Y29"/>
    <mergeCell ref="Z28:AA29"/>
    <mergeCell ref="AB28:AC29"/>
    <mergeCell ref="AD28:AE29"/>
    <mergeCell ref="C30:E31"/>
    <mergeCell ref="F30:K31"/>
    <mergeCell ref="L30:P31"/>
    <mergeCell ref="Q30:R31"/>
    <mergeCell ref="S30:T31"/>
    <mergeCell ref="U30:Y31"/>
    <mergeCell ref="Z30:AA31"/>
    <mergeCell ref="AB30:AC31"/>
    <mergeCell ref="AD30:AE31"/>
    <mergeCell ref="C32:E33"/>
    <mergeCell ref="F32:K33"/>
    <mergeCell ref="L32:P33"/>
    <mergeCell ref="Q32:R33"/>
    <mergeCell ref="S32:T33"/>
    <mergeCell ref="U32:Y33"/>
    <mergeCell ref="Z32:AA33"/>
    <mergeCell ref="AB32:AC33"/>
    <mergeCell ref="AD32:AE33"/>
    <mergeCell ref="AZ34:AZ35"/>
    <mergeCell ref="BA34:BA35"/>
    <mergeCell ref="AF32:AG33"/>
    <mergeCell ref="AH32:AJ33"/>
    <mergeCell ref="AK32:AN33"/>
    <mergeCell ref="AO32:AQ33"/>
    <mergeCell ref="AU32:AU33"/>
    <mergeCell ref="AV32:AV33"/>
    <mergeCell ref="AW32:AW33"/>
    <mergeCell ref="AX32:AX33"/>
    <mergeCell ref="AY32:AY33"/>
    <mergeCell ref="AF34:AG35"/>
    <mergeCell ref="AH34:AJ35"/>
    <mergeCell ref="AK34:AN35"/>
    <mergeCell ref="AO34:AQ35"/>
    <mergeCell ref="AU34:AU35"/>
    <mergeCell ref="AV34:AV35"/>
    <mergeCell ref="AW34:AW35"/>
    <mergeCell ref="AX34:AX35"/>
    <mergeCell ref="AY34:AY35"/>
    <mergeCell ref="C34:E35"/>
    <mergeCell ref="F34:K35"/>
    <mergeCell ref="L34:P35"/>
    <mergeCell ref="Q34:R35"/>
    <mergeCell ref="S34:T35"/>
    <mergeCell ref="U34:Y35"/>
    <mergeCell ref="Z34:AA35"/>
    <mergeCell ref="AB34:AC35"/>
    <mergeCell ref="AD34:AE35"/>
    <mergeCell ref="AH1:AK1"/>
    <mergeCell ref="AL1:AP1"/>
    <mergeCell ref="AH2:AK3"/>
    <mergeCell ref="AL2:AP3"/>
    <mergeCell ref="R12:U13"/>
    <mergeCell ref="V12:Y13"/>
    <mergeCell ref="Z12:AC13"/>
    <mergeCell ref="AZ32:AZ33"/>
    <mergeCell ref="BA32:BA33"/>
    <mergeCell ref="AZ28:AZ29"/>
    <mergeCell ref="BA28:BA29"/>
    <mergeCell ref="AF30:AG31"/>
    <mergeCell ref="AH30:AJ31"/>
    <mergeCell ref="AK30:AN31"/>
    <mergeCell ref="AO30:AQ31"/>
    <mergeCell ref="AU30:AU31"/>
    <mergeCell ref="AV30:AV31"/>
    <mergeCell ref="AW30:AW31"/>
    <mergeCell ref="AX30:AX31"/>
    <mergeCell ref="AY30:AY31"/>
    <mergeCell ref="AZ30:AZ31"/>
    <mergeCell ref="BA30:BA31"/>
    <mergeCell ref="AF28:AG29"/>
    <mergeCell ref="AH28:AJ29"/>
  </mergeCells>
  <conditionalFormatting sqref="AK16 AK18 AK20 AK22 AK24 AK26 AK28 AK30 AK32 AK34">
    <cfRule type="expression" dxfId="95" priority="20">
      <formula>ISNUMBER(AK16)=FALSE</formula>
    </cfRule>
  </conditionalFormatting>
  <conditionalFormatting sqref="Q16:AG17 Q20:AG35 U18:AG19">
    <cfRule type="expression" dxfId="94" priority="19">
      <formula>AND(ISBLANK($F16)=FALSE,ISBLANK(Q16)=TRUE)</formula>
    </cfRule>
  </conditionalFormatting>
  <conditionalFormatting sqref="Q18:T19">
    <cfRule type="expression" dxfId="93" priority="18">
      <formula>AND(ISBLANK($F18)=FALSE,ISBLANK(Q18)=TRUE)</formula>
    </cfRule>
  </conditionalFormatting>
  <conditionalFormatting sqref="L16:P17 L20:P35">
    <cfRule type="expression" dxfId="92" priority="17">
      <formula>AND(ISBLANK($F16)=FALSE,ISBLANK(L16)=TRUE)</formula>
    </cfRule>
  </conditionalFormatting>
  <conditionalFormatting sqref="L18:P19">
    <cfRule type="expression" dxfId="91" priority="16">
      <formula>AND(ISBLANK($F18)=FALSE,ISBLANK(L18)=TRUE)</formula>
    </cfRule>
  </conditionalFormatting>
  <conditionalFormatting sqref="AQ2:AR3">
    <cfRule type="cellIs" dxfId="90" priority="3" operator="equal">
      <formula>1</formula>
    </cfRule>
    <cfRule type="cellIs" dxfId="89" priority="4" operator="between">
      <formula>0.51</formula>
      <formula>0.99</formula>
    </cfRule>
    <cfRule type="cellIs" dxfId="88" priority="5" operator="lessThanOrEqual">
      <formula>0.5</formula>
    </cfRule>
  </conditionalFormatting>
  <conditionalFormatting sqref="AH2 AL2">
    <cfRule type="expression" dxfId="87" priority="1">
      <formula>OR(PROJSTATUS=PROJSTATELI,PROJSTATUS=PROJSTATEXP,PROJSTATUS=PROJSTATUNDER)</formula>
    </cfRule>
    <cfRule type="expression" dxfId="86" priority="2">
      <formula>PROJSTATUS=PROJSTATFILLINITIAL</formula>
    </cfRule>
    <cfRule type="expression" dxfId="85" priority="6">
      <formula>PROJSTATUS=PROJSTATPREAPPROVE</formula>
    </cfRule>
    <cfRule type="expression" dxfId="84" priority="7">
      <formula>OR(PROJSTATUS=PROJSTATSSUBMITINITIAL,PROJSTATUS=PROJSTATREVIEW)</formula>
    </cfRule>
  </conditionalFormatting>
  <dataValidations count="7">
    <dataValidation type="decimal" allowBlank="1" showInputMessage="1" showErrorMessage="1" prompt="Enter the kWh use per unit of equipment in one year." sqref="AB16 S16 AB34 S20 S22 S24 S26 S28 S30 S32 S34 S18 AB20 AB22 AB24 AB26 AB28 AB30 AB32 AB18" xr:uid="{00000000-0002-0000-2400-000000000000}">
      <formula1>0</formula1>
      <formula2>999999999</formula2>
    </dataValidation>
    <dataValidation type="decimal" allowBlank="1" showInputMessage="1" showErrorMessage="1" error="Please enter a numerical value" sqref="Z16 Q16 Z34 Q20 Q22 Q24 Q26 Q28 Q30 Q32 Q34 Q18 Z20 Z22 Z24 Z26 Z28 Z30 Z32 Z18" xr:uid="{00000000-0002-0000-2400-000001000000}">
      <formula1>0</formula1>
      <formula2>999999</formula2>
    </dataValidation>
    <dataValidation type="list" allowBlank="1" showInputMessage="1" showErrorMessage="1" sqref="AW16:AW35" xr:uid="{00000000-0002-0000-2400-000002000000}">
      <formula1>ENDUSECAT</formula1>
    </dataValidation>
    <dataValidation type="decimal" allowBlank="1" showInputMessage="1" showErrorMessage="1" error="Please enter a numerical value" prompt="NOTE: This is the TOTAL Masterial or Labor COST of the measure, not a per UNIT basis._x000a__x000a_For New or Failed Replacement, this is the total cost difference between purchasing the baseline equipment vs. what is being installed." sqref="AF16 AD16 AF32 AD20 AD22 AD24 AD26 AD28 AD30 AD32 AD34 AF34 AF20 AF22 AF24 AF26 AF28 AF30 AF18 AD18" xr:uid="{00000000-0002-0000-2400-000003000000}">
      <formula1>0</formula1>
      <formula2>999999999</formula2>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xr:uid="{00000000-0002-0000-2400-000004000000}">
      <formula1>IF(ISBLANK(F16),NONPRESCPROGRAM,"")</formula1>
    </dataValidation>
    <dataValidation allowBlank="1" showInputMessage="1" showErrorMessage="1" prompt="Baseline Detail is the equipment currently present that is being replaced._x000a__x000a_For New or Failed Replacement, this is the code-minimum equipment or control strategy that could be installed in lieu of the more efficient option." sqref="L16 L18 L34 L20 L22 L24 L26 L28 L30 L32" xr:uid="{00000000-0002-0000-2400-000005000000}"/>
    <dataValidation type="list" allowBlank="1" showInputMessage="1" showErrorMessage="1" prompt="Select the measure type that is closest to the selections in this list. If not listed, select &quot;Others&quot;" sqref="F16:K35" xr:uid="{00000000-0002-0000-2400-000006000000}">
      <formula1>CMEMISCDESC</formula1>
    </dataValidation>
  </dataValidations>
  <hyperlinks>
    <hyperlink ref="B202" r:id="rId1" display="NIPSCO.Savings@LMCO.com" xr:uid="{00000000-0004-0000-2400-000000000000}"/>
  </hyperlinks>
  <pageMargins left="0.25" right="0.25" top="0.25" bottom="0.25" header="0.25" footer="0.25"/>
  <pageSetup scale="62" fitToHeight="0" orientation="landscape"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0">
    <pageSetUpPr fitToPage="1"/>
  </sheetPr>
  <dimension ref="A1:BZ202"/>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135" customWidth="1"/>
    <col min="46" max="46" width="4.7109375" style="135" hidden="1" customWidth="1"/>
    <col min="47" max="78" width="9.140625" style="135" hidden="1" customWidth="1"/>
    <col min="79" max="16384" width="9.140625" hidden="1"/>
  </cols>
  <sheetData>
    <row r="1" spans="2:78" ht="15.95" customHeight="1" x14ac:dyDescent="0.3">
      <c r="AH1" s="711" t="s">
        <v>494</v>
      </c>
      <c r="AI1" s="712"/>
      <c r="AJ1" s="712"/>
      <c r="AK1" s="712"/>
      <c r="AL1" s="723" t="s">
        <v>911</v>
      </c>
      <c r="AM1" s="723"/>
      <c r="AN1" s="723"/>
      <c r="AO1" s="723"/>
      <c r="AP1" s="723"/>
      <c r="AQ1" s="717" t="s">
        <v>499</v>
      </c>
      <c r="AR1" s="718"/>
    </row>
    <row r="2" spans="2:78" ht="15.95" customHeight="1" x14ac:dyDescent="0.25">
      <c r="AH2" s="713" t="str">
        <f ca="1">INCENSTATUS</f>
        <v>---</v>
      </c>
      <c r="AI2" s="714"/>
      <c r="AJ2" s="714"/>
      <c r="AK2" s="714"/>
      <c r="AL2" s="724" t="str">
        <f ca="1">PROJSTATUS</f>
        <v>Please Complete Initial Application</v>
      </c>
      <c r="AM2" s="724"/>
      <c r="AN2" s="724"/>
      <c r="AO2" s="724"/>
      <c r="AP2" s="724"/>
      <c r="AQ2" s="719">
        <f ca="1">PROGRESSSTATUS</f>
        <v>0</v>
      </c>
      <c r="AR2" s="720"/>
    </row>
    <row r="3" spans="2:78" ht="15.95" customHeight="1" x14ac:dyDescent="0.25">
      <c r="AH3" s="715"/>
      <c r="AI3" s="716"/>
      <c r="AJ3" s="716"/>
      <c r="AK3" s="716"/>
      <c r="AL3" s="725"/>
      <c r="AM3" s="725"/>
      <c r="AN3" s="725"/>
      <c r="AO3" s="725"/>
      <c r="AP3" s="725"/>
      <c r="AQ3" s="721"/>
      <c r="AR3" s="722"/>
    </row>
    <row r="4" spans="2:78" ht="15.95" customHeight="1" x14ac:dyDescent="0.25"/>
    <row r="5" spans="2:78" ht="15.95" customHeight="1" x14ac:dyDescent="0.25"/>
    <row r="6" spans="2:78" ht="15.95" customHeight="1" x14ac:dyDescent="0.25">
      <c r="AU6" s="145" t="s">
        <v>1372</v>
      </c>
      <c r="AV6" s="145">
        <f>PROJID</f>
        <v>0</v>
      </c>
    </row>
    <row r="7" spans="2:78" ht="15.95" customHeight="1" x14ac:dyDescent="0.25">
      <c r="AU7" s="219"/>
      <c r="AV7" s="219" t="s">
        <v>1184</v>
      </c>
      <c r="AW7" s="219" t="s">
        <v>249</v>
      </c>
      <c r="AX7" s="219" t="s">
        <v>1336</v>
      </c>
      <c r="AY7" s="219"/>
    </row>
    <row r="8" spans="2:78" ht="15.95" customHeight="1" x14ac:dyDescent="0.25">
      <c r="AU8" s="219" t="s">
        <v>237</v>
      </c>
      <c r="AV8" s="219" t="str">
        <f>CBPRESE</f>
        <v>NA</v>
      </c>
      <c r="AW8" s="219" t="str">
        <f>CBCUSE</f>
        <v>NA</v>
      </c>
      <c r="AX8" s="219" t="str">
        <f>CBALL</f>
        <v>NA</v>
      </c>
      <c r="AY8" s="219"/>
    </row>
    <row r="9" spans="2:78" s="63" customFormat="1" ht="15.95" customHeight="1" x14ac:dyDescent="0.25">
      <c r="B9" s="135"/>
      <c r="C9" s="135"/>
      <c r="D9" s="135"/>
      <c r="E9" s="135"/>
      <c r="F9" s="135"/>
      <c r="G9" s="135"/>
      <c r="H9" s="135"/>
      <c r="I9" s="135"/>
      <c r="J9" s="135"/>
      <c r="K9" s="135"/>
      <c r="L9" s="135"/>
      <c r="M9" s="135"/>
      <c r="N9" s="135"/>
      <c r="O9" s="135"/>
      <c r="P9" s="135"/>
      <c r="Q9" s="135"/>
      <c r="R9" s="971" t="str">
        <f>CONCATENATE(M4S8," ","Summary")</f>
        <v>Exterior Lighting Summary</v>
      </c>
      <c r="S9" s="971"/>
      <c r="T9" s="971"/>
      <c r="U9" s="971"/>
      <c r="V9" s="971"/>
      <c r="W9" s="971"/>
      <c r="X9" s="971"/>
      <c r="Y9" s="971"/>
      <c r="Z9" s="971"/>
      <c r="AA9" s="971"/>
      <c r="AB9" s="971"/>
      <c r="AC9" s="971"/>
      <c r="AD9" s="135"/>
      <c r="AE9" s="135"/>
      <c r="AF9" s="135"/>
      <c r="AG9" s="135"/>
      <c r="AH9" s="135"/>
      <c r="AI9" s="135"/>
      <c r="AJ9" s="135"/>
      <c r="AK9" s="135"/>
      <c r="AL9" s="135"/>
      <c r="AM9" s="135"/>
      <c r="AN9" s="135"/>
      <c r="AO9" s="135"/>
      <c r="AP9" s="135"/>
      <c r="AQ9" s="135"/>
      <c r="AR9" s="135"/>
      <c r="AS9" s="135"/>
      <c r="AT9" s="135"/>
      <c r="AU9" s="219"/>
      <c r="AV9" s="219"/>
      <c r="AW9" s="219"/>
      <c r="AX9" s="219"/>
      <c r="AY9" s="219"/>
      <c r="AZ9" s="135"/>
      <c r="BA9" s="135"/>
      <c r="BB9" s="135"/>
      <c r="BC9" s="135"/>
      <c r="BD9" s="135"/>
      <c r="BE9" s="135"/>
      <c r="BF9" s="135"/>
      <c r="BG9" s="135"/>
      <c r="BH9" s="135"/>
      <c r="BI9" s="135"/>
      <c r="BJ9" s="135"/>
      <c r="BK9" s="135"/>
      <c r="BL9" s="135"/>
      <c r="BM9" s="135"/>
      <c r="BN9" s="135"/>
      <c r="BO9" s="135"/>
      <c r="BP9" s="135"/>
      <c r="BQ9" s="135"/>
      <c r="BR9" s="135"/>
      <c r="BS9" s="135"/>
      <c r="BT9" s="135"/>
      <c r="BU9" s="135"/>
      <c r="BV9" s="135"/>
      <c r="BW9" s="135"/>
      <c r="BX9" s="135"/>
      <c r="BY9" s="135"/>
      <c r="BZ9" s="135"/>
    </row>
    <row r="10" spans="2:78" ht="15.95" customHeight="1" x14ac:dyDescent="0.25">
      <c r="B10" s="135"/>
      <c r="C10" s="135"/>
      <c r="D10" s="135"/>
      <c r="E10" s="135"/>
      <c r="F10" s="135"/>
      <c r="G10" s="135"/>
      <c r="H10" s="135"/>
      <c r="I10" s="135"/>
      <c r="J10" s="135"/>
      <c r="K10" s="135"/>
      <c r="L10" s="135"/>
      <c r="M10" s="135"/>
      <c r="N10" s="135"/>
      <c r="O10" s="135"/>
      <c r="P10" s="147"/>
      <c r="Q10" s="147"/>
      <c r="R10" s="971"/>
      <c r="S10" s="971"/>
      <c r="T10" s="971"/>
      <c r="U10" s="971"/>
      <c r="V10" s="971"/>
      <c r="W10" s="971"/>
      <c r="X10" s="971"/>
      <c r="Y10" s="971"/>
      <c r="Z10" s="971"/>
      <c r="AA10" s="971"/>
      <c r="AB10" s="971"/>
      <c r="AC10" s="971"/>
      <c r="AD10" s="147"/>
      <c r="AE10" s="147"/>
      <c r="AF10" s="147"/>
      <c r="AG10" s="135"/>
      <c r="AH10" s="135"/>
      <c r="AI10" s="135"/>
      <c r="AJ10" s="135"/>
      <c r="AK10" s="135"/>
      <c r="AL10" s="135"/>
      <c r="AM10" s="135"/>
      <c r="AN10" s="135"/>
      <c r="AO10" s="135"/>
      <c r="AP10" s="135"/>
      <c r="AQ10" s="135"/>
      <c r="AR10" s="135"/>
      <c r="AU10" s="219" t="s">
        <v>642</v>
      </c>
      <c r="AV10" s="219" t="str">
        <f>PAYPRESE</f>
        <v>NA</v>
      </c>
      <c r="AW10" s="219" t="str">
        <f>PAYCUSE</f>
        <v>NA</v>
      </c>
      <c r="AX10" s="219" t="str">
        <f>PAYALL</f>
        <v>NA</v>
      </c>
      <c r="AY10" s="219"/>
    </row>
    <row r="11" spans="2:78" ht="15.95" customHeight="1" x14ac:dyDescent="0.3">
      <c r="B11" s="135"/>
      <c r="C11" s="135"/>
      <c r="D11" s="135"/>
      <c r="E11" s="135"/>
      <c r="F11" s="135"/>
      <c r="G11" s="135"/>
      <c r="H11" s="135"/>
      <c r="I11" s="135"/>
      <c r="J11" s="135"/>
      <c r="K11" s="135"/>
      <c r="L11" s="135"/>
      <c r="M11" s="135"/>
      <c r="N11" s="135"/>
      <c r="O11" s="135"/>
      <c r="P11" s="135"/>
      <c r="Q11" s="135"/>
      <c r="R11" s="974" t="s">
        <v>69</v>
      </c>
      <c r="S11" s="974"/>
      <c r="T11" s="974"/>
      <c r="U11" s="974"/>
      <c r="V11" s="974" t="s">
        <v>70</v>
      </c>
      <c r="W11" s="974"/>
      <c r="X11" s="974"/>
      <c r="Y11" s="974"/>
      <c r="Z11" s="974" t="s">
        <v>71</v>
      </c>
      <c r="AA11" s="974"/>
      <c r="AB11" s="974"/>
      <c r="AC11" s="974"/>
      <c r="AD11" s="135"/>
      <c r="AE11" s="135"/>
      <c r="AF11" s="135"/>
      <c r="AG11" s="135"/>
      <c r="AH11" s="135"/>
      <c r="AI11" s="135"/>
      <c r="AJ11" s="135"/>
      <c r="AK11" s="135"/>
      <c r="AL11" s="135"/>
      <c r="AM11" s="135"/>
      <c r="AN11" s="135"/>
      <c r="AO11" s="135"/>
      <c r="AP11" s="135"/>
      <c r="AQ11" s="135"/>
      <c r="AR11" s="135"/>
      <c r="AU11" s="220" t="s">
        <v>1324</v>
      </c>
      <c r="AV11" s="145"/>
      <c r="AW11" s="145"/>
      <c r="AX11" s="145"/>
      <c r="AY11" s="145"/>
    </row>
    <row r="12" spans="2:78" ht="15.95" customHeight="1" x14ac:dyDescent="0.25">
      <c r="B12" s="135"/>
      <c r="C12" s="135"/>
      <c r="D12" s="135"/>
      <c r="E12" s="135"/>
      <c r="F12" s="135"/>
      <c r="G12" s="135"/>
      <c r="H12" s="135"/>
      <c r="I12" s="135"/>
      <c r="J12" s="135"/>
      <c r="K12" s="135"/>
      <c r="L12" s="135"/>
      <c r="M12" s="135"/>
      <c r="N12" s="135"/>
      <c r="O12" s="135"/>
      <c r="P12" s="135"/>
      <c r="Q12" s="135"/>
      <c r="R12" s="1113">
        <f>SUM(AN16:AQ199)</f>
        <v>0</v>
      </c>
      <c r="S12" s="1113"/>
      <c r="T12" s="1113"/>
      <c r="U12" s="1113"/>
      <c r="V12" s="1113">
        <f>SUM(AK16:AM199)</f>
        <v>0</v>
      </c>
      <c r="W12" s="1113"/>
      <c r="X12" s="1113"/>
      <c r="Y12" s="1113"/>
      <c r="Z12" s="1114">
        <f>SUM(AZ16:AZ199)</f>
        <v>0</v>
      </c>
      <c r="AA12" s="1114"/>
      <c r="AB12" s="1114"/>
      <c r="AC12" s="1114"/>
      <c r="AD12" s="1337"/>
      <c r="AE12" s="1337"/>
      <c r="AF12" s="1337"/>
      <c r="AG12" s="1337"/>
      <c r="AH12" s="135"/>
      <c r="AI12" s="135"/>
      <c r="AJ12" s="135"/>
      <c r="AK12" s="135"/>
      <c r="AL12" s="135"/>
      <c r="AM12" s="135"/>
      <c r="AN12" s="135"/>
      <c r="AO12" s="135"/>
      <c r="AP12" s="135"/>
      <c r="AQ12" s="135"/>
      <c r="AR12" s="135"/>
    </row>
    <row r="13" spans="2:78" s="63" customFormat="1" ht="15.95" customHeight="1" x14ac:dyDescent="0.25">
      <c r="B13" s="135"/>
      <c r="C13" s="135"/>
      <c r="D13" s="135"/>
      <c r="E13" s="135"/>
      <c r="F13" s="135"/>
      <c r="G13" s="135"/>
      <c r="H13" s="135"/>
      <c r="I13" s="135"/>
      <c r="J13" s="135"/>
      <c r="K13" s="135"/>
      <c r="L13" s="135"/>
      <c r="M13" s="135"/>
      <c r="N13" s="135"/>
      <c r="O13" s="135"/>
      <c r="P13" s="135"/>
      <c r="Q13" s="135"/>
      <c r="R13" s="1113"/>
      <c r="S13" s="1113"/>
      <c r="T13" s="1113"/>
      <c r="U13" s="1113"/>
      <c r="V13" s="1113"/>
      <c r="W13" s="1113"/>
      <c r="X13" s="1113"/>
      <c r="Y13" s="1113"/>
      <c r="Z13" s="1114"/>
      <c r="AA13" s="1114"/>
      <c r="AB13" s="1114"/>
      <c r="AC13" s="1114"/>
      <c r="AD13" s="187"/>
      <c r="AE13"/>
      <c r="AF13"/>
      <c r="AG13"/>
      <c r="AH13"/>
      <c r="AI13"/>
      <c r="AJ13"/>
      <c r="AK13"/>
      <c r="AL13"/>
      <c r="AM13"/>
      <c r="AN13"/>
      <c r="AO13"/>
      <c r="AP13"/>
      <c r="AQ13"/>
      <c r="AR13"/>
      <c r="AS13"/>
      <c r="AT13"/>
      <c r="AU13"/>
      <c r="AV13"/>
      <c r="AW13"/>
      <c r="AX13"/>
      <c r="AY13"/>
      <c r="AZ13"/>
      <c r="BA13"/>
      <c r="BB13"/>
      <c r="BC13"/>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row>
    <row r="14" spans="2:78" ht="15.95" customHeight="1" x14ac:dyDescent="0.25">
      <c r="B14" s="562"/>
      <c r="C14" s="1376" t="s">
        <v>101</v>
      </c>
      <c r="D14" s="1376"/>
      <c r="E14" s="1376"/>
      <c r="F14" s="1378" t="s">
        <v>2150</v>
      </c>
      <c r="G14" s="1378"/>
      <c r="H14" s="1378"/>
      <c r="I14" s="1376" t="s">
        <v>2151</v>
      </c>
      <c r="J14" s="1376"/>
      <c r="K14" s="1376"/>
      <c r="L14" s="1376"/>
      <c r="M14" s="1376" t="s">
        <v>2152</v>
      </c>
      <c r="N14" s="1376"/>
      <c r="O14" s="1376"/>
      <c r="P14" s="1376" t="s">
        <v>2153</v>
      </c>
      <c r="Q14" s="1376"/>
      <c r="R14" s="1376" t="s">
        <v>2154</v>
      </c>
      <c r="S14" s="1376"/>
      <c r="T14" s="1376" t="s">
        <v>2155</v>
      </c>
      <c r="U14" s="1376"/>
      <c r="V14" s="1376" t="s">
        <v>2156</v>
      </c>
      <c r="W14" s="1376"/>
      <c r="X14" s="1376"/>
      <c r="Y14" s="1376"/>
      <c r="Z14" s="1376" t="s">
        <v>2157</v>
      </c>
      <c r="AA14" s="1376"/>
      <c r="AB14" s="1376"/>
      <c r="AC14" s="1376" t="s">
        <v>2158</v>
      </c>
      <c r="AD14" s="1376"/>
      <c r="AE14" s="1376" t="s">
        <v>2154</v>
      </c>
      <c r="AF14" s="1376"/>
      <c r="AG14" s="563"/>
      <c r="AH14" s="563"/>
      <c r="AI14" s="563"/>
      <c r="AJ14" s="563"/>
      <c r="AK14" s="1376" t="s">
        <v>103</v>
      </c>
      <c r="AL14" s="1376"/>
      <c r="AM14" s="1376"/>
      <c r="AN14" s="1376" t="s">
        <v>102</v>
      </c>
      <c r="AO14" s="1376"/>
      <c r="AP14" s="1376"/>
      <c r="AQ14" s="1376"/>
      <c r="AR14" s="562"/>
      <c r="AS14" s="564"/>
      <c r="AT14" s="564"/>
      <c r="AU14" s="1376" t="s">
        <v>237</v>
      </c>
      <c r="AV14" s="1376" t="s">
        <v>643</v>
      </c>
      <c r="AW14" s="1376" t="s">
        <v>2159</v>
      </c>
      <c r="AX14" s="1376" t="s">
        <v>2160</v>
      </c>
      <c r="AY14" s="1376" t="s">
        <v>141</v>
      </c>
      <c r="AZ14" s="1376" t="s">
        <v>109</v>
      </c>
      <c r="BA14" s="1376" t="s">
        <v>2161</v>
      </c>
      <c r="BB14" s="1373" t="s">
        <v>642</v>
      </c>
      <c r="BC14" s="1373" t="s">
        <v>521</v>
      </c>
    </row>
    <row r="15" spans="2:78" ht="15.95" customHeight="1" thickBot="1" x14ac:dyDescent="0.3">
      <c r="B15" s="562"/>
      <c r="C15" s="1375"/>
      <c r="D15" s="1375"/>
      <c r="E15" s="1375"/>
      <c r="F15" s="1379"/>
      <c r="G15" s="1379"/>
      <c r="H15" s="1379"/>
      <c r="I15" s="1375"/>
      <c r="J15" s="1375"/>
      <c r="K15" s="1375"/>
      <c r="L15" s="1375"/>
      <c r="M15" s="1375"/>
      <c r="N15" s="1375"/>
      <c r="O15" s="1375"/>
      <c r="P15" s="1375"/>
      <c r="Q15" s="1375"/>
      <c r="R15" s="1375"/>
      <c r="S15" s="1375"/>
      <c r="T15" s="1375"/>
      <c r="U15" s="1375"/>
      <c r="V15" s="1375"/>
      <c r="W15" s="1375"/>
      <c r="X15" s="1375"/>
      <c r="Y15" s="1375"/>
      <c r="Z15" s="1375"/>
      <c r="AA15" s="1375"/>
      <c r="AB15" s="1375"/>
      <c r="AC15" s="1375"/>
      <c r="AD15" s="1375"/>
      <c r="AE15" s="1375"/>
      <c r="AF15" s="1375"/>
      <c r="AG15" s="1375" t="s">
        <v>104</v>
      </c>
      <c r="AH15" s="1375"/>
      <c r="AI15" s="1375" t="s">
        <v>105</v>
      </c>
      <c r="AJ15" s="1375"/>
      <c r="AK15" s="1375"/>
      <c r="AL15" s="1375"/>
      <c r="AM15" s="1375"/>
      <c r="AN15" s="1375"/>
      <c r="AO15" s="1375"/>
      <c r="AP15" s="1375"/>
      <c r="AQ15" s="1375"/>
      <c r="AR15" s="562"/>
      <c r="AS15" s="564"/>
      <c r="AT15" s="564"/>
      <c r="AU15" s="1375"/>
      <c r="AV15" s="1375"/>
      <c r="AW15" s="1375"/>
      <c r="AX15" s="1375"/>
      <c r="AY15" s="1375"/>
      <c r="AZ15" s="1375"/>
      <c r="BA15" s="1375"/>
      <c r="BB15" s="1374"/>
      <c r="BC15" s="1374"/>
    </row>
    <row r="16" spans="2:78" ht="15.95" customHeight="1" x14ac:dyDescent="0.25">
      <c r="B16" s="1377">
        <v>1</v>
      </c>
      <c r="C16" s="1372"/>
      <c r="D16" s="1360"/>
      <c r="E16" s="1360"/>
      <c r="F16" s="1360"/>
      <c r="G16" s="1360"/>
      <c r="H16" s="1360"/>
      <c r="I16" s="1360"/>
      <c r="J16" s="1360"/>
      <c r="K16" s="1360"/>
      <c r="L16" s="1360"/>
      <c r="M16" s="1372"/>
      <c r="N16" s="1360"/>
      <c r="O16" s="1360"/>
      <c r="P16" s="1349"/>
      <c r="Q16" s="1349"/>
      <c r="R16" s="1351" t="str">
        <f>IF(I16="","",INDEX(CMLIGHTBASE[Base Watt 1],MATCH(I16,CMLIGHTBASE[Base Desc 1],0)))</f>
        <v/>
      </c>
      <c r="S16" s="1352"/>
      <c r="T16" s="1355">
        <v>8760</v>
      </c>
      <c r="U16" s="1356"/>
      <c r="V16" s="1359"/>
      <c r="W16" s="1360"/>
      <c r="X16" s="1360"/>
      <c r="Y16" s="1360"/>
      <c r="Z16" s="1372"/>
      <c r="AA16" s="1360"/>
      <c r="AB16" s="1360"/>
      <c r="AC16" s="1349"/>
      <c r="AD16" s="1349"/>
      <c r="AE16" s="1351" t="str">
        <f>IF(V16="","",INDEX(CMLIGHTEFF[Eff Watt 1],MATCH(V16,CMLIGHTEFF[Eff Desc 1],0)))</f>
        <v/>
      </c>
      <c r="AF16" s="1351"/>
      <c r="AG16" s="1367"/>
      <c r="AH16" s="1367"/>
      <c r="AI16" s="1367"/>
      <c r="AJ16" s="1369"/>
      <c r="AK16" s="1024" t="str">
        <f>IF(OR(C16="",F16="",M16="",P16="",R16="",T16="",Z16="",AC16="",AE16="",AG16="",AI16=""),"",ROUND((AG16+AI16)*AC16,2))</f>
        <v/>
      </c>
      <c r="AL16" s="1348"/>
      <c r="AM16" s="1348"/>
      <c r="AN16" s="1340" t="str">
        <f>IF(OR(C16="",F16="",I16="",M16="",P16="",R16="",T16="",V16="",Z16="",AC16="",AE16="",AG16="",AI16=""),"", IF(BC16&lt;&gt;"",BC16,ROUND(MIN(AK16,AZ16*INDEX(CMLIGHTEFF[Inc Rate Exterior],MATCH(V16,CMLIGHTEFF[Eff Desc 1],0))),2)))</f>
        <v/>
      </c>
      <c r="AO16" s="1340"/>
      <c r="AP16" s="1340"/>
      <c r="AQ16" s="1340"/>
      <c r="AR16" s="562"/>
      <c r="AS16" s="564"/>
      <c r="AT16" s="564"/>
      <c r="AU16" s="1342" t="str">
        <f>IFERROR(IF(OR(C16="",I16="",M16="",P16="",R16="",T16="",V16="",Z16="",AC16="",AE16="",AG16="",AI16=""),"",((1+ELOSS)*PEAKTD*(1+INDEX( ELECCB[Capacity Reserve Margin],MATCH(12, ELECCB[Year Number],0)))*((AZ16*INDEX( ELECCB[NPV AEC $/kWh],MATCH(15, ELECCB[Year Number],0)))+(AV16*INDEX( ELECCB[NPV ACC+T&amp;D $/kW],MATCH(15, ELECCB[Year Number],0))))/AK16)),0)</f>
        <v/>
      </c>
      <c r="AV16" s="1344" t="str">
        <f>IF(OR(C16="",F16="",I16="",M16="",P16="",R16="",T16="",V16="",Z16="",AC16="",AE16="",AG16="",AI16=""),"",IF((P16*R16)&lt;=(AC16*AE16),"0",ROUND(AZ16*INDEX( ENDUSEALL[Factor],MATCH("Miscellaneous",ENDUSEALL[End Use to Coincident Peak Demand Factors],0)),4)))</f>
        <v/>
      </c>
      <c r="AW16" s="1346" t="str">
        <f>IF(OR(C16="",I16="",M16="",P16="",R16="",T16="",V16="",Z16="",AC16="",AE16="",AG16="",AI16=""),"",IF(ISNUMBER(SEARCH("Incandescent",I16)),(0.7*R16)*T16*P16/1000,P16*R16*T16/1000))</f>
        <v/>
      </c>
      <c r="AX16" s="1346" t="str">
        <f>IF(OR(C16="",I16="",M16="",P16="",R16="",T16="",V16="",Z16="",AC16="",AE16="",AG16="",AI16=""),"",AC16*AE16*T16/1000)</f>
        <v/>
      </c>
      <c r="AY16" s="1363" t="str">
        <f>IF(OR(C16="",F16="",I16="",M16="",P16="",R16="",T16="",V16="",Z16="",AC16="",AE16="",AG16="",AI16=""),"",CONCATENATE(INDEX( CMLIGHTEFF[Measure Number],MATCH(V16, CMLIGHTEFF[Eff Desc 1],0)),INDEX( CMLIGHTBASE[Measure Number],MATCH(I16, CMLIGHTBASE[Base Desc 1],0))))</f>
        <v/>
      </c>
      <c r="AZ16" s="1346" t="str">
        <f>IF(OR(C16="",F16="",I16="",M16="",P16="",R16="",T16="",V16="",Z16="",AC16="",AE16="",AG16="",AI16=""),"",ROUND(IF((P16*R16)&lt;=(AC16*AE16),"0",(AW16-AX16)),0))</f>
        <v/>
      </c>
      <c r="BA16" s="1365" t="str">
        <f>IF(OR(C16="",I16="",M16="",P16="",R16="",T16="",V16="",Z16="",AC16="",AE16="",AG16="",AI16=""),"",IF((P16*R16)&lt;=(AC16*AE16),"0",ROUND(((P16*R16)-(AC16*AE16))/1000,3)))</f>
        <v/>
      </c>
      <c r="BB16" s="1338" t="str">
        <f>IFERROR(AK16/M02S02F35/AZ16,"")</f>
        <v/>
      </c>
      <c r="BC16" s="1338" t="str">
        <f>IFERROR(IF(OR(V16="CFL"),MEASUREELI,IF((P16*R16)&lt;=(AC16*AE16),MEASURESAVE,IF(M02S02F35="",MEASURERATE,IF(AK16/M02S02F35/AZ16&lt;1,MEASUREPAY,IF(AU16&lt;1,MEASURECB, IF(AND(ISNUMBER(SEARCH("24/7",F16)),T16&lt;8500),"Check Location and Hours",IF(AND(ISNUMBER(SEARCH("Dusk to Dawn",F16)),T16&gt;=8500,T16&lt;=8760),"Check Location and Hours",""))))))),MEASURESUBMIT)</f>
        <v>Submit for Review</v>
      </c>
      <c r="BD16"/>
    </row>
    <row r="17" spans="2:56" ht="15.95" customHeight="1" x14ac:dyDescent="0.25">
      <c r="B17" s="1377"/>
      <c r="C17" s="1362"/>
      <c r="D17" s="1362"/>
      <c r="E17" s="1362"/>
      <c r="F17" s="1362"/>
      <c r="G17" s="1362"/>
      <c r="H17" s="1362"/>
      <c r="I17" s="1362"/>
      <c r="J17" s="1362"/>
      <c r="K17" s="1362"/>
      <c r="L17" s="1362"/>
      <c r="M17" s="1362"/>
      <c r="N17" s="1362"/>
      <c r="O17" s="1362"/>
      <c r="P17" s="1350"/>
      <c r="Q17" s="1350"/>
      <c r="R17" s="1353"/>
      <c r="S17" s="1354"/>
      <c r="T17" s="1357"/>
      <c r="U17" s="1358"/>
      <c r="V17" s="1361"/>
      <c r="W17" s="1362"/>
      <c r="X17" s="1362"/>
      <c r="Y17" s="1362"/>
      <c r="Z17" s="1362"/>
      <c r="AA17" s="1362"/>
      <c r="AB17" s="1362"/>
      <c r="AC17" s="1350"/>
      <c r="AD17" s="1350"/>
      <c r="AE17" s="1353"/>
      <c r="AF17" s="1353"/>
      <c r="AG17" s="1368"/>
      <c r="AH17" s="1368"/>
      <c r="AI17" s="1368"/>
      <c r="AJ17" s="1370"/>
      <c r="AK17" s="1027"/>
      <c r="AL17" s="1128"/>
      <c r="AM17" s="1128"/>
      <c r="AN17" s="1341"/>
      <c r="AO17" s="1341"/>
      <c r="AP17" s="1341"/>
      <c r="AQ17" s="1341"/>
      <c r="AR17" s="562"/>
      <c r="AS17" s="564"/>
      <c r="AT17" s="564"/>
      <c r="AU17" s="1343"/>
      <c r="AV17" s="1345"/>
      <c r="AW17" s="1347"/>
      <c r="AX17" s="1347"/>
      <c r="AY17" s="1364"/>
      <c r="AZ17" s="1347"/>
      <c r="BA17" s="1366"/>
      <c r="BB17" s="1339"/>
      <c r="BC17" s="1339"/>
      <c r="BD17"/>
    </row>
    <row r="18" spans="2:56" ht="15.95" customHeight="1" x14ac:dyDescent="0.25">
      <c r="B18" s="1371">
        <v>2</v>
      </c>
      <c r="C18" s="1360"/>
      <c r="D18" s="1360"/>
      <c r="E18" s="1360"/>
      <c r="F18" s="1360"/>
      <c r="G18" s="1360"/>
      <c r="H18" s="1360"/>
      <c r="I18" s="1360"/>
      <c r="J18" s="1360"/>
      <c r="K18" s="1360"/>
      <c r="L18" s="1360"/>
      <c r="M18" s="1360"/>
      <c r="N18" s="1360"/>
      <c r="O18" s="1360"/>
      <c r="P18" s="1349"/>
      <c r="Q18" s="1349"/>
      <c r="R18" s="1351" t="str">
        <f>IF(I18="","",INDEX(CMLIGHTBASE[Base Watt 1],MATCH(I18,CMLIGHTBASE[Base Desc 1],0)))</f>
        <v/>
      </c>
      <c r="S18" s="1352"/>
      <c r="T18" s="1355">
        <v>8760</v>
      </c>
      <c r="U18" s="1356"/>
      <c r="V18" s="1359"/>
      <c r="W18" s="1360"/>
      <c r="X18" s="1360"/>
      <c r="Y18" s="1360"/>
      <c r="Z18" s="1360"/>
      <c r="AA18" s="1360"/>
      <c r="AB18" s="1360"/>
      <c r="AC18" s="1349"/>
      <c r="AD18" s="1349"/>
      <c r="AE18" s="1351" t="str">
        <f>IF(V18="","",INDEX(CMLIGHTEFF[Eff Watt 1],MATCH(V18,CMLIGHTEFF[Eff Desc 1],0)))</f>
        <v/>
      </c>
      <c r="AF18" s="1351"/>
      <c r="AG18" s="1367"/>
      <c r="AH18" s="1367"/>
      <c r="AI18" s="1367"/>
      <c r="AJ18" s="1369"/>
      <c r="AK18" s="1024" t="str">
        <f t="shared" ref="AK18" si="0">IF(OR(C18="",F18="",M18="",P18="",R18="",T18="",Z18="",AC18="",AE18="",AG18="",AI18=""),"",ROUND((AG18+AI18)*AC18,2))</f>
        <v/>
      </c>
      <c r="AL18" s="1348"/>
      <c r="AM18" s="1348"/>
      <c r="AN18" s="1340" t="str">
        <f>IF(OR(C18="",F18="",I18="",M18="",P18="",R18="",T18="",V18="",Z18="",AC18="",AE18="",AG18="",AI18=""),"", IF(BC18&lt;&gt;"",BC18,ROUND(MIN(AK18,AZ18*INDEX(CMLIGHTEFF[Inc Rate Exterior],MATCH(V18,CMLIGHTEFF[Eff Desc 1],0))),2)))</f>
        <v/>
      </c>
      <c r="AO18" s="1340"/>
      <c r="AP18" s="1340"/>
      <c r="AQ18" s="1340"/>
      <c r="AR18" s="562"/>
      <c r="AS18" s="564"/>
      <c r="AT18" s="564"/>
      <c r="AU18" s="1342" t="str">
        <f>IFERROR(IF(OR(C18="",I18="",M18="",P18="",R18="",T18="",V18="",Z18="",AC18="",AE18="",AG18="",AI18=""),"",((1+ELOSS)*PEAKTD*(1+INDEX( ELECCB[Capacity Reserve Margin],MATCH(12, ELECCB[Year Number],0)))*((AZ18*INDEX( ELECCB[NPV AEC $/kWh],MATCH(15, ELECCB[Year Number],0)))+(AV18*INDEX( ELECCB[NPV ACC+T&amp;D $/kW],MATCH(15, ELECCB[Year Number],0))))/AK18)),0)</f>
        <v/>
      </c>
      <c r="AV18" s="1344" t="str">
        <f>IF(OR(C18="",F18="",I18="",M18="",P18="",R18="",T18="",V18="",Z18="",AC18="",AE18="",AG18="",AI18=""),"",IF((P18*R18)&lt;=(AC18*AE18),"0",ROUND(AZ18*INDEX( ENDUSEALL[Factor],MATCH("Miscellaneous",ENDUSEALL[End Use to Coincident Peak Demand Factors],0)),4)))</f>
        <v/>
      </c>
      <c r="AW18" s="1346" t="str">
        <f t="shared" ref="AW18" si="1">IF(OR(C18="",I18="",M18="",P18="",R18="",T18="",V18="",Z18="",AC18="",AE18="",AG18="",AI18=""),"",IF(ISNUMBER(SEARCH("Incandescent",I18)),(0.7*R18)*T18*P18/1000,P18*R18*T18/1000))</f>
        <v/>
      </c>
      <c r="AX18" s="1346" t="str">
        <f t="shared" ref="AX18" si="2">IF(OR(C18="",I18="",M18="",P18="",R18="",T18="",V18="",Z18="",AC18="",AE18="",AG18="",AI18=""),"",AC18*AE18*T18/1000)</f>
        <v/>
      </c>
      <c r="AY18" s="1363" t="str">
        <f>IF(OR(C18="",F18="",I18="",M18="",P18="",R18="",T18="",V18="",Z18="",AC18="",AE18="",AG18="",AI18=""),"",CONCATENATE(INDEX( CMLIGHTEFF[Measure Number],MATCH(V18, CMLIGHTEFF[Eff Desc 1],0)),INDEX( CMLIGHTBASE[Measure Number],MATCH(I18, CMLIGHTBASE[Base Desc 1],0))))</f>
        <v/>
      </c>
      <c r="AZ18" s="1346" t="str">
        <f t="shared" ref="AZ18" si="3">IF(OR(C18="",F18="",I18="",M18="",P18="",R18="",T18="",V18="",Z18="",AC18="",AE18="",AG18="",AI18=""),"",ROUND(IF((P18*R18)&lt;=(AC18*AE18),"0",(AW18-AX18)),0))</f>
        <v/>
      </c>
      <c r="BA18" s="1365" t="str">
        <f t="shared" ref="BA18" si="4">IF(OR(C18="",I18="",M18="",P18="",R18="",T18="",V18="",Z18="",AC18="",AE18="",AG18="",AI18=""),"",IF((P18*R18)&lt;=(AC18*AE18),"0",ROUND(((P18*R18)-(AC18*AE18))/1000,3)))</f>
        <v/>
      </c>
      <c r="BB18" s="1338" t="str">
        <f>IFERROR(AK18/M02S02F35/AZ18,"")</f>
        <v/>
      </c>
      <c r="BC18" s="1338" t="str">
        <f>IFERROR(IF(OR(V18="CFL"),MEASUREELI,IF((P18*R18)&lt;=(AC18*AE18),MEASURESAVE,IF(M02S02F35="",MEASURERATE,IF(AK18/M02S02F35/AZ18&lt;1,MEASUREPAY,IF(AU18&lt;1,MEASURECB, IF(AND(ISNUMBER(SEARCH("24/7",F18)),T18&lt;8500),"Check Location and Hours",IF(AND(ISNUMBER(SEARCH("Dusk to Dawn",F18)),T18&gt;=8500,T18&lt;=8760),"Check Location and Hours",""))))))),MEASURESUBMIT)</f>
        <v>Submit for Review</v>
      </c>
      <c r="BD18"/>
    </row>
    <row r="19" spans="2:56" ht="15.95" customHeight="1" x14ac:dyDescent="0.25">
      <c r="B19" s="1371"/>
      <c r="C19" s="1362"/>
      <c r="D19" s="1362"/>
      <c r="E19" s="1362"/>
      <c r="F19" s="1362"/>
      <c r="G19" s="1362"/>
      <c r="H19" s="1362"/>
      <c r="I19" s="1362"/>
      <c r="J19" s="1362"/>
      <c r="K19" s="1362"/>
      <c r="L19" s="1362"/>
      <c r="M19" s="1362"/>
      <c r="N19" s="1362"/>
      <c r="O19" s="1362"/>
      <c r="P19" s="1350"/>
      <c r="Q19" s="1350"/>
      <c r="R19" s="1353"/>
      <c r="S19" s="1354"/>
      <c r="T19" s="1357"/>
      <c r="U19" s="1358"/>
      <c r="V19" s="1361"/>
      <c r="W19" s="1362"/>
      <c r="X19" s="1362"/>
      <c r="Y19" s="1362"/>
      <c r="Z19" s="1362"/>
      <c r="AA19" s="1362"/>
      <c r="AB19" s="1362"/>
      <c r="AC19" s="1350"/>
      <c r="AD19" s="1350"/>
      <c r="AE19" s="1353"/>
      <c r="AF19" s="1353"/>
      <c r="AG19" s="1368"/>
      <c r="AH19" s="1368"/>
      <c r="AI19" s="1368"/>
      <c r="AJ19" s="1370"/>
      <c r="AK19" s="1027"/>
      <c r="AL19" s="1128"/>
      <c r="AM19" s="1128"/>
      <c r="AN19" s="1341"/>
      <c r="AO19" s="1341"/>
      <c r="AP19" s="1341"/>
      <c r="AQ19" s="1341"/>
      <c r="AR19" s="562"/>
      <c r="AS19" s="564"/>
      <c r="AT19" s="564"/>
      <c r="AU19" s="1343"/>
      <c r="AV19" s="1345"/>
      <c r="AW19" s="1347"/>
      <c r="AX19" s="1347"/>
      <c r="AY19" s="1364"/>
      <c r="AZ19" s="1347"/>
      <c r="BA19" s="1366"/>
      <c r="BB19" s="1339"/>
      <c r="BC19" s="1339"/>
      <c r="BD19"/>
    </row>
    <row r="20" spans="2:56" ht="15.95" customHeight="1" x14ac:dyDescent="0.25">
      <c r="B20" s="1371">
        <v>3</v>
      </c>
      <c r="C20" s="1360"/>
      <c r="D20" s="1360"/>
      <c r="E20" s="1360"/>
      <c r="F20" s="1360"/>
      <c r="G20" s="1360"/>
      <c r="H20" s="1360"/>
      <c r="I20" s="1360"/>
      <c r="J20" s="1360"/>
      <c r="K20" s="1360"/>
      <c r="L20" s="1360"/>
      <c r="M20" s="1360"/>
      <c r="N20" s="1360"/>
      <c r="O20" s="1360"/>
      <c r="P20" s="1349"/>
      <c r="Q20" s="1349"/>
      <c r="R20" s="1351" t="str">
        <f>IF(I20="","",INDEX(CMLIGHTBASE[Base Watt 1],MATCH(I20,CMLIGHTBASE[Base Desc 1],0)))</f>
        <v/>
      </c>
      <c r="S20" s="1352"/>
      <c r="T20" s="1355">
        <v>8760</v>
      </c>
      <c r="U20" s="1356"/>
      <c r="V20" s="1359"/>
      <c r="W20" s="1360"/>
      <c r="X20" s="1360"/>
      <c r="Y20" s="1360"/>
      <c r="Z20" s="1360"/>
      <c r="AA20" s="1360"/>
      <c r="AB20" s="1360"/>
      <c r="AC20" s="1349"/>
      <c r="AD20" s="1349"/>
      <c r="AE20" s="1351" t="str">
        <f>IF(V20="","",INDEX(CMLIGHTEFF[Eff Watt 1],MATCH(V20,CMLIGHTEFF[Eff Desc 1],0)))</f>
        <v/>
      </c>
      <c r="AF20" s="1351"/>
      <c r="AG20" s="1367"/>
      <c r="AH20" s="1367"/>
      <c r="AI20" s="1367"/>
      <c r="AJ20" s="1369"/>
      <c r="AK20" s="1024" t="str">
        <f t="shared" ref="AK20" si="5">IF(OR(C20="",F20="",M20="",P20="",R20="",T20="",Z20="",AC20="",AE20="",AG20="",AI20=""),"",ROUND((AG20+AI20)*AC20,2))</f>
        <v/>
      </c>
      <c r="AL20" s="1348"/>
      <c r="AM20" s="1348"/>
      <c r="AN20" s="1340" t="str">
        <f>IF(OR(C20="",F20="",I20="",M20="",P20="",R20="",T20="",V20="",Z20="",AC20="",AE20="",AG20="",AI20=""),"", IF(BC20&lt;&gt;"",BC20,ROUND(MIN(AK20,AZ20*INDEX(CMLIGHTEFF[Inc Rate Exterior],MATCH(V20,CMLIGHTEFF[Eff Desc 1],0))),2)))</f>
        <v/>
      </c>
      <c r="AO20" s="1340"/>
      <c r="AP20" s="1340"/>
      <c r="AQ20" s="1340"/>
      <c r="AR20" s="562"/>
      <c r="AS20" s="564"/>
      <c r="AT20" s="564"/>
      <c r="AU20" s="1342" t="str">
        <f>IFERROR(IF(OR(C20="",I20="",M20="",P20="",R20="",T20="",V20="",Z20="",AC20="",AE20="",AG20="",AI20=""),"",((1+ELOSS)*PEAKTD*(1+INDEX( ELECCB[Capacity Reserve Margin],MATCH(12, ELECCB[Year Number],0)))*((AZ20*INDEX( ELECCB[NPV AEC $/kWh],MATCH(15, ELECCB[Year Number],0)))+(AV20*INDEX( ELECCB[NPV ACC+T&amp;D $/kW],MATCH(15, ELECCB[Year Number],0))))/AK20)),0)</f>
        <v/>
      </c>
      <c r="AV20" s="1344" t="str">
        <f>IF(OR(C20="",F20="",I20="",M20="",P20="",R20="",T20="",V20="",Z20="",AC20="",AE20="",AG20="",AI20=""),"",IF((P20*R20)&lt;=(AC20*AE20),"0",ROUND(AZ20*INDEX( ENDUSEALL[Factor],MATCH("Miscellaneous",ENDUSEALL[End Use to Coincident Peak Demand Factors],0)),4)))</f>
        <v/>
      </c>
      <c r="AW20" s="1346" t="str">
        <f t="shared" ref="AW20" si="6">IF(OR(C20="",I20="",M20="",P20="",R20="",T20="",V20="",Z20="",AC20="",AE20="",AG20="",AI20=""),"",IF(ISNUMBER(SEARCH("Incandescent",I20)),(0.7*R20)*T20*P20/1000,P20*R20*T20/1000))</f>
        <v/>
      </c>
      <c r="AX20" s="1346" t="str">
        <f t="shared" ref="AX20" si="7">IF(OR(C20="",I20="",M20="",P20="",R20="",T20="",V20="",Z20="",AC20="",AE20="",AG20="",AI20=""),"",AC20*AE20*T20/1000)</f>
        <v/>
      </c>
      <c r="AY20" s="1363" t="str">
        <f>IF(OR(C20="",F20="",I20="",M20="",P20="",R20="",T20="",V20="",Z20="",AC20="",AE20="",AG20="",AI20=""),"",CONCATENATE(INDEX( CMLIGHTEFF[Measure Number],MATCH(V20, CMLIGHTEFF[Eff Desc 1],0)),INDEX( CMLIGHTBASE[Measure Number],MATCH(I20, CMLIGHTBASE[Base Desc 1],0))))</f>
        <v/>
      </c>
      <c r="AZ20" s="1346" t="str">
        <f t="shared" ref="AZ20" si="8">IF(OR(C20="",F20="",I20="",M20="",P20="",R20="",T20="",V20="",Z20="",AC20="",AE20="",AG20="",AI20=""),"",ROUND(IF((P20*R20)&lt;=(AC20*AE20),"0",(AW20-AX20)),0))</f>
        <v/>
      </c>
      <c r="BA20" s="1365" t="str">
        <f t="shared" ref="BA20" si="9">IF(OR(C20="",I20="",M20="",P20="",R20="",T20="",V20="",Z20="",AC20="",AE20="",AG20="",AI20=""),"",IF((P20*R20)&lt;=(AC20*AE20),"0",ROUND(((P20*R20)-(AC20*AE20))/1000,3)))</f>
        <v/>
      </c>
      <c r="BB20" s="1338" t="str">
        <f>IFERROR(AK20/M02S02F35/AZ20,"")</f>
        <v/>
      </c>
      <c r="BC20" s="1338" t="str">
        <f>IFERROR(IF(OR(V20="CFL"),MEASUREELI,IF((P20*R20)&lt;=(AC20*AE20),MEASURESAVE,IF(M02S02F35="",MEASURERATE,IF(AK20/M02S02F35/AZ20&lt;1,MEASUREPAY,IF(AU20&lt;1,MEASURECB, IF(AND(ISNUMBER(SEARCH("24/7",F20)),T20&lt;8500),"Check Location and Hours",IF(AND(ISNUMBER(SEARCH("Dusk to Dawn",F20)),T20&gt;=8500,T20&lt;=8760),"Check Location and Hours",""))))))),MEASURESUBMIT)</f>
        <v>Submit for Review</v>
      </c>
      <c r="BD20"/>
    </row>
    <row r="21" spans="2:56" ht="15.95" customHeight="1" x14ac:dyDescent="0.25">
      <c r="B21" s="1371"/>
      <c r="C21" s="1362"/>
      <c r="D21" s="1362"/>
      <c r="E21" s="1362"/>
      <c r="F21" s="1362"/>
      <c r="G21" s="1362"/>
      <c r="H21" s="1362"/>
      <c r="I21" s="1362"/>
      <c r="J21" s="1362"/>
      <c r="K21" s="1362"/>
      <c r="L21" s="1362"/>
      <c r="M21" s="1362"/>
      <c r="N21" s="1362"/>
      <c r="O21" s="1362"/>
      <c r="P21" s="1350"/>
      <c r="Q21" s="1350"/>
      <c r="R21" s="1353"/>
      <c r="S21" s="1354"/>
      <c r="T21" s="1357"/>
      <c r="U21" s="1358"/>
      <c r="V21" s="1361"/>
      <c r="W21" s="1362"/>
      <c r="X21" s="1362"/>
      <c r="Y21" s="1362"/>
      <c r="Z21" s="1362"/>
      <c r="AA21" s="1362"/>
      <c r="AB21" s="1362"/>
      <c r="AC21" s="1350"/>
      <c r="AD21" s="1350"/>
      <c r="AE21" s="1353"/>
      <c r="AF21" s="1353"/>
      <c r="AG21" s="1368"/>
      <c r="AH21" s="1368"/>
      <c r="AI21" s="1368"/>
      <c r="AJ21" s="1370"/>
      <c r="AK21" s="1027"/>
      <c r="AL21" s="1128"/>
      <c r="AM21" s="1128"/>
      <c r="AN21" s="1341"/>
      <c r="AO21" s="1341"/>
      <c r="AP21" s="1341"/>
      <c r="AQ21" s="1341"/>
      <c r="AR21" s="562"/>
      <c r="AS21" s="564"/>
      <c r="AT21" s="564"/>
      <c r="AU21" s="1343"/>
      <c r="AV21" s="1345"/>
      <c r="AW21" s="1347"/>
      <c r="AX21" s="1347"/>
      <c r="AY21" s="1364"/>
      <c r="AZ21" s="1347"/>
      <c r="BA21" s="1366"/>
      <c r="BB21" s="1339"/>
      <c r="BC21" s="1339"/>
      <c r="BD21"/>
    </row>
    <row r="22" spans="2:56" ht="15.95" customHeight="1" x14ac:dyDescent="0.25">
      <c r="B22" s="1371">
        <v>4</v>
      </c>
      <c r="C22" s="1360"/>
      <c r="D22" s="1360"/>
      <c r="E22" s="1360"/>
      <c r="F22" s="1360"/>
      <c r="G22" s="1360"/>
      <c r="H22" s="1360"/>
      <c r="I22" s="1360"/>
      <c r="J22" s="1360"/>
      <c r="K22" s="1360"/>
      <c r="L22" s="1360"/>
      <c r="M22" s="1360"/>
      <c r="N22" s="1360"/>
      <c r="O22" s="1360"/>
      <c r="P22" s="1349"/>
      <c r="Q22" s="1349"/>
      <c r="R22" s="1351" t="str">
        <f>IF(I22="","",INDEX(CMLIGHTBASE[Base Watt 1],MATCH(I22,CMLIGHTBASE[Base Desc 1],0)))</f>
        <v/>
      </c>
      <c r="S22" s="1352"/>
      <c r="T22" s="1355">
        <v>8760</v>
      </c>
      <c r="U22" s="1356"/>
      <c r="V22" s="1359"/>
      <c r="W22" s="1360"/>
      <c r="X22" s="1360"/>
      <c r="Y22" s="1360"/>
      <c r="Z22" s="1360"/>
      <c r="AA22" s="1360"/>
      <c r="AB22" s="1360"/>
      <c r="AC22" s="1349"/>
      <c r="AD22" s="1349"/>
      <c r="AE22" s="1351" t="str">
        <f>IF(V22="","",INDEX(CMLIGHTEFF[Eff Watt 1],MATCH(V22,CMLIGHTEFF[Eff Desc 1],0)))</f>
        <v/>
      </c>
      <c r="AF22" s="1351"/>
      <c r="AG22" s="1367"/>
      <c r="AH22" s="1367"/>
      <c r="AI22" s="1367"/>
      <c r="AJ22" s="1369"/>
      <c r="AK22" s="1024" t="str">
        <f t="shared" ref="AK22" si="10">IF(OR(C22="",F22="",M22="",P22="",R22="",T22="",Z22="",AC22="",AE22="",AG22="",AI22=""),"",ROUND((AG22+AI22)*AC22,2))</f>
        <v/>
      </c>
      <c r="AL22" s="1348"/>
      <c r="AM22" s="1348"/>
      <c r="AN22" s="1340" t="str">
        <f>IF(OR(C22="",F22="",I22="",M22="",P22="",R22="",T22="",V22="",Z22="",AC22="",AE22="",AG22="",AI22=""),"", IF(BC22&lt;&gt;"",BC22,ROUND(MIN(AK22,AZ22*INDEX(CMLIGHTEFF[Inc Rate Exterior],MATCH(V22,CMLIGHTEFF[Eff Desc 1],0))),2)))</f>
        <v/>
      </c>
      <c r="AO22" s="1340"/>
      <c r="AP22" s="1340"/>
      <c r="AQ22" s="1340"/>
      <c r="AR22" s="562"/>
      <c r="AS22" s="564"/>
      <c r="AT22" s="564"/>
      <c r="AU22" s="1342" t="str">
        <f>IFERROR(IF(OR(C22="",I22="",M22="",P22="",R22="",T22="",V22="",Z22="",AC22="",AE22="",AG22="",AI22=""),"",((1+ELOSS)*PEAKTD*(1+INDEX( ELECCB[Capacity Reserve Margin],MATCH(12, ELECCB[Year Number],0)))*((AZ22*INDEX( ELECCB[NPV AEC $/kWh],MATCH(15, ELECCB[Year Number],0)))+(AV22*INDEX( ELECCB[NPV ACC+T&amp;D $/kW],MATCH(15, ELECCB[Year Number],0))))/AK22)),0)</f>
        <v/>
      </c>
      <c r="AV22" s="1344" t="str">
        <f>IF(OR(C22="",F22="",I22="",M22="",P22="",R22="",T22="",V22="",Z22="",AC22="",AE22="",AG22="",AI22=""),"",IF((P22*R22)&lt;=(AC22*AE22),"0",ROUND(AZ22*INDEX( ENDUSEALL[Factor],MATCH("Miscellaneous",ENDUSEALL[End Use to Coincident Peak Demand Factors],0)),4)))</f>
        <v/>
      </c>
      <c r="AW22" s="1346" t="str">
        <f t="shared" ref="AW22" si="11">IF(OR(C22="",I22="",M22="",P22="",R22="",T22="",V22="",Z22="",AC22="",AE22="",AG22="",AI22=""),"",IF(ISNUMBER(SEARCH("Incandescent",I22)),(0.7*R22)*T22*P22/1000,P22*R22*T22/1000))</f>
        <v/>
      </c>
      <c r="AX22" s="1346" t="str">
        <f t="shared" ref="AX22" si="12">IF(OR(C22="",I22="",M22="",P22="",R22="",T22="",V22="",Z22="",AC22="",AE22="",AG22="",AI22=""),"",AC22*AE22*T22/1000)</f>
        <v/>
      </c>
      <c r="AY22" s="1363" t="str">
        <f>IF(OR(C22="",F22="",I22="",M22="",P22="",R22="",T22="",V22="",Z22="",AC22="",AE22="",AG22="",AI22=""),"",CONCATENATE(INDEX( CMLIGHTEFF[Measure Number],MATCH(V22, CMLIGHTEFF[Eff Desc 1],0)),INDEX( CMLIGHTBASE[Measure Number],MATCH(I22, CMLIGHTBASE[Base Desc 1],0))))</f>
        <v/>
      </c>
      <c r="AZ22" s="1346" t="str">
        <f t="shared" ref="AZ22" si="13">IF(OR(C22="",F22="",I22="",M22="",P22="",R22="",T22="",V22="",Z22="",AC22="",AE22="",AG22="",AI22=""),"",ROUND(IF((P22*R22)&lt;=(AC22*AE22),"0",(AW22-AX22)),0))</f>
        <v/>
      </c>
      <c r="BA22" s="1365" t="str">
        <f t="shared" ref="BA22" si="14">IF(OR(C22="",I22="",M22="",P22="",R22="",T22="",V22="",Z22="",AC22="",AE22="",AG22="",AI22=""),"",IF((P22*R22)&lt;=(AC22*AE22),"0",ROUND(((P22*R22)-(AC22*AE22))/1000,3)))</f>
        <v/>
      </c>
      <c r="BB22" s="1338" t="str">
        <f>IFERROR(AK22/M02S02F35/AZ22,"")</f>
        <v/>
      </c>
      <c r="BC22" s="1338" t="str">
        <f>IFERROR(IF(OR(V22="CFL"),MEASUREELI,IF((P22*R22)&lt;=(AC22*AE22),MEASURESAVE,IF(M02S02F35="",MEASURERATE,IF(AK22/M02S02F35/AZ22&lt;1,MEASUREPAY,IF(AU22&lt;1,MEASURECB, IF(AND(ISNUMBER(SEARCH("24/7",F22)),T22&lt;8500),"Check Location and Hours",IF(AND(ISNUMBER(SEARCH("Dusk to Dawn",F22)),T22&gt;=8500,T22&lt;=8760),"Check Location and Hours",""))))))),MEASURESUBMIT)</f>
        <v>Submit for Review</v>
      </c>
      <c r="BD22"/>
    </row>
    <row r="23" spans="2:56" ht="15.95" customHeight="1" x14ac:dyDescent="0.25">
      <c r="B23" s="1371"/>
      <c r="C23" s="1362"/>
      <c r="D23" s="1362"/>
      <c r="E23" s="1362"/>
      <c r="F23" s="1362"/>
      <c r="G23" s="1362"/>
      <c r="H23" s="1362"/>
      <c r="I23" s="1362"/>
      <c r="J23" s="1362"/>
      <c r="K23" s="1362"/>
      <c r="L23" s="1362"/>
      <c r="M23" s="1362"/>
      <c r="N23" s="1362"/>
      <c r="O23" s="1362"/>
      <c r="P23" s="1350"/>
      <c r="Q23" s="1350"/>
      <c r="R23" s="1353"/>
      <c r="S23" s="1354"/>
      <c r="T23" s="1357"/>
      <c r="U23" s="1358"/>
      <c r="V23" s="1361"/>
      <c r="W23" s="1362"/>
      <c r="X23" s="1362"/>
      <c r="Y23" s="1362"/>
      <c r="Z23" s="1362"/>
      <c r="AA23" s="1362"/>
      <c r="AB23" s="1362"/>
      <c r="AC23" s="1350"/>
      <c r="AD23" s="1350"/>
      <c r="AE23" s="1353"/>
      <c r="AF23" s="1353"/>
      <c r="AG23" s="1368"/>
      <c r="AH23" s="1368"/>
      <c r="AI23" s="1368"/>
      <c r="AJ23" s="1370"/>
      <c r="AK23" s="1027"/>
      <c r="AL23" s="1128"/>
      <c r="AM23" s="1128"/>
      <c r="AN23" s="1341"/>
      <c r="AO23" s="1341"/>
      <c r="AP23" s="1341"/>
      <c r="AQ23" s="1341"/>
      <c r="AR23" s="562"/>
      <c r="AS23" s="564"/>
      <c r="AT23" s="564"/>
      <c r="AU23" s="1343"/>
      <c r="AV23" s="1345"/>
      <c r="AW23" s="1347"/>
      <c r="AX23" s="1347"/>
      <c r="AY23" s="1364"/>
      <c r="AZ23" s="1347"/>
      <c r="BA23" s="1366"/>
      <c r="BB23" s="1339"/>
      <c r="BC23" s="1339"/>
      <c r="BD23"/>
    </row>
    <row r="24" spans="2:56" ht="15.95" customHeight="1" x14ac:dyDescent="0.25">
      <c r="B24" s="1371">
        <v>5</v>
      </c>
      <c r="C24" s="1360"/>
      <c r="D24" s="1360"/>
      <c r="E24" s="1360"/>
      <c r="F24" s="1360"/>
      <c r="G24" s="1360"/>
      <c r="H24" s="1360"/>
      <c r="I24" s="1360"/>
      <c r="J24" s="1360"/>
      <c r="K24" s="1360"/>
      <c r="L24" s="1360"/>
      <c r="M24" s="1360"/>
      <c r="N24" s="1360"/>
      <c r="O24" s="1360"/>
      <c r="P24" s="1349"/>
      <c r="Q24" s="1349"/>
      <c r="R24" s="1351" t="str">
        <f>IF(I24="","",INDEX(CMLIGHTBASE[Base Watt 1],MATCH(I24,CMLIGHTBASE[Base Desc 1],0)))</f>
        <v/>
      </c>
      <c r="S24" s="1352"/>
      <c r="T24" s="1355">
        <v>8760</v>
      </c>
      <c r="U24" s="1356"/>
      <c r="V24" s="1359"/>
      <c r="W24" s="1360"/>
      <c r="X24" s="1360"/>
      <c r="Y24" s="1360"/>
      <c r="Z24" s="1360"/>
      <c r="AA24" s="1360"/>
      <c r="AB24" s="1360"/>
      <c r="AC24" s="1349"/>
      <c r="AD24" s="1349"/>
      <c r="AE24" s="1351" t="str">
        <f>IF(V24="","",INDEX(CMLIGHTEFF[Eff Watt 1],MATCH(V24,CMLIGHTEFF[Eff Desc 1],0)))</f>
        <v/>
      </c>
      <c r="AF24" s="1351"/>
      <c r="AG24" s="1367"/>
      <c r="AH24" s="1367"/>
      <c r="AI24" s="1367"/>
      <c r="AJ24" s="1369"/>
      <c r="AK24" s="1024" t="str">
        <f t="shared" ref="AK24" si="15">IF(OR(C24="",F24="",M24="",P24="",R24="",T24="",Z24="",AC24="",AE24="",AG24="",AI24=""),"",ROUND((AG24+AI24)*AC24,2))</f>
        <v/>
      </c>
      <c r="AL24" s="1348"/>
      <c r="AM24" s="1348"/>
      <c r="AN24" s="1340" t="str">
        <f>IF(OR(C24="",F24="",I24="",M24="",P24="",R24="",T24="",V24="",Z24="",AC24="",AE24="",AG24="",AI24=""),"", IF(BC24&lt;&gt;"",BC24,ROUND(MIN(AK24,AZ24*INDEX(CMLIGHTEFF[Inc Rate Exterior],MATCH(V24,CMLIGHTEFF[Eff Desc 1],0))),2)))</f>
        <v/>
      </c>
      <c r="AO24" s="1340"/>
      <c r="AP24" s="1340"/>
      <c r="AQ24" s="1340"/>
      <c r="AR24" s="562"/>
      <c r="AS24" s="564"/>
      <c r="AT24" s="564"/>
      <c r="AU24" s="1342" t="str">
        <f>IFERROR(IF(OR(C24="",I24="",M24="",P24="",R24="",T24="",V24="",Z24="",AC24="",AE24="",AG24="",AI24=""),"",((1+ELOSS)*PEAKTD*(1+INDEX( ELECCB[Capacity Reserve Margin],MATCH(12, ELECCB[Year Number],0)))*((AZ24*INDEX( ELECCB[NPV AEC $/kWh],MATCH(15, ELECCB[Year Number],0)))+(AV24*INDEX( ELECCB[NPV ACC+T&amp;D $/kW],MATCH(15, ELECCB[Year Number],0))))/AK24)),0)</f>
        <v/>
      </c>
      <c r="AV24" s="1344" t="str">
        <f>IF(OR(C24="",F24="",I24="",M24="",P24="",R24="",T24="",V24="",Z24="",AC24="",AE24="",AG24="",AI24=""),"",IF((P24*R24)&lt;=(AC24*AE24),"0",ROUND(AZ24*INDEX( ENDUSEALL[Factor],MATCH("Miscellaneous",ENDUSEALL[End Use to Coincident Peak Demand Factors],0)),4)))</f>
        <v/>
      </c>
      <c r="AW24" s="1346" t="str">
        <f t="shared" ref="AW24" si="16">IF(OR(C24="",I24="",M24="",P24="",R24="",T24="",V24="",Z24="",AC24="",AE24="",AG24="",AI24=""),"",IF(ISNUMBER(SEARCH("Incandescent",I24)),(0.7*R24)*T24*P24/1000,P24*R24*T24/1000))</f>
        <v/>
      </c>
      <c r="AX24" s="1346" t="str">
        <f t="shared" ref="AX24" si="17">IF(OR(C24="",I24="",M24="",P24="",R24="",T24="",V24="",Z24="",AC24="",AE24="",AG24="",AI24=""),"",AC24*AE24*T24/1000)</f>
        <v/>
      </c>
      <c r="AY24" s="1363" t="str">
        <f>IF(OR(C24="",F24="",I24="",M24="",P24="",R24="",T24="",V24="",Z24="",AC24="",AE24="",AG24="",AI24=""),"",CONCATENATE(INDEX( CMLIGHTEFF[Measure Number],MATCH(V24, CMLIGHTEFF[Eff Desc 1],0)),INDEX( CMLIGHTBASE[Measure Number],MATCH(I24, CMLIGHTBASE[Base Desc 1],0))))</f>
        <v/>
      </c>
      <c r="AZ24" s="1346" t="str">
        <f t="shared" ref="AZ24" si="18">IF(OR(C24="",F24="",I24="",M24="",P24="",R24="",T24="",V24="",Z24="",AC24="",AE24="",AG24="",AI24=""),"",ROUND(IF((P24*R24)&lt;=(AC24*AE24),"0",(AW24-AX24)),0))</f>
        <v/>
      </c>
      <c r="BA24" s="1365" t="str">
        <f t="shared" ref="BA24" si="19">IF(OR(C24="",I24="",M24="",P24="",R24="",T24="",V24="",Z24="",AC24="",AE24="",AG24="",AI24=""),"",IF((P24*R24)&lt;=(AC24*AE24),"0",ROUND(((P24*R24)-(AC24*AE24))/1000,3)))</f>
        <v/>
      </c>
      <c r="BB24" s="1338" t="str">
        <f>IFERROR(AK24/M02S02F35/AZ24,"")</f>
        <v/>
      </c>
      <c r="BC24" s="1338" t="str">
        <f>IFERROR(IF(OR(V24="CFL"),MEASUREELI,IF((P24*R24)&lt;=(AC24*AE24),MEASURESAVE,IF(M02S02F35="",MEASURERATE,IF(AK24/M02S02F35/AZ24&lt;1,MEASUREPAY,IF(AU24&lt;1,MEASURECB, IF(AND(ISNUMBER(SEARCH("24/7",F24)),T24&lt;8500),"Check Location and Hours",IF(AND(ISNUMBER(SEARCH("Dusk to Dawn",F24)),T24&gt;=8500,T24&lt;=8760),"Check Location and Hours",""))))))),MEASURESUBMIT)</f>
        <v>Submit for Review</v>
      </c>
      <c r="BD24"/>
    </row>
    <row r="25" spans="2:56" ht="15.95" customHeight="1" x14ac:dyDescent="0.25">
      <c r="B25" s="1371"/>
      <c r="C25" s="1362"/>
      <c r="D25" s="1362"/>
      <c r="E25" s="1362"/>
      <c r="F25" s="1362"/>
      <c r="G25" s="1362"/>
      <c r="H25" s="1362"/>
      <c r="I25" s="1362"/>
      <c r="J25" s="1362"/>
      <c r="K25" s="1362"/>
      <c r="L25" s="1362"/>
      <c r="M25" s="1362"/>
      <c r="N25" s="1362"/>
      <c r="O25" s="1362"/>
      <c r="P25" s="1350"/>
      <c r="Q25" s="1350"/>
      <c r="R25" s="1353"/>
      <c r="S25" s="1354"/>
      <c r="T25" s="1357"/>
      <c r="U25" s="1358"/>
      <c r="V25" s="1361"/>
      <c r="W25" s="1362"/>
      <c r="X25" s="1362"/>
      <c r="Y25" s="1362"/>
      <c r="Z25" s="1362"/>
      <c r="AA25" s="1362"/>
      <c r="AB25" s="1362"/>
      <c r="AC25" s="1350"/>
      <c r="AD25" s="1350"/>
      <c r="AE25" s="1353"/>
      <c r="AF25" s="1353"/>
      <c r="AG25" s="1368"/>
      <c r="AH25" s="1368"/>
      <c r="AI25" s="1368"/>
      <c r="AJ25" s="1370"/>
      <c r="AK25" s="1027"/>
      <c r="AL25" s="1128"/>
      <c r="AM25" s="1128"/>
      <c r="AN25" s="1341"/>
      <c r="AO25" s="1341"/>
      <c r="AP25" s="1341"/>
      <c r="AQ25" s="1341"/>
      <c r="AR25" s="562"/>
      <c r="AS25" s="564"/>
      <c r="AT25" s="564"/>
      <c r="AU25" s="1343"/>
      <c r="AV25" s="1345"/>
      <c r="AW25" s="1347"/>
      <c r="AX25" s="1347"/>
      <c r="AY25" s="1364"/>
      <c r="AZ25" s="1347"/>
      <c r="BA25" s="1366"/>
      <c r="BB25" s="1339"/>
      <c r="BC25" s="1339"/>
      <c r="BD25"/>
    </row>
    <row r="26" spans="2:56" ht="15.95" customHeight="1" x14ac:dyDescent="0.25">
      <c r="B26" s="1371">
        <v>6</v>
      </c>
      <c r="C26" s="1360"/>
      <c r="D26" s="1360"/>
      <c r="E26" s="1360"/>
      <c r="F26" s="1360"/>
      <c r="G26" s="1360"/>
      <c r="H26" s="1360"/>
      <c r="I26" s="1360"/>
      <c r="J26" s="1360"/>
      <c r="K26" s="1360"/>
      <c r="L26" s="1360"/>
      <c r="M26" s="1360"/>
      <c r="N26" s="1360"/>
      <c r="O26" s="1360"/>
      <c r="P26" s="1349"/>
      <c r="Q26" s="1349"/>
      <c r="R26" s="1351" t="str">
        <f>IF(I26="","",INDEX(CMLIGHTBASE[Base Watt 1],MATCH(I26,CMLIGHTBASE[Base Desc 1],0)))</f>
        <v/>
      </c>
      <c r="S26" s="1352"/>
      <c r="T26" s="1355">
        <v>8760</v>
      </c>
      <c r="U26" s="1356"/>
      <c r="V26" s="1359"/>
      <c r="W26" s="1360"/>
      <c r="X26" s="1360"/>
      <c r="Y26" s="1360"/>
      <c r="Z26" s="1360"/>
      <c r="AA26" s="1360"/>
      <c r="AB26" s="1360"/>
      <c r="AC26" s="1349"/>
      <c r="AD26" s="1349"/>
      <c r="AE26" s="1351" t="str">
        <f>IF(V26="","",INDEX(CMLIGHTEFF[Eff Watt 1],MATCH(V26,CMLIGHTEFF[Eff Desc 1],0)))</f>
        <v/>
      </c>
      <c r="AF26" s="1351"/>
      <c r="AG26" s="1367"/>
      <c r="AH26" s="1367"/>
      <c r="AI26" s="1367"/>
      <c r="AJ26" s="1369"/>
      <c r="AK26" s="1024" t="str">
        <f t="shared" ref="AK26" si="20">IF(OR(C26="",F26="",M26="",P26="",R26="",T26="",Z26="",AC26="",AE26="",AG26="",AI26=""),"",ROUND((AG26+AI26)*AC26,2))</f>
        <v/>
      </c>
      <c r="AL26" s="1348"/>
      <c r="AM26" s="1348"/>
      <c r="AN26" s="1340" t="str">
        <f>IF(OR(C26="",F26="",I26="",M26="",P26="",R26="",T26="",V26="",Z26="",AC26="",AE26="",AG26="",AI26=""),"", IF(BC26&lt;&gt;"",BC26,ROUND(MIN(AK26,AZ26*INDEX(CMLIGHTEFF[Inc Rate Exterior],MATCH(V26,CMLIGHTEFF[Eff Desc 1],0))),2)))</f>
        <v/>
      </c>
      <c r="AO26" s="1340"/>
      <c r="AP26" s="1340"/>
      <c r="AQ26" s="1340"/>
      <c r="AR26" s="562"/>
      <c r="AS26" s="564"/>
      <c r="AT26" s="564"/>
      <c r="AU26" s="1342" t="str">
        <f>IFERROR(IF(OR(C26="",I26="",M26="",P26="",R26="",T26="",V26="",Z26="",AC26="",AE26="",AG26="",AI26=""),"",((1+ELOSS)*PEAKTD*(1+INDEX( ELECCB[Capacity Reserve Margin],MATCH(12, ELECCB[Year Number],0)))*((AZ26*INDEX( ELECCB[NPV AEC $/kWh],MATCH(15, ELECCB[Year Number],0)))+(AV26*INDEX( ELECCB[NPV ACC+T&amp;D $/kW],MATCH(15, ELECCB[Year Number],0))))/AK26)),0)</f>
        <v/>
      </c>
      <c r="AV26" s="1344" t="str">
        <f>IF(OR(C26="",F26="",I26="",M26="",P26="",R26="",T26="",V26="",Z26="",AC26="",AE26="",AG26="",AI26=""),"",IF((P26*R26)&lt;=(AC26*AE26),"0",ROUND(AZ26*INDEX( ENDUSEALL[Factor],MATCH("Miscellaneous",ENDUSEALL[End Use to Coincident Peak Demand Factors],0)),4)))</f>
        <v/>
      </c>
      <c r="AW26" s="1346" t="str">
        <f t="shared" ref="AW26" si="21">IF(OR(C26="",I26="",M26="",P26="",R26="",T26="",V26="",Z26="",AC26="",AE26="",AG26="",AI26=""),"",IF(ISNUMBER(SEARCH("Incandescent",I26)),(0.7*R26)*T26*P26/1000,P26*R26*T26/1000))</f>
        <v/>
      </c>
      <c r="AX26" s="1346" t="str">
        <f t="shared" ref="AX26" si="22">IF(OR(C26="",I26="",M26="",P26="",R26="",T26="",V26="",Z26="",AC26="",AE26="",AG26="",AI26=""),"",AC26*AE26*T26/1000)</f>
        <v/>
      </c>
      <c r="AY26" s="1363" t="str">
        <f>IF(OR(C26="",F26="",I26="",M26="",P26="",R26="",T26="",V26="",Z26="",AC26="",AE26="",AG26="",AI26=""),"",CONCATENATE(INDEX( CMLIGHTEFF[Measure Number],MATCH(V26, CMLIGHTEFF[Eff Desc 1],0)),INDEX( CMLIGHTBASE[Measure Number],MATCH(I26, CMLIGHTBASE[Base Desc 1],0))))</f>
        <v/>
      </c>
      <c r="AZ26" s="1346" t="str">
        <f t="shared" ref="AZ26" si="23">IF(OR(C26="",F26="",I26="",M26="",P26="",R26="",T26="",V26="",Z26="",AC26="",AE26="",AG26="",AI26=""),"",ROUND(IF((P26*R26)&lt;=(AC26*AE26),"0",(AW26-AX26)),0))</f>
        <v/>
      </c>
      <c r="BA26" s="1365" t="str">
        <f t="shared" ref="BA26" si="24">IF(OR(C26="",I26="",M26="",P26="",R26="",T26="",V26="",Z26="",AC26="",AE26="",AG26="",AI26=""),"",IF((P26*R26)&lt;=(AC26*AE26),"0",ROUND(((P26*R26)-(AC26*AE26))/1000,3)))</f>
        <v/>
      </c>
      <c r="BB26" s="1338" t="str">
        <f>IFERROR(AK26/M02S02F35/AZ26,"")</f>
        <v/>
      </c>
      <c r="BC26" s="1338" t="str">
        <f>IFERROR(IF(OR(V26="CFL"),MEASUREELI,IF((P26*R26)&lt;=(AC26*AE26),MEASURESAVE,IF(M02S02F35="",MEASURERATE,IF(AK26/M02S02F35/AZ26&lt;1,MEASUREPAY,IF(AU26&lt;1,MEASURECB, IF(AND(ISNUMBER(SEARCH("24/7",F26)),T26&lt;8500),"Check Location and Hours",IF(AND(ISNUMBER(SEARCH("Dusk to Dawn",F26)),T26&gt;=8500,T26&lt;=8760),"Check Location and Hours",""))))))),MEASURESUBMIT)</f>
        <v>Submit for Review</v>
      </c>
      <c r="BD26"/>
    </row>
    <row r="27" spans="2:56" ht="15.95" customHeight="1" x14ac:dyDescent="0.25">
      <c r="B27" s="1371"/>
      <c r="C27" s="1362"/>
      <c r="D27" s="1362"/>
      <c r="E27" s="1362"/>
      <c r="F27" s="1362"/>
      <c r="G27" s="1362"/>
      <c r="H27" s="1362"/>
      <c r="I27" s="1362"/>
      <c r="J27" s="1362"/>
      <c r="K27" s="1362"/>
      <c r="L27" s="1362"/>
      <c r="M27" s="1362"/>
      <c r="N27" s="1362"/>
      <c r="O27" s="1362"/>
      <c r="P27" s="1350"/>
      <c r="Q27" s="1350"/>
      <c r="R27" s="1353"/>
      <c r="S27" s="1354"/>
      <c r="T27" s="1357"/>
      <c r="U27" s="1358"/>
      <c r="V27" s="1361"/>
      <c r="W27" s="1362"/>
      <c r="X27" s="1362"/>
      <c r="Y27" s="1362"/>
      <c r="Z27" s="1362"/>
      <c r="AA27" s="1362"/>
      <c r="AB27" s="1362"/>
      <c r="AC27" s="1350"/>
      <c r="AD27" s="1350"/>
      <c r="AE27" s="1353"/>
      <c r="AF27" s="1353"/>
      <c r="AG27" s="1368"/>
      <c r="AH27" s="1368"/>
      <c r="AI27" s="1368"/>
      <c r="AJ27" s="1370"/>
      <c r="AK27" s="1027"/>
      <c r="AL27" s="1128"/>
      <c r="AM27" s="1128"/>
      <c r="AN27" s="1341"/>
      <c r="AO27" s="1341"/>
      <c r="AP27" s="1341"/>
      <c r="AQ27" s="1341"/>
      <c r="AR27" s="562"/>
      <c r="AS27" s="564"/>
      <c r="AT27" s="564"/>
      <c r="AU27" s="1343"/>
      <c r="AV27" s="1345"/>
      <c r="AW27" s="1347"/>
      <c r="AX27" s="1347"/>
      <c r="AY27" s="1364"/>
      <c r="AZ27" s="1347"/>
      <c r="BA27" s="1366"/>
      <c r="BB27" s="1339"/>
      <c r="BC27" s="1339"/>
      <c r="BD27"/>
    </row>
    <row r="28" spans="2:56" ht="15.95" customHeight="1" x14ac:dyDescent="0.25">
      <c r="B28" s="1371">
        <v>7</v>
      </c>
      <c r="C28" s="1360"/>
      <c r="D28" s="1360"/>
      <c r="E28" s="1360"/>
      <c r="F28" s="1360"/>
      <c r="G28" s="1360"/>
      <c r="H28" s="1360"/>
      <c r="I28" s="1360"/>
      <c r="J28" s="1360"/>
      <c r="K28" s="1360"/>
      <c r="L28" s="1360"/>
      <c r="M28" s="1360"/>
      <c r="N28" s="1360"/>
      <c r="O28" s="1360"/>
      <c r="P28" s="1349"/>
      <c r="Q28" s="1349"/>
      <c r="R28" s="1351" t="str">
        <f>IF(I28="","",INDEX(CMLIGHTBASE[Base Watt 1],MATCH(I28,CMLIGHTBASE[Base Desc 1],0)))</f>
        <v/>
      </c>
      <c r="S28" s="1352"/>
      <c r="T28" s="1355">
        <v>8760</v>
      </c>
      <c r="U28" s="1356"/>
      <c r="V28" s="1359"/>
      <c r="W28" s="1360"/>
      <c r="X28" s="1360"/>
      <c r="Y28" s="1360"/>
      <c r="Z28" s="1360"/>
      <c r="AA28" s="1360"/>
      <c r="AB28" s="1360"/>
      <c r="AC28" s="1349"/>
      <c r="AD28" s="1349"/>
      <c r="AE28" s="1351" t="str">
        <f>IF(V28="","",INDEX(CMLIGHTEFF[Eff Watt 1],MATCH(V28,CMLIGHTEFF[Eff Desc 1],0)))</f>
        <v/>
      </c>
      <c r="AF28" s="1351"/>
      <c r="AG28" s="1367"/>
      <c r="AH28" s="1367"/>
      <c r="AI28" s="1367"/>
      <c r="AJ28" s="1369"/>
      <c r="AK28" s="1024" t="str">
        <f t="shared" ref="AK28" si="25">IF(OR(C28="",F28="",M28="",P28="",R28="",T28="",Z28="",AC28="",AE28="",AG28="",AI28=""),"",ROUND((AG28+AI28)*AC28,2))</f>
        <v/>
      </c>
      <c r="AL28" s="1348"/>
      <c r="AM28" s="1348"/>
      <c r="AN28" s="1340" t="str">
        <f>IF(OR(C28="",F28="",I28="",M28="",P28="",R28="",T28="",V28="",Z28="",AC28="",AE28="",AG28="",AI28=""),"", IF(BC28&lt;&gt;"",BC28,ROUND(MIN(AK28,AZ28*INDEX(CMLIGHTEFF[Inc Rate Exterior],MATCH(V28,CMLIGHTEFF[Eff Desc 1],0))),2)))</f>
        <v/>
      </c>
      <c r="AO28" s="1340"/>
      <c r="AP28" s="1340"/>
      <c r="AQ28" s="1340"/>
      <c r="AR28" s="562"/>
      <c r="AS28" s="564"/>
      <c r="AT28" s="564"/>
      <c r="AU28" s="1342" t="str">
        <f>IFERROR(IF(OR(C28="",I28="",M28="",P28="",R28="",T28="",V28="",Z28="",AC28="",AE28="",AG28="",AI28=""),"",((1+ELOSS)*PEAKTD*(1+INDEX( ELECCB[Capacity Reserve Margin],MATCH(12, ELECCB[Year Number],0)))*((AZ28*INDEX( ELECCB[NPV AEC $/kWh],MATCH(15, ELECCB[Year Number],0)))+(AV28*INDEX( ELECCB[NPV ACC+T&amp;D $/kW],MATCH(15, ELECCB[Year Number],0))))/AK28)),0)</f>
        <v/>
      </c>
      <c r="AV28" s="1344" t="str">
        <f>IF(OR(C28="",F28="",I28="",M28="",P28="",R28="",T28="",V28="",Z28="",AC28="",AE28="",AG28="",AI28=""),"",IF((P28*R28)&lt;=(AC28*AE28),"0",ROUND(AZ28*INDEX( ENDUSEALL[Factor],MATCH("Miscellaneous",ENDUSEALL[End Use to Coincident Peak Demand Factors],0)),4)))</f>
        <v/>
      </c>
      <c r="AW28" s="1346" t="str">
        <f t="shared" ref="AW28" si="26">IF(OR(C28="",I28="",M28="",P28="",R28="",T28="",V28="",Z28="",AC28="",AE28="",AG28="",AI28=""),"",IF(ISNUMBER(SEARCH("Incandescent",I28)),(0.7*R28)*T28*P28/1000,P28*R28*T28/1000))</f>
        <v/>
      </c>
      <c r="AX28" s="1346" t="str">
        <f t="shared" ref="AX28" si="27">IF(OR(C28="",I28="",M28="",P28="",R28="",T28="",V28="",Z28="",AC28="",AE28="",AG28="",AI28=""),"",AC28*AE28*T28/1000)</f>
        <v/>
      </c>
      <c r="AY28" s="1363" t="str">
        <f>IF(OR(C28="",F28="",I28="",M28="",P28="",R28="",T28="",V28="",Z28="",AC28="",AE28="",AG28="",AI28=""),"",CONCATENATE(INDEX( CMLIGHTEFF[Measure Number],MATCH(V28, CMLIGHTEFF[Eff Desc 1],0)),INDEX( CMLIGHTBASE[Measure Number],MATCH(I28, CMLIGHTBASE[Base Desc 1],0))))</f>
        <v/>
      </c>
      <c r="AZ28" s="1346" t="str">
        <f t="shared" ref="AZ28" si="28">IF(OR(C28="",F28="",I28="",M28="",P28="",R28="",T28="",V28="",Z28="",AC28="",AE28="",AG28="",AI28=""),"",ROUND(IF((P28*R28)&lt;=(AC28*AE28),"0",(AW28-AX28)),0))</f>
        <v/>
      </c>
      <c r="BA28" s="1365" t="str">
        <f t="shared" ref="BA28" si="29">IF(OR(C28="",I28="",M28="",P28="",R28="",T28="",V28="",Z28="",AC28="",AE28="",AG28="",AI28=""),"",IF((P28*R28)&lt;=(AC28*AE28),"0",ROUND(((P28*R28)-(AC28*AE28))/1000,3)))</f>
        <v/>
      </c>
      <c r="BB28" s="1338" t="str">
        <f>IFERROR(AK28/M02S02F35/AZ28,"")</f>
        <v/>
      </c>
      <c r="BC28" s="1338" t="str">
        <f>IFERROR(IF(OR(V28="CFL"),MEASUREELI,IF((P28*R28)&lt;=(AC28*AE28),MEASURESAVE,IF(M02S02F35="",MEASURERATE,IF(AK28/M02S02F35/AZ28&lt;1,MEASUREPAY,IF(AU28&lt;1,MEASURECB, IF(AND(ISNUMBER(SEARCH("24/7",F28)),T28&lt;8500),"Check Location and Hours",IF(AND(ISNUMBER(SEARCH("Dusk to Dawn",F28)),T28&gt;=8500,T28&lt;=8760),"Check Location and Hours",""))))))),MEASURESUBMIT)</f>
        <v>Submit for Review</v>
      </c>
      <c r="BD28"/>
    </row>
    <row r="29" spans="2:56" ht="15.95" customHeight="1" x14ac:dyDescent="0.25">
      <c r="B29" s="1371"/>
      <c r="C29" s="1362"/>
      <c r="D29" s="1362"/>
      <c r="E29" s="1362"/>
      <c r="F29" s="1362"/>
      <c r="G29" s="1362"/>
      <c r="H29" s="1362"/>
      <c r="I29" s="1362"/>
      <c r="J29" s="1362"/>
      <c r="K29" s="1362"/>
      <c r="L29" s="1362"/>
      <c r="M29" s="1362"/>
      <c r="N29" s="1362"/>
      <c r="O29" s="1362"/>
      <c r="P29" s="1350"/>
      <c r="Q29" s="1350"/>
      <c r="R29" s="1353"/>
      <c r="S29" s="1354"/>
      <c r="T29" s="1357"/>
      <c r="U29" s="1358"/>
      <c r="V29" s="1361"/>
      <c r="W29" s="1362"/>
      <c r="X29" s="1362"/>
      <c r="Y29" s="1362"/>
      <c r="Z29" s="1362"/>
      <c r="AA29" s="1362"/>
      <c r="AB29" s="1362"/>
      <c r="AC29" s="1350"/>
      <c r="AD29" s="1350"/>
      <c r="AE29" s="1353"/>
      <c r="AF29" s="1353"/>
      <c r="AG29" s="1368"/>
      <c r="AH29" s="1368"/>
      <c r="AI29" s="1368"/>
      <c r="AJ29" s="1370"/>
      <c r="AK29" s="1027"/>
      <c r="AL29" s="1128"/>
      <c r="AM29" s="1128"/>
      <c r="AN29" s="1341"/>
      <c r="AO29" s="1341"/>
      <c r="AP29" s="1341"/>
      <c r="AQ29" s="1341"/>
      <c r="AR29" s="562"/>
      <c r="AS29" s="564"/>
      <c r="AT29" s="564"/>
      <c r="AU29" s="1343"/>
      <c r="AV29" s="1345"/>
      <c r="AW29" s="1347"/>
      <c r="AX29" s="1347"/>
      <c r="AY29" s="1364"/>
      <c r="AZ29" s="1347"/>
      <c r="BA29" s="1366"/>
      <c r="BB29" s="1339"/>
      <c r="BC29" s="1339"/>
      <c r="BD29"/>
    </row>
    <row r="30" spans="2:56" ht="15.95" customHeight="1" x14ac:dyDescent="0.25">
      <c r="B30" s="1371">
        <v>8</v>
      </c>
      <c r="C30" s="1360"/>
      <c r="D30" s="1360"/>
      <c r="E30" s="1360"/>
      <c r="F30" s="1360"/>
      <c r="G30" s="1360"/>
      <c r="H30" s="1360"/>
      <c r="I30" s="1360"/>
      <c r="J30" s="1360"/>
      <c r="K30" s="1360"/>
      <c r="L30" s="1360"/>
      <c r="M30" s="1360"/>
      <c r="N30" s="1360"/>
      <c r="O30" s="1360"/>
      <c r="P30" s="1349"/>
      <c r="Q30" s="1349"/>
      <c r="R30" s="1351" t="str">
        <f>IF(I30="","",INDEX(CMLIGHTBASE[Base Watt 1],MATCH(I30,CMLIGHTBASE[Base Desc 1],0)))</f>
        <v/>
      </c>
      <c r="S30" s="1352"/>
      <c r="T30" s="1355">
        <v>8760</v>
      </c>
      <c r="U30" s="1356"/>
      <c r="V30" s="1359"/>
      <c r="W30" s="1360"/>
      <c r="X30" s="1360"/>
      <c r="Y30" s="1360"/>
      <c r="Z30" s="1360"/>
      <c r="AA30" s="1360"/>
      <c r="AB30" s="1360"/>
      <c r="AC30" s="1349"/>
      <c r="AD30" s="1349"/>
      <c r="AE30" s="1351" t="str">
        <f>IF(V30="","",INDEX(CMLIGHTEFF[Eff Watt 1],MATCH(V30,CMLIGHTEFF[Eff Desc 1],0)))</f>
        <v/>
      </c>
      <c r="AF30" s="1351"/>
      <c r="AG30" s="1367"/>
      <c r="AH30" s="1367"/>
      <c r="AI30" s="1367"/>
      <c r="AJ30" s="1369"/>
      <c r="AK30" s="1024" t="str">
        <f t="shared" ref="AK30" si="30">IF(OR(C30="",F30="",M30="",P30="",R30="",T30="",Z30="",AC30="",AE30="",AG30="",AI30=""),"",ROUND((AG30+AI30)*AC30,2))</f>
        <v/>
      </c>
      <c r="AL30" s="1348"/>
      <c r="AM30" s="1348"/>
      <c r="AN30" s="1340" t="str">
        <f>IF(OR(C30="",F30="",I30="",M30="",P30="",R30="",T30="",V30="",Z30="",AC30="",AE30="",AG30="",AI30=""),"", IF(BC30&lt;&gt;"",BC30,ROUND(MIN(AK30,AZ30*INDEX(CMLIGHTEFF[Inc Rate Exterior],MATCH(V30,CMLIGHTEFF[Eff Desc 1],0))),2)))</f>
        <v/>
      </c>
      <c r="AO30" s="1340"/>
      <c r="AP30" s="1340"/>
      <c r="AQ30" s="1340"/>
      <c r="AR30" s="562"/>
      <c r="AS30" s="564"/>
      <c r="AT30" s="564"/>
      <c r="AU30" s="1342" t="str">
        <f>IFERROR(IF(OR(C30="",I30="",M30="",P30="",R30="",T30="",V30="",Z30="",AC30="",AE30="",AG30="",AI30=""),"",((1+ELOSS)*PEAKTD*(1+INDEX( ELECCB[Capacity Reserve Margin],MATCH(12, ELECCB[Year Number],0)))*((AZ30*INDEX( ELECCB[NPV AEC $/kWh],MATCH(15, ELECCB[Year Number],0)))+(AV30*INDEX( ELECCB[NPV ACC+T&amp;D $/kW],MATCH(15, ELECCB[Year Number],0))))/AK30)),0)</f>
        <v/>
      </c>
      <c r="AV30" s="1344" t="str">
        <f>IF(OR(C30="",F30="",I30="",M30="",P30="",R30="",T30="",V30="",Z30="",AC30="",AE30="",AG30="",AI30=""),"",IF((P30*R30)&lt;=(AC30*AE30),"0",ROUND(AZ30*INDEX( ENDUSEALL[Factor],MATCH("Miscellaneous",ENDUSEALL[End Use to Coincident Peak Demand Factors],0)),4)))</f>
        <v/>
      </c>
      <c r="AW30" s="1346" t="str">
        <f t="shared" ref="AW30" si="31">IF(OR(C30="",I30="",M30="",P30="",R30="",T30="",V30="",Z30="",AC30="",AE30="",AG30="",AI30=""),"",IF(ISNUMBER(SEARCH("Incandescent",I30)),(0.7*R30)*T30*P30/1000,P30*R30*T30/1000))</f>
        <v/>
      </c>
      <c r="AX30" s="1346" t="str">
        <f t="shared" ref="AX30" si="32">IF(OR(C30="",I30="",M30="",P30="",R30="",T30="",V30="",Z30="",AC30="",AE30="",AG30="",AI30=""),"",AC30*AE30*T30/1000)</f>
        <v/>
      </c>
      <c r="AY30" s="1363" t="str">
        <f>IF(OR(C30="",F30="",I30="",M30="",P30="",R30="",T30="",V30="",Z30="",AC30="",AE30="",AG30="",AI30=""),"",CONCATENATE(INDEX( CMLIGHTEFF[Measure Number],MATCH(V30, CMLIGHTEFF[Eff Desc 1],0)),INDEX( CMLIGHTBASE[Measure Number],MATCH(I30, CMLIGHTBASE[Base Desc 1],0))))</f>
        <v/>
      </c>
      <c r="AZ30" s="1346" t="str">
        <f t="shared" ref="AZ30" si="33">IF(OR(C30="",F30="",I30="",M30="",P30="",R30="",T30="",V30="",Z30="",AC30="",AE30="",AG30="",AI30=""),"",ROUND(IF((P30*R30)&lt;=(AC30*AE30),"0",(AW30-AX30)),0))</f>
        <v/>
      </c>
      <c r="BA30" s="1365" t="str">
        <f t="shared" ref="BA30" si="34">IF(OR(C30="",I30="",M30="",P30="",R30="",T30="",V30="",Z30="",AC30="",AE30="",AG30="",AI30=""),"",IF((P30*R30)&lt;=(AC30*AE30),"0",ROUND(((P30*R30)-(AC30*AE30))/1000,3)))</f>
        <v/>
      </c>
      <c r="BB30" s="1338" t="str">
        <f>IFERROR(AK30/M02S02F35/AZ30,"")</f>
        <v/>
      </c>
      <c r="BC30" s="1338" t="str">
        <f>IFERROR(IF(OR(V30="CFL"),MEASUREELI,IF((P30*R30)&lt;=(AC30*AE30),MEASURESAVE,IF(M02S02F35="",MEASURERATE,IF(AK30/M02S02F35/AZ30&lt;1,MEASUREPAY,IF(AU30&lt;1,MEASURECB, IF(AND(ISNUMBER(SEARCH("24/7",F30)),T30&lt;8500),"Check Location and Hours",IF(AND(ISNUMBER(SEARCH("Dusk to Dawn",F30)),T30&gt;=8500,T30&lt;=8760),"Check Location and Hours",""))))))),MEASURESUBMIT)</f>
        <v>Submit for Review</v>
      </c>
      <c r="BD30"/>
    </row>
    <row r="31" spans="2:56" ht="15.95" customHeight="1" x14ac:dyDescent="0.25">
      <c r="B31" s="1371"/>
      <c r="C31" s="1362"/>
      <c r="D31" s="1362"/>
      <c r="E31" s="1362"/>
      <c r="F31" s="1362"/>
      <c r="G31" s="1362"/>
      <c r="H31" s="1362"/>
      <c r="I31" s="1362"/>
      <c r="J31" s="1362"/>
      <c r="K31" s="1362"/>
      <c r="L31" s="1362"/>
      <c r="M31" s="1362"/>
      <c r="N31" s="1362"/>
      <c r="O31" s="1362"/>
      <c r="P31" s="1350"/>
      <c r="Q31" s="1350"/>
      <c r="R31" s="1353"/>
      <c r="S31" s="1354"/>
      <c r="T31" s="1357"/>
      <c r="U31" s="1358"/>
      <c r="V31" s="1361"/>
      <c r="W31" s="1362"/>
      <c r="X31" s="1362"/>
      <c r="Y31" s="1362"/>
      <c r="Z31" s="1362"/>
      <c r="AA31" s="1362"/>
      <c r="AB31" s="1362"/>
      <c r="AC31" s="1350"/>
      <c r="AD31" s="1350"/>
      <c r="AE31" s="1353"/>
      <c r="AF31" s="1353"/>
      <c r="AG31" s="1368"/>
      <c r="AH31" s="1368"/>
      <c r="AI31" s="1368"/>
      <c r="AJ31" s="1370"/>
      <c r="AK31" s="1027"/>
      <c r="AL31" s="1128"/>
      <c r="AM31" s="1128"/>
      <c r="AN31" s="1341"/>
      <c r="AO31" s="1341"/>
      <c r="AP31" s="1341"/>
      <c r="AQ31" s="1341"/>
      <c r="AR31" s="562"/>
      <c r="AS31" s="564"/>
      <c r="AT31" s="564"/>
      <c r="AU31" s="1343"/>
      <c r="AV31" s="1345"/>
      <c r="AW31" s="1347"/>
      <c r="AX31" s="1347"/>
      <c r="AY31" s="1364"/>
      <c r="AZ31" s="1347"/>
      <c r="BA31" s="1366"/>
      <c r="BB31" s="1339"/>
      <c r="BC31" s="1339"/>
      <c r="BD31"/>
    </row>
    <row r="32" spans="2:56" ht="15.95" customHeight="1" x14ac:dyDescent="0.25">
      <c r="B32" s="1371">
        <v>9</v>
      </c>
      <c r="C32" s="1360"/>
      <c r="D32" s="1360"/>
      <c r="E32" s="1360"/>
      <c r="F32" s="1360"/>
      <c r="G32" s="1360"/>
      <c r="H32" s="1360"/>
      <c r="I32" s="1360"/>
      <c r="J32" s="1360"/>
      <c r="K32" s="1360"/>
      <c r="L32" s="1360"/>
      <c r="M32" s="1360"/>
      <c r="N32" s="1360"/>
      <c r="O32" s="1360"/>
      <c r="P32" s="1349"/>
      <c r="Q32" s="1349"/>
      <c r="R32" s="1351" t="str">
        <f>IF(I32="","",INDEX(CMLIGHTBASE[Base Watt 1],MATCH(I32,CMLIGHTBASE[Base Desc 1],0)))</f>
        <v/>
      </c>
      <c r="S32" s="1352"/>
      <c r="T32" s="1355">
        <v>8760</v>
      </c>
      <c r="U32" s="1356"/>
      <c r="V32" s="1359"/>
      <c r="W32" s="1360"/>
      <c r="X32" s="1360"/>
      <c r="Y32" s="1360"/>
      <c r="Z32" s="1360"/>
      <c r="AA32" s="1360"/>
      <c r="AB32" s="1360"/>
      <c r="AC32" s="1349"/>
      <c r="AD32" s="1349"/>
      <c r="AE32" s="1351" t="str">
        <f>IF(V32="","",INDEX(CMLIGHTEFF[Eff Watt 1],MATCH(V32,CMLIGHTEFF[Eff Desc 1],0)))</f>
        <v/>
      </c>
      <c r="AF32" s="1351"/>
      <c r="AG32" s="1367"/>
      <c r="AH32" s="1367"/>
      <c r="AI32" s="1367"/>
      <c r="AJ32" s="1369"/>
      <c r="AK32" s="1024" t="str">
        <f t="shared" ref="AK32" si="35">IF(OR(C32="",F32="",M32="",P32="",R32="",T32="",Z32="",AC32="",AE32="",AG32="",AI32=""),"",ROUND((AG32+AI32)*AC32,2))</f>
        <v/>
      </c>
      <c r="AL32" s="1348"/>
      <c r="AM32" s="1348"/>
      <c r="AN32" s="1340" t="str">
        <f>IF(OR(C32="",F32="",I32="",M32="",P32="",R32="",T32="",V32="",Z32="",AC32="",AE32="",AG32="",AI32=""),"", IF(BC32&lt;&gt;"",BC32,ROUND(MIN(AK32,AZ32*INDEX(CMLIGHTEFF[Inc Rate Exterior],MATCH(V32,CMLIGHTEFF[Eff Desc 1],0))),2)))</f>
        <v/>
      </c>
      <c r="AO32" s="1340"/>
      <c r="AP32" s="1340"/>
      <c r="AQ32" s="1340"/>
      <c r="AR32" s="562"/>
      <c r="AS32" s="564"/>
      <c r="AT32" s="564"/>
      <c r="AU32" s="1342" t="str">
        <f>IFERROR(IF(OR(C32="",I32="",M32="",P32="",R32="",T32="",V32="",Z32="",AC32="",AE32="",AG32="",AI32=""),"",((1+ELOSS)*PEAKTD*(1+INDEX( ELECCB[Capacity Reserve Margin],MATCH(12, ELECCB[Year Number],0)))*((AZ32*INDEX( ELECCB[NPV AEC $/kWh],MATCH(15, ELECCB[Year Number],0)))+(AV32*INDEX( ELECCB[NPV ACC+T&amp;D $/kW],MATCH(15, ELECCB[Year Number],0))))/AK32)),0)</f>
        <v/>
      </c>
      <c r="AV32" s="1344" t="str">
        <f>IF(OR(C32="",F32="",I32="",M32="",P32="",R32="",T32="",V32="",Z32="",AC32="",AE32="",AG32="",AI32=""),"",IF((P32*R32)&lt;=(AC32*AE32),"0",ROUND(AZ32*INDEX( ENDUSEALL[Factor],MATCH("Miscellaneous",ENDUSEALL[End Use to Coincident Peak Demand Factors],0)),4)))</f>
        <v/>
      </c>
      <c r="AW32" s="1346" t="str">
        <f t="shared" ref="AW32" si="36">IF(OR(C32="",I32="",M32="",P32="",R32="",T32="",V32="",Z32="",AC32="",AE32="",AG32="",AI32=""),"",IF(ISNUMBER(SEARCH("Incandescent",I32)),(0.7*R32)*T32*P32/1000,P32*R32*T32/1000))</f>
        <v/>
      </c>
      <c r="AX32" s="1346" t="str">
        <f t="shared" ref="AX32" si="37">IF(OR(C32="",I32="",M32="",P32="",R32="",T32="",V32="",Z32="",AC32="",AE32="",AG32="",AI32=""),"",AC32*AE32*T32/1000)</f>
        <v/>
      </c>
      <c r="AY32" s="1363" t="str">
        <f>IF(OR(C32="",F32="",I32="",M32="",P32="",R32="",T32="",V32="",Z32="",AC32="",AE32="",AG32="",AI32=""),"",CONCATENATE(INDEX( CMLIGHTEFF[Measure Number],MATCH(V32, CMLIGHTEFF[Eff Desc 1],0)),INDEX( CMLIGHTBASE[Measure Number],MATCH(I32, CMLIGHTBASE[Base Desc 1],0))))</f>
        <v/>
      </c>
      <c r="AZ32" s="1346" t="str">
        <f t="shared" ref="AZ32" si="38">IF(OR(C32="",F32="",I32="",M32="",P32="",R32="",T32="",V32="",Z32="",AC32="",AE32="",AG32="",AI32=""),"",ROUND(IF((P32*R32)&lt;=(AC32*AE32),"0",(AW32-AX32)),0))</f>
        <v/>
      </c>
      <c r="BA32" s="1365" t="str">
        <f t="shared" ref="BA32" si="39">IF(OR(C32="",I32="",M32="",P32="",R32="",T32="",V32="",Z32="",AC32="",AE32="",AG32="",AI32=""),"",IF((P32*R32)&lt;=(AC32*AE32),"0",ROUND(((P32*R32)-(AC32*AE32))/1000,3)))</f>
        <v/>
      </c>
      <c r="BB32" s="1338" t="str">
        <f>IFERROR(AK32/M02S02F35/AZ32,"")</f>
        <v/>
      </c>
      <c r="BC32" s="1338" t="str">
        <f>IFERROR(IF(OR(V32="CFL"),MEASUREELI,IF((P32*R32)&lt;=(AC32*AE32),MEASURESAVE,IF(M02S02F35="",MEASURERATE,IF(AK32/M02S02F35/AZ32&lt;1,MEASUREPAY,IF(AU32&lt;1,MEASURECB, IF(AND(ISNUMBER(SEARCH("24/7",F32)),T32&lt;8500),"Check Location and Hours",IF(AND(ISNUMBER(SEARCH("Dusk to Dawn",F32)),T32&gt;=8500,T32&lt;=8760),"Check Location and Hours",""))))))),MEASURESUBMIT)</f>
        <v>Submit for Review</v>
      </c>
      <c r="BD32"/>
    </row>
    <row r="33" spans="2:56" ht="15.95" customHeight="1" x14ac:dyDescent="0.25">
      <c r="B33" s="1371"/>
      <c r="C33" s="1362"/>
      <c r="D33" s="1362"/>
      <c r="E33" s="1362"/>
      <c r="F33" s="1362"/>
      <c r="G33" s="1362"/>
      <c r="H33" s="1362"/>
      <c r="I33" s="1362"/>
      <c r="J33" s="1362"/>
      <c r="K33" s="1362"/>
      <c r="L33" s="1362"/>
      <c r="M33" s="1362"/>
      <c r="N33" s="1362"/>
      <c r="O33" s="1362"/>
      <c r="P33" s="1350"/>
      <c r="Q33" s="1350"/>
      <c r="R33" s="1353"/>
      <c r="S33" s="1354"/>
      <c r="T33" s="1357"/>
      <c r="U33" s="1358"/>
      <c r="V33" s="1361"/>
      <c r="W33" s="1362"/>
      <c r="X33" s="1362"/>
      <c r="Y33" s="1362"/>
      <c r="Z33" s="1362"/>
      <c r="AA33" s="1362"/>
      <c r="AB33" s="1362"/>
      <c r="AC33" s="1350"/>
      <c r="AD33" s="1350"/>
      <c r="AE33" s="1353"/>
      <c r="AF33" s="1353"/>
      <c r="AG33" s="1368"/>
      <c r="AH33" s="1368"/>
      <c r="AI33" s="1368"/>
      <c r="AJ33" s="1370"/>
      <c r="AK33" s="1027"/>
      <c r="AL33" s="1128"/>
      <c r="AM33" s="1128"/>
      <c r="AN33" s="1341"/>
      <c r="AO33" s="1341"/>
      <c r="AP33" s="1341"/>
      <c r="AQ33" s="1341"/>
      <c r="AR33" s="562"/>
      <c r="AS33" s="564"/>
      <c r="AT33" s="564"/>
      <c r="AU33" s="1343"/>
      <c r="AV33" s="1345"/>
      <c r="AW33" s="1347"/>
      <c r="AX33" s="1347"/>
      <c r="AY33" s="1364"/>
      <c r="AZ33" s="1347"/>
      <c r="BA33" s="1366"/>
      <c r="BB33" s="1339"/>
      <c r="BC33" s="1339"/>
      <c r="BD33"/>
    </row>
    <row r="34" spans="2:56" ht="15.95" customHeight="1" x14ac:dyDescent="0.25">
      <c r="B34" s="1371">
        <v>10</v>
      </c>
      <c r="C34" s="1360"/>
      <c r="D34" s="1360"/>
      <c r="E34" s="1360"/>
      <c r="F34" s="1360"/>
      <c r="G34" s="1360"/>
      <c r="H34" s="1360"/>
      <c r="I34" s="1360"/>
      <c r="J34" s="1360"/>
      <c r="K34" s="1360"/>
      <c r="L34" s="1360"/>
      <c r="M34" s="1360"/>
      <c r="N34" s="1360"/>
      <c r="O34" s="1360"/>
      <c r="P34" s="1349"/>
      <c r="Q34" s="1349"/>
      <c r="R34" s="1351" t="str">
        <f>IF(I34="","",INDEX(CMLIGHTBASE[Base Watt 1],MATCH(I34,CMLIGHTBASE[Base Desc 1],0)))</f>
        <v/>
      </c>
      <c r="S34" s="1352"/>
      <c r="T34" s="1355">
        <v>8760</v>
      </c>
      <c r="U34" s="1356"/>
      <c r="V34" s="1359"/>
      <c r="W34" s="1360"/>
      <c r="X34" s="1360"/>
      <c r="Y34" s="1360"/>
      <c r="Z34" s="1360"/>
      <c r="AA34" s="1360"/>
      <c r="AB34" s="1360"/>
      <c r="AC34" s="1349"/>
      <c r="AD34" s="1349"/>
      <c r="AE34" s="1351" t="str">
        <f>IF(V34="","",INDEX(CMLIGHTEFF[Eff Watt 1],MATCH(V34,CMLIGHTEFF[Eff Desc 1],0)))</f>
        <v/>
      </c>
      <c r="AF34" s="1351"/>
      <c r="AG34" s="1367"/>
      <c r="AH34" s="1367"/>
      <c r="AI34" s="1367"/>
      <c r="AJ34" s="1369"/>
      <c r="AK34" s="1024" t="str">
        <f t="shared" ref="AK34" si="40">IF(OR(C34="",F34="",M34="",P34="",R34="",T34="",Z34="",AC34="",AE34="",AG34="",AI34=""),"",ROUND((AG34+AI34)*AC34,2))</f>
        <v/>
      </c>
      <c r="AL34" s="1348"/>
      <c r="AM34" s="1348"/>
      <c r="AN34" s="1340" t="str">
        <f>IF(OR(C34="",F34="",I34="",M34="",P34="",R34="",T34="",V34="",Z34="",AC34="",AE34="",AG34="",AI34=""),"", IF(BC34&lt;&gt;"",BC34,ROUND(MIN(AK34,AZ34*INDEX(CMLIGHTEFF[Inc Rate Exterior],MATCH(V34,CMLIGHTEFF[Eff Desc 1],0))),2)))</f>
        <v/>
      </c>
      <c r="AO34" s="1340"/>
      <c r="AP34" s="1340"/>
      <c r="AQ34" s="1340"/>
      <c r="AR34" s="562"/>
      <c r="AS34" s="564"/>
      <c r="AT34" s="564"/>
      <c r="AU34" s="1342" t="str">
        <f>IFERROR(IF(OR(C34="",I34="",M34="",P34="",R34="",T34="",V34="",Z34="",AC34="",AE34="",AG34="",AI34=""),"",((1+ELOSS)*PEAKTD*(1+INDEX( ELECCB[Capacity Reserve Margin],MATCH(12, ELECCB[Year Number],0)))*((AZ34*INDEX( ELECCB[NPV AEC $/kWh],MATCH(15, ELECCB[Year Number],0)))+(AV34*INDEX( ELECCB[NPV ACC+T&amp;D $/kW],MATCH(15, ELECCB[Year Number],0))))/AK34)),0)</f>
        <v/>
      </c>
      <c r="AV34" s="1344" t="str">
        <f>IF(OR(C34="",F34="",I34="",M34="",P34="",R34="",T34="",V34="",Z34="",AC34="",AE34="",AG34="",AI34=""),"",IF((P34*R34)&lt;=(AC34*AE34),"0",ROUND(AZ34*INDEX( ENDUSEALL[Factor],MATCH("Miscellaneous",ENDUSEALL[End Use to Coincident Peak Demand Factors],0)),4)))</f>
        <v/>
      </c>
      <c r="AW34" s="1346" t="str">
        <f t="shared" ref="AW34" si="41">IF(OR(C34="",I34="",M34="",P34="",R34="",T34="",V34="",Z34="",AC34="",AE34="",AG34="",AI34=""),"",IF(ISNUMBER(SEARCH("Incandescent",I34)),(0.7*R34)*T34*P34/1000,P34*R34*T34/1000))</f>
        <v/>
      </c>
      <c r="AX34" s="1346" t="str">
        <f t="shared" ref="AX34" si="42">IF(OR(C34="",I34="",M34="",P34="",R34="",T34="",V34="",Z34="",AC34="",AE34="",AG34="",AI34=""),"",AC34*AE34*T34/1000)</f>
        <v/>
      </c>
      <c r="AY34" s="1363" t="str">
        <f>IF(OR(C34="",F34="",I34="",M34="",P34="",R34="",T34="",V34="",Z34="",AC34="",AE34="",AG34="",AI34=""),"",CONCATENATE(INDEX( CMLIGHTEFF[Measure Number],MATCH(V34, CMLIGHTEFF[Eff Desc 1],0)),INDEX( CMLIGHTBASE[Measure Number],MATCH(I34, CMLIGHTBASE[Base Desc 1],0))))</f>
        <v/>
      </c>
      <c r="AZ34" s="1346" t="str">
        <f t="shared" ref="AZ34" si="43">IF(OR(C34="",F34="",I34="",M34="",P34="",R34="",T34="",V34="",Z34="",AC34="",AE34="",AG34="",AI34=""),"",ROUND(IF((P34*R34)&lt;=(AC34*AE34),"0",(AW34-AX34)),0))</f>
        <v/>
      </c>
      <c r="BA34" s="1365" t="str">
        <f t="shared" ref="BA34" si="44">IF(OR(C34="",I34="",M34="",P34="",R34="",T34="",V34="",Z34="",AC34="",AE34="",AG34="",AI34=""),"",IF((P34*R34)&lt;=(AC34*AE34),"0",ROUND(((P34*R34)-(AC34*AE34))/1000,3)))</f>
        <v/>
      </c>
      <c r="BB34" s="1338" t="str">
        <f>IFERROR(AK34/M02S02F35/AZ34,"")</f>
        <v/>
      </c>
      <c r="BC34" s="1338" t="str">
        <f>IFERROR(IF(OR(V34="CFL"),MEASUREELI,IF((P34*R34)&lt;=(AC34*AE34),MEASURESAVE,IF(M02S02F35="",MEASURERATE,IF(AK34/M02S02F35/AZ34&lt;1,MEASUREPAY,IF(AU34&lt;1,MEASURECB, IF(AND(ISNUMBER(SEARCH("24/7",F34)),T34&lt;8500),"Check Location and Hours",IF(AND(ISNUMBER(SEARCH("Dusk to Dawn",F34)),T34&gt;=8500,T34&lt;=8760),"Check Location and Hours",""))))))),MEASURESUBMIT)</f>
        <v>Submit for Review</v>
      </c>
      <c r="BD34"/>
    </row>
    <row r="35" spans="2:56" ht="15.95" customHeight="1" x14ac:dyDescent="0.25">
      <c r="B35" s="1371"/>
      <c r="C35" s="1362"/>
      <c r="D35" s="1362"/>
      <c r="E35" s="1362"/>
      <c r="F35" s="1362"/>
      <c r="G35" s="1362"/>
      <c r="H35" s="1362"/>
      <c r="I35" s="1362"/>
      <c r="J35" s="1362"/>
      <c r="K35" s="1362"/>
      <c r="L35" s="1362"/>
      <c r="M35" s="1362"/>
      <c r="N35" s="1362"/>
      <c r="O35" s="1362"/>
      <c r="P35" s="1350"/>
      <c r="Q35" s="1350"/>
      <c r="R35" s="1353"/>
      <c r="S35" s="1354"/>
      <c r="T35" s="1357"/>
      <c r="U35" s="1358"/>
      <c r="V35" s="1361"/>
      <c r="W35" s="1362"/>
      <c r="X35" s="1362"/>
      <c r="Y35" s="1362"/>
      <c r="Z35" s="1362"/>
      <c r="AA35" s="1362"/>
      <c r="AB35" s="1362"/>
      <c r="AC35" s="1350"/>
      <c r="AD35" s="1350"/>
      <c r="AE35" s="1353"/>
      <c r="AF35" s="1353"/>
      <c r="AG35" s="1368"/>
      <c r="AH35" s="1368"/>
      <c r="AI35" s="1368"/>
      <c r="AJ35" s="1370"/>
      <c r="AK35" s="1027"/>
      <c r="AL35" s="1128"/>
      <c r="AM35" s="1128"/>
      <c r="AN35" s="1341"/>
      <c r="AO35" s="1341"/>
      <c r="AP35" s="1341"/>
      <c r="AQ35" s="1341"/>
      <c r="AR35" s="562"/>
      <c r="AS35" s="564"/>
      <c r="AT35" s="564"/>
      <c r="AU35" s="1343"/>
      <c r="AV35" s="1345"/>
      <c r="AW35" s="1347"/>
      <c r="AX35" s="1347"/>
      <c r="AY35" s="1364"/>
      <c r="AZ35" s="1347"/>
      <c r="BA35" s="1366"/>
      <c r="BB35" s="1339"/>
      <c r="BC35" s="1339"/>
      <c r="BD35"/>
    </row>
    <row r="36" spans="2:56" ht="15.95" hidden="1" customHeight="1" x14ac:dyDescent="0.25">
      <c r="B36" s="1063">
        <v>11</v>
      </c>
      <c r="C36" s="135"/>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row>
    <row r="37" spans="2:56" ht="15.95" hidden="1" customHeight="1" x14ac:dyDescent="0.25">
      <c r="B37" s="1063"/>
      <c r="C37" s="148"/>
      <c r="D37" s="148"/>
      <c r="E37" s="148"/>
      <c r="F37" s="148"/>
      <c r="G37" s="148"/>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35"/>
    </row>
    <row r="38" spans="2:56" ht="15.95" hidden="1" customHeight="1" x14ac:dyDescent="0.25">
      <c r="B38" s="1063">
        <v>12</v>
      </c>
      <c r="C38" s="148"/>
      <c r="D38" s="148"/>
      <c r="E38" s="148"/>
      <c r="F38" s="148"/>
      <c r="G38" s="148"/>
      <c r="H38" s="148"/>
      <c r="I38" s="148"/>
      <c r="J38" s="148"/>
      <c r="K38" s="148"/>
      <c r="L38" s="148"/>
      <c r="M38" s="148"/>
      <c r="N38" s="148"/>
      <c r="O38" s="148"/>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35"/>
    </row>
    <row r="39" spans="2:56" ht="15.95" hidden="1" customHeight="1" x14ac:dyDescent="0.25">
      <c r="B39" s="1063"/>
      <c r="C39" s="148"/>
      <c r="D39" s="148"/>
      <c r="E39" s="148"/>
      <c r="F39" s="148"/>
      <c r="G39" s="148"/>
      <c r="H39" s="148"/>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35"/>
    </row>
    <row r="40" spans="2:56" ht="15.95" hidden="1" customHeight="1" x14ac:dyDescent="0.25">
      <c r="B40" s="1063">
        <v>13</v>
      </c>
      <c r="C40" s="148"/>
      <c r="D40" s="148"/>
      <c r="E40" s="148"/>
      <c r="F40" s="148"/>
      <c r="G40" s="148"/>
      <c r="H40" s="148"/>
      <c r="I40" s="148"/>
      <c r="J40" s="148"/>
      <c r="K40" s="148"/>
      <c r="L40" s="148"/>
      <c r="M40" s="148"/>
      <c r="N40" s="148"/>
      <c r="O40" s="148"/>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35"/>
    </row>
    <row r="41" spans="2:56" ht="15.95" hidden="1" customHeight="1" x14ac:dyDescent="0.25">
      <c r="B41" s="1063"/>
      <c r="C41" s="148"/>
      <c r="D41" s="148"/>
      <c r="E41" s="148"/>
      <c r="F41" s="148"/>
      <c r="G41" s="148"/>
      <c r="H41" s="148"/>
      <c r="I41" s="148"/>
      <c r="J41" s="148"/>
      <c r="K41" s="148"/>
      <c r="L41" s="148"/>
      <c r="M41" s="148"/>
      <c r="N41" s="148"/>
      <c r="O41" s="148"/>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35"/>
    </row>
    <row r="42" spans="2:56" ht="15.95" hidden="1" customHeight="1" x14ac:dyDescent="0.25">
      <c r="B42" s="1063">
        <v>14</v>
      </c>
      <c r="C42" s="148"/>
      <c r="D42" s="148"/>
      <c r="E42" s="148"/>
      <c r="F42" s="148"/>
      <c r="G42" s="148"/>
      <c r="H42" s="148"/>
      <c r="I42" s="148"/>
      <c r="J42" s="148"/>
      <c r="K42" s="148"/>
      <c r="L42" s="148"/>
      <c r="M42" s="148"/>
      <c r="N42" s="148"/>
      <c r="O42" s="148"/>
      <c r="P42" s="148"/>
      <c r="Q42" s="148"/>
      <c r="R42" s="148"/>
      <c r="S42" s="148"/>
      <c r="T42" s="148"/>
      <c r="U42" s="148"/>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35"/>
    </row>
    <row r="43" spans="2:56" ht="15.95" hidden="1" customHeight="1" x14ac:dyDescent="0.25">
      <c r="B43" s="1063"/>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35"/>
    </row>
    <row r="44" spans="2:56" ht="15.95" hidden="1" customHeight="1" x14ac:dyDescent="0.25">
      <c r="B44" s="1063">
        <v>15</v>
      </c>
      <c r="C44" s="148"/>
      <c r="D44" s="148"/>
      <c r="E44" s="148"/>
      <c r="F44" s="148"/>
      <c r="G44" s="148"/>
      <c r="H44" s="148"/>
      <c r="I44" s="148"/>
      <c r="J44" s="148"/>
      <c r="K44" s="148"/>
      <c r="L44" s="148"/>
      <c r="M44" s="148"/>
      <c r="N44" s="148"/>
      <c r="O44" s="148"/>
      <c r="P44" s="148"/>
      <c r="Q44" s="148"/>
      <c r="R44" s="148"/>
      <c r="S44" s="148"/>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35"/>
    </row>
    <row r="45" spans="2:56" ht="15.95" hidden="1" customHeight="1" x14ac:dyDescent="0.25">
      <c r="B45" s="1063"/>
      <c r="C45" s="148"/>
      <c r="D45" s="148"/>
      <c r="E45" s="148"/>
      <c r="F45" s="148"/>
      <c r="G45" s="148"/>
      <c r="H45" s="148"/>
      <c r="I45" s="148"/>
      <c r="J45" s="148"/>
      <c r="K45" s="148"/>
      <c r="L45" s="148"/>
      <c r="M45" s="148"/>
      <c r="N45" s="148"/>
      <c r="O45" s="148"/>
      <c r="P45" s="148"/>
      <c r="Q45" s="148"/>
      <c r="R45" s="148"/>
      <c r="S45" s="148"/>
      <c r="T45" s="148"/>
      <c r="U45" s="148"/>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35"/>
    </row>
    <row r="46" spans="2:56" ht="15.95" hidden="1" customHeight="1" x14ac:dyDescent="0.25">
      <c r="B46" s="1063">
        <v>16</v>
      </c>
      <c r="C46" s="148"/>
      <c r="D46" s="148"/>
      <c r="E46" s="148"/>
      <c r="F46" s="148"/>
      <c r="G46" s="148"/>
      <c r="H46" s="148"/>
      <c r="I46" s="148"/>
      <c r="J46" s="148"/>
      <c r="K46" s="148"/>
      <c r="L46" s="148"/>
      <c r="M46" s="148"/>
      <c r="N46" s="148"/>
      <c r="O46" s="148"/>
      <c r="P46" s="148"/>
      <c r="Q46" s="148"/>
      <c r="R46" s="148"/>
      <c r="S46" s="148"/>
      <c r="T46" s="148"/>
      <c r="U46" s="148"/>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35"/>
    </row>
    <row r="47" spans="2:56" ht="15.95" hidden="1" customHeight="1" x14ac:dyDescent="0.25">
      <c r="B47" s="1063"/>
      <c r="C47" s="148"/>
      <c r="D47" s="148"/>
      <c r="E47" s="148"/>
      <c r="F47" s="148"/>
      <c r="G47" s="148"/>
      <c r="H47" s="148"/>
      <c r="I47" s="148"/>
      <c r="J47" s="148"/>
      <c r="K47" s="148"/>
      <c r="L47" s="148"/>
      <c r="M47" s="148"/>
      <c r="N47" s="148"/>
      <c r="O47" s="148"/>
      <c r="P47" s="148"/>
      <c r="Q47" s="148"/>
      <c r="R47" s="148"/>
      <c r="S47" s="148"/>
      <c r="T47" s="148"/>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35"/>
    </row>
    <row r="48" spans="2:56" ht="15.95" hidden="1" customHeight="1" x14ac:dyDescent="0.25">
      <c r="B48" s="1063">
        <v>17</v>
      </c>
      <c r="C48" s="148"/>
      <c r="D48" s="148"/>
      <c r="E48" s="148"/>
      <c r="F48" s="148"/>
      <c r="G48" s="148"/>
      <c r="H48" s="148"/>
      <c r="I48" s="148"/>
      <c r="J48" s="148"/>
      <c r="K48" s="148"/>
      <c r="L48" s="148"/>
      <c r="M48" s="148"/>
      <c r="N48" s="148"/>
      <c r="O48" s="148"/>
      <c r="P48" s="148"/>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35"/>
    </row>
    <row r="49" spans="2:44" ht="15.95" hidden="1" customHeight="1" x14ac:dyDescent="0.25">
      <c r="B49" s="1063"/>
      <c r="C49" s="148"/>
      <c r="D49" s="148"/>
      <c r="E49" s="148"/>
      <c r="F49" s="148"/>
      <c r="G49" s="148"/>
      <c r="H49" s="148"/>
      <c r="I49" s="148"/>
      <c r="J49" s="148"/>
      <c r="K49" s="148"/>
      <c r="L49" s="148"/>
      <c r="M49" s="148"/>
      <c r="N49" s="148"/>
      <c r="O49" s="148"/>
      <c r="P49" s="148"/>
      <c r="Q49" s="148"/>
      <c r="R49" s="148"/>
      <c r="S49" s="148"/>
      <c r="T49" s="148"/>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35"/>
    </row>
    <row r="50" spans="2:44" ht="15.95" hidden="1" customHeight="1" x14ac:dyDescent="0.25">
      <c r="B50" s="1063">
        <v>18</v>
      </c>
      <c r="C50" s="148"/>
      <c r="D50" s="148"/>
      <c r="E50" s="148"/>
      <c r="F50" s="148"/>
      <c r="G50" s="148"/>
      <c r="H50" s="148"/>
      <c r="I50" s="148"/>
      <c r="J50" s="148"/>
      <c r="K50" s="148"/>
      <c r="L50" s="148"/>
      <c r="M50" s="148"/>
      <c r="N50" s="148"/>
      <c r="O50" s="148"/>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35"/>
    </row>
    <row r="51" spans="2:44" ht="15.95" hidden="1" customHeight="1" x14ac:dyDescent="0.25">
      <c r="B51" s="1063"/>
      <c r="C51" s="148"/>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35"/>
    </row>
    <row r="52" spans="2:44" ht="15.95" hidden="1" customHeight="1" x14ac:dyDescent="0.25">
      <c r="B52" s="1063">
        <v>19</v>
      </c>
      <c r="C52" s="148"/>
      <c r="D52" s="148"/>
      <c r="E52" s="148"/>
      <c r="F52" s="148"/>
      <c r="G52" s="148"/>
      <c r="H52" s="148"/>
      <c r="I52" s="148"/>
      <c r="J52" s="148"/>
      <c r="K52" s="148"/>
      <c r="L52" s="148"/>
      <c r="M52" s="148"/>
      <c r="N52" s="148"/>
      <c r="O52" s="148"/>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35"/>
    </row>
    <row r="53" spans="2:44" ht="15.95" hidden="1" customHeight="1" x14ac:dyDescent="0.25">
      <c r="B53" s="1063"/>
      <c r="C53" s="148"/>
      <c r="D53" s="148"/>
      <c r="E53" s="148"/>
      <c r="F53" s="148"/>
      <c r="G53" s="148"/>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35"/>
    </row>
    <row r="54" spans="2:44" ht="15.95" hidden="1" customHeight="1" x14ac:dyDescent="0.25">
      <c r="B54" s="1063">
        <v>20</v>
      </c>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35"/>
    </row>
    <row r="55" spans="2:44" ht="15.95" hidden="1" customHeight="1" x14ac:dyDescent="0.25">
      <c r="B55" s="1063"/>
      <c r="C55" s="148"/>
      <c r="D55" s="148"/>
      <c r="E55" s="148"/>
      <c r="F55" s="148"/>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35"/>
    </row>
    <row r="56" spans="2:44" ht="15.95" hidden="1" customHeight="1" x14ac:dyDescent="0.25">
      <c r="B56" s="1063">
        <v>21</v>
      </c>
      <c r="C56" s="148"/>
      <c r="D56" s="148"/>
      <c r="E56" s="148"/>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35"/>
    </row>
    <row r="57" spans="2:44" ht="15.95" hidden="1" customHeight="1" x14ac:dyDescent="0.25">
      <c r="B57" s="1063"/>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35"/>
    </row>
    <row r="58" spans="2:44" ht="15.95" hidden="1" customHeight="1" x14ac:dyDescent="0.25">
      <c r="B58" s="1063">
        <v>22</v>
      </c>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35"/>
    </row>
    <row r="59" spans="2:44" ht="15.95" hidden="1" customHeight="1" x14ac:dyDescent="0.25">
      <c r="B59" s="1063"/>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35"/>
    </row>
    <row r="60" spans="2:44" ht="15.95" hidden="1" customHeight="1" x14ac:dyDescent="0.25">
      <c r="B60" s="1063">
        <v>23</v>
      </c>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35"/>
    </row>
    <row r="61" spans="2:44" ht="15.95" hidden="1" customHeight="1" x14ac:dyDescent="0.25">
      <c r="B61" s="1063"/>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35"/>
    </row>
    <row r="62" spans="2:44" ht="15.95" hidden="1" customHeight="1" x14ac:dyDescent="0.25">
      <c r="B62" s="1063">
        <v>24</v>
      </c>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35"/>
    </row>
    <row r="63" spans="2:44" ht="15.95" hidden="1" customHeight="1" x14ac:dyDescent="0.25">
      <c r="B63" s="1063"/>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35"/>
    </row>
    <row r="64" spans="2:44" ht="15.95" hidden="1" customHeight="1" x14ac:dyDescent="0.25">
      <c r="B64" s="1063">
        <v>25</v>
      </c>
      <c r="C64" s="148"/>
      <c r="D64" s="148"/>
      <c r="E64" s="148"/>
      <c r="F64" s="148"/>
      <c r="G64" s="148"/>
      <c r="H64" s="148"/>
      <c r="I64" s="148"/>
      <c r="J64" s="148"/>
      <c r="K64" s="148"/>
      <c r="L64" s="148"/>
      <c r="M64" s="148"/>
      <c r="N64" s="148"/>
      <c r="O64" s="148"/>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35"/>
    </row>
    <row r="65" spans="2:44" ht="15.95" hidden="1" customHeight="1" x14ac:dyDescent="0.25">
      <c r="B65" s="1063"/>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35"/>
    </row>
    <row r="66" spans="2:44" ht="15.95" hidden="1" customHeight="1" x14ac:dyDescent="0.25">
      <c r="B66" s="1063">
        <v>26</v>
      </c>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35"/>
    </row>
    <row r="67" spans="2:44" ht="15.95" hidden="1" customHeight="1" x14ac:dyDescent="0.25">
      <c r="B67" s="1063"/>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35"/>
    </row>
    <row r="68" spans="2:44" ht="15.95" hidden="1" customHeight="1" x14ac:dyDescent="0.25">
      <c r="B68" s="1063">
        <v>27</v>
      </c>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35"/>
    </row>
    <row r="69" spans="2:44" ht="15.95" hidden="1" customHeight="1" x14ac:dyDescent="0.25">
      <c r="B69" s="1063"/>
      <c r="C69" s="148"/>
      <c r="D69" s="148"/>
      <c r="E69" s="148"/>
      <c r="F69" s="148"/>
      <c r="G69" s="148"/>
      <c r="H69" s="148"/>
      <c r="I69" s="148"/>
      <c r="J69" s="148"/>
      <c r="K69" s="148"/>
      <c r="L69" s="148"/>
      <c r="M69" s="148"/>
      <c r="N69" s="148"/>
      <c r="O69" s="148"/>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35"/>
    </row>
    <row r="70" spans="2:44" ht="15.95" hidden="1" customHeight="1" x14ac:dyDescent="0.25">
      <c r="B70" s="1063">
        <v>28</v>
      </c>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35"/>
    </row>
    <row r="71" spans="2:44" ht="15.95" hidden="1" customHeight="1" x14ac:dyDescent="0.25">
      <c r="B71" s="1063"/>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35"/>
    </row>
    <row r="72" spans="2:44" ht="15.95" hidden="1" customHeight="1" x14ac:dyDescent="0.25">
      <c r="B72" s="1063">
        <v>29</v>
      </c>
      <c r="C72" s="148"/>
      <c r="D72" s="148"/>
      <c r="E72" s="148"/>
      <c r="F72" s="148"/>
      <c r="G72" s="148"/>
      <c r="H72" s="148"/>
      <c r="I72" s="148"/>
      <c r="J72" s="148"/>
      <c r="K72" s="148"/>
      <c r="L72" s="148"/>
      <c r="M72" s="148"/>
      <c r="N72" s="148"/>
      <c r="O72" s="148"/>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35"/>
    </row>
    <row r="73" spans="2:44" ht="15.95" hidden="1" customHeight="1" x14ac:dyDescent="0.25">
      <c r="B73" s="1063"/>
      <c r="C73" s="148"/>
      <c r="D73" s="148"/>
      <c r="E73" s="148"/>
      <c r="F73" s="148"/>
      <c r="G73" s="148"/>
      <c r="H73" s="148"/>
      <c r="I73" s="148"/>
      <c r="J73" s="148"/>
      <c r="K73" s="148"/>
      <c r="L73" s="148"/>
      <c r="M73" s="148"/>
      <c r="N73" s="148"/>
      <c r="O73" s="148"/>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35"/>
    </row>
    <row r="74" spans="2:44" ht="15.95" hidden="1" customHeight="1" x14ac:dyDescent="0.25">
      <c r="B74" s="1063">
        <v>30</v>
      </c>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35"/>
    </row>
    <row r="75" spans="2:44" ht="15.95" hidden="1" customHeight="1" x14ac:dyDescent="0.25">
      <c r="B75" s="1063"/>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35"/>
    </row>
    <row r="76" spans="2:44" ht="15.95" hidden="1" customHeight="1" x14ac:dyDescent="0.25">
      <c r="B76" s="1063">
        <v>31</v>
      </c>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35"/>
    </row>
    <row r="77" spans="2:44" ht="15.95" hidden="1" customHeight="1" x14ac:dyDescent="0.25">
      <c r="B77" s="1063"/>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35"/>
    </row>
    <row r="78" spans="2:44" ht="15.95" hidden="1" customHeight="1" x14ac:dyDescent="0.25">
      <c r="B78" s="1063">
        <v>32</v>
      </c>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35"/>
    </row>
    <row r="79" spans="2:44" ht="15.95" hidden="1" customHeight="1" x14ac:dyDescent="0.25">
      <c r="B79" s="1063"/>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35"/>
    </row>
    <row r="80" spans="2:44" ht="15.95" hidden="1" customHeight="1" x14ac:dyDescent="0.25">
      <c r="B80" s="1063">
        <v>33</v>
      </c>
      <c r="C80" s="148"/>
      <c r="D80" s="148"/>
      <c r="E80" s="148"/>
      <c r="F80" s="148"/>
      <c r="G80" s="148"/>
      <c r="H80" s="148"/>
      <c r="I80" s="148"/>
      <c r="J80" s="148"/>
      <c r="K80" s="148"/>
      <c r="L80" s="148"/>
      <c r="M80" s="148"/>
      <c r="N80" s="148"/>
      <c r="O80" s="148"/>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35"/>
    </row>
    <row r="81" spans="2:44" ht="15.95" hidden="1" customHeight="1" x14ac:dyDescent="0.25">
      <c r="B81" s="1063"/>
      <c r="C81" s="148"/>
      <c r="D81" s="148"/>
      <c r="E81" s="148"/>
      <c r="F81" s="148"/>
      <c r="G81" s="148"/>
      <c r="H81" s="148"/>
      <c r="I81" s="148"/>
      <c r="J81" s="148"/>
      <c r="K81" s="148"/>
      <c r="L81" s="148"/>
      <c r="M81" s="148"/>
      <c r="N81" s="148"/>
      <c r="O81" s="148"/>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35"/>
    </row>
    <row r="82" spans="2:44" ht="15.95" hidden="1" customHeight="1" x14ac:dyDescent="0.25">
      <c r="B82" s="1063">
        <v>34</v>
      </c>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35"/>
    </row>
    <row r="83" spans="2:44" ht="15.95" hidden="1" customHeight="1" x14ac:dyDescent="0.25">
      <c r="B83" s="1063"/>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35"/>
    </row>
    <row r="84" spans="2:44" ht="15.95" hidden="1" customHeight="1" x14ac:dyDescent="0.25">
      <c r="B84" s="1063">
        <v>35</v>
      </c>
      <c r="C84" s="148"/>
      <c r="D84" s="148"/>
      <c r="E84" s="148"/>
      <c r="F84" s="148"/>
      <c r="G84" s="148"/>
      <c r="H84" s="148"/>
      <c r="I84" s="148"/>
      <c r="J84" s="148"/>
      <c r="K84" s="148"/>
      <c r="L84" s="148"/>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35"/>
    </row>
    <row r="85" spans="2:44" ht="15.95" hidden="1" customHeight="1" x14ac:dyDescent="0.25">
      <c r="B85" s="1063"/>
      <c r="C85" s="148"/>
      <c r="D85" s="148"/>
      <c r="E85" s="148"/>
      <c r="F85" s="148"/>
      <c r="G85" s="148"/>
      <c r="H85" s="148"/>
      <c r="I85" s="148"/>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35"/>
    </row>
    <row r="86" spans="2:44" ht="15.95" hidden="1" customHeight="1" x14ac:dyDescent="0.25">
      <c r="B86" s="1063">
        <v>36</v>
      </c>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35"/>
    </row>
    <row r="87" spans="2:44" ht="15.95" hidden="1" customHeight="1" x14ac:dyDescent="0.25">
      <c r="B87" s="1063"/>
      <c r="C87" s="148"/>
      <c r="D87" s="148"/>
      <c r="E87" s="148"/>
      <c r="F87" s="148"/>
      <c r="G87" s="148"/>
      <c r="H87" s="148"/>
      <c r="I87" s="148"/>
      <c r="J87" s="148"/>
      <c r="K87" s="148"/>
      <c r="L87" s="148"/>
      <c r="M87" s="148"/>
      <c r="N87" s="148"/>
      <c r="O87" s="148"/>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35"/>
    </row>
    <row r="88" spans="2:44" ht="15.95" hidden="1" customHeight="1" x14ac:dyDescent="0.25">
      <c r="B88" s="1063">
        <v>37</v>
      </c>
      <c r="C88" s="148"/>
      <c r="D88" s="148"/>
      <c r="E88" s="148"/>
      <c r="F88" s="148"/>
      <c r="G88" s="148"/>
      <c r="H88" s="148"/>
      <c r="I88" s="148"/>
      <c r="J88" s="148"/>
      <c r="K88" s="148"/>
      <c r="L88" s="148"/>
      <c r="M88" s="148"/>
      <c r="N88" s="148"/>
      <c r="O88" s="148"/>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35"/>
    </row>
    <row r="89" spans="2:44" ht="15.95" hidden="1" customHeight="1" x14ac:dyDescent="0.25">
      <c r="B89" s="1063"/>
      <c r="C89" s="148"/>
      <c r="D89" s="148"/>
      <c r="E89" s="148"/>
      <c r="F89" s="148"/>
      <c r="G89" s="148"/>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35"/>
    </row>
    <row r="90" spans="2:44" ht="15.95" hidden="1" customHeight="1" x14ac:dyDescent="0.25">
      <c r="B90" s="1063">
        <v>38</v>
      </c>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35"/>
    </row>
    <row r="91" spans="2:44" ht="15.95" hidden="1" customHeight="1" x14ac:dyDescent="0.25">
      <c r="B91" s="1063"/>
      <c r="C91" s="148"/>
      <c r="D91" s="148"/>
      <c r="E91" s="148"/>
      <c r="F91" s="148"/>
      <c r="G91" s="148"/>
      <c r="H91" s="148"/>
      <c r="I91" s="148"/>
      <c r="J91" s="148"/>
      <c r="K91" s="148"/>
      <c r="L91" s="148"/>
      <c r="M91" s="148"/>
      <c r="N91" s="148"/>
      <c r="O91" s="148"/>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35"/>
    </row>
    <row r="92" spans="2:44" ht="15.95" hidden="1" customHeight="1" x14ac:dyDescent="0.25">
      <c r="B92" s="1063">
        <v>39</v>
      </c>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35"/>
    </row>
    <row r="93" spans="2:44" ht="15.95" hidden="1" customHeight="1" x14ac:dyDescent="0.25">
      <c r="B93" s="1063"/>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35"/>
    </row>
    <row r="94" spans="2:44" ht="15.95" hidden="1" customHeight="1" x14ac:dyDescent="0.25">
      <c r="B94" s="1063">
        <v>40</v>
      </c>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35"/>
    </row>
    <row r="95" spans="2:44" ht="15.95" hidden="1" customHeight="1" x14ac:dyDescent="0.25">
      <c r="B95" s="1063"/>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35"/>
    </row>
    <row r="96" spans="2:44" ht="15.95" hidden="1" customHeight="1" x14ac:dyDescent="0.25">
      <c r="B96" s="1063">
        <v>41</v>
      </c>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35"/>
    </row>
    <row r="97" spans="2:44" ht="15.95" hidden="1" customHeight="1" x14ac:dyDescent="0.25">
      <c r="B97" s="1063"/>
      <c r="C97" s="148"/>
      <c r="D97" s="148"/>
      <c r="E97" s="148"/>
      <c r="F97" s="148"/>
      <c r="G97" s="148"/>
      <c r="H97" s="148"/>
      <c r="I97" s="148"/>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35"/>
    </row>
    <row r="98" spans="2:44" ht="15.95" hidden="1" customHeight="1" x14ac:dyDescent="0.25">
      <c r="B98" s="1063">
        <v>42</v>
      </c>
      <c r="C98" s="148"/>
      <c r="D98" s="148"/>
      <c r="E98" s="148"/>
      <c r="F98" s="148"/>
      <c r="G98" s="148"/>
      <c r="H98" s="148"/>
      <c r="I98" s="148"/>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35"/>
    </row>
    <row r="99" spans="2:44" ht="15.95" hidden="1" customHeight="1" x14ac:dyDescent="0.25">
      <c r="B99" s="1063"/>
      <c r="C99" s="148"/>
      <c r="D99" s="148"/>
      <c r="E99" s="148"/>
      <c r="F99" s="148"/>
      <c r="G99" s="148"/>
      <c r="H99" s="148"/>
      <c r="I99" s="148"/>
      <c r="J99" s="148"/>
      <c r="K99" s="148"/>
      <c r="L99" s="148"/>
      <c r="M99" s="148"/>
      <c r="N99" s="148"/>
      <c r="O99" s="148"/>
      <c r="P99" s="148"/>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35"/>
    </row>
    <row r="100" spans="2:44" ht="15.95" hidden="1" customHeight="1" x14ac:dyDescent="0.25">
      <c r="B100" s="1063">
        <v>43</v>
      </c>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35"/>
    </row>
    <row r="101" spans="2:44" ht="15.95" hidden="1" customHeight="1" x14ac:dyDescent="0.25">
      <c r="B101" s="1063"/>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35"/>
    </row>
    <row r="102" spans="2:44" ht="15.95" hidden="1" customHeight="1" x14ac:dyDescent="0.25">
      <c r="B102" s="1063">
        <v>44</v>
      </c>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35"/>
    </row>
    <row r="103" spans="2:44" ht="15.95" hidden="1" customHeight="1" x14ac:dyDescent="0.25">
      <c r="B103" s="1063"/>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35"/>
    </row>
    <row r="104" spans="2:44" ht="15.95" hidden="1" customHeight="1" x14ac:dyDescent="0.25">
      <c r="B104" s="1063">
        <v>45</v>
      </c>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8"/>
      <c r="AN104" s="148"/>
      <c r="AO104" s="148"/>
      <c r="AP104" s="148"/>
      <c r="AQ104" s="148"/>
      <c r="AR104" s="135"/>
    </row>
    <row r="105" spans="2:44" ht="15.95" hidden="1" customHeight="1" x14ac:dyDescent="0.25">
      <c r="B105" s="1063"/>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35"/>
    </row>
    <row r="106" spans="2:44" ht="15.95" hidden="1" customHeight="1" x14ac:dyDescent="0.25">
      <c r="B106" s="1063">
        <v>46</v>
      </c>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c r="AA106" s="148"/>
      <c r="AB106" s="148"/>
      <c r="AC106" s="148"/>
      <c r="AD106" s="148"/>
      <c r="AE106" s="148"/>
      <c r="AF106" s="148"/>
      <c r="AG106" s="148"/>
      <c r="AH106" s="148"/>
      <c r="AI106" s="148"/>
      <c r="AJ106" s="148"/>
      <c r="AK106" s="148"/>
      <c r="AL106" s="148"/>
      <c r="AM106" s="148"/>
      <c r="AN106" s="148"/>
      <c r="AO106" s="148"/>
      <c r="AP106" s="148"/>
      <c r="AQ106" s="148"/>
      <c r="AR106" s="135"/>
    </row>
    <row r="107" spans="2:44" ht="15.95" hidden="1" customHeight="1" x14ac:dyDescent="0.25">
      <c r="B107" s="1063"/>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c r="AA107" s="148"/>
      <c r="AB107" s="148"/>
      <c r="AC107" s="148"/>
      <c r="AD107" s="148"/>
      <c r="AE107" s="148"/>
      <c r="AF107" s="148"/>
      <c r="AG107" s="148"/>
      <c r="AH107" s="148"/>
      <c r="AI107" s="148"/>
      <c r="AJ107" s="148"/>
      <c r="AK107" s="148"/>
      <c r="AL107" s="148"/>
      <c r="AM107" s="148"/>
      <c r="AN107" s="148"/>
      <c r="AO107" s="148"/>
      <c r="AP107" s="148"/>
      <c r="AQ107" s="148"/>
      <c r="AR107" s="135"/>
    </row>
    <row r="108" spans="2:44" ht="15.95" hidden="1" customHeight="1" x14ac:dyDescent="0.25">
      <c r="B108" s="1063">
        <v>47</v>
      </c>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35"/>
    </row>
    <row r="109" spans="2:44" ht="15.95" hidden="1" customHeight="1" x14ac:dyDescent="0.25">
      <c r="B109" s="1063"/>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c r="AA109" s="148"/>
      <c r="AB109" s="148"/>
      <c r="AC109" s="148"/>
      <c r="AD109" s="148"/>
      <c r="AE109" s="148"/>
      <c r="AF109" s="148"/>
      <c r="AG109" s="148"/>
      <c r="AH109" s="148"/>
      <c r="AI109" s="148"/>
      <c r="AJ109" s="148"/>
      <c r="AK109" s="148"/>
      <c r="AL109" s="148"/>
      <c r="AM109" s="148"/>
      <c r="AN109" s="148"/>
      <c r="AO109" s="148"/>
      <c r="AP109" s="148"/>
      <c r="AQ109" s="148"/>
      <c r="AR109" s="135"/>
    </row>
    <row r="110" spans="2:44" ht="15.95" hidden="1" customHeight="1" x14ac:dyDescent="0.25">
      <c r="B110" s="1063">
        <v>48</v>
      </c>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35"/>
    </row>
    <row r="111" spans="2:44" ht="15.95" hidden="1" customHeight="1" x14ac:dyDescent="0.25">
      <c r="B111" s="1063"/>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c r="AA111" s="148"/>
      <c r="AB111" s="148"/>
      <c r="AC111" s="148"/>
      <c r="AD111" s="148"/>
      <c r="AE111" s="148"/>
      <c r="AF111" s="148"/>
      <c r="AG111" s="148"/>
      <c r="AH111" s="148"/>
      <c r="AI111" s="148"/>
      <c r="AJ111" s="148"/>
      <c r="AK111" s="148"/>
      <c r="AL111" s="148"/>
      <c r="AM111" s="148"/>
      <c r="AN111" s="148"/>
      <c r="AO111" s="148"/>
      <c r="AP111" s="148"/>
      <c r="AQ111" s="148"/>
      <c r="AR111" s="135"/>
    </row>
    <row r="112" spans="2:44" ht="15.95" hidden="1" customHeight="1" x14ac:dyDescent="0.25">
      <c r="B112" s="1063">
        <v>49</v>
      </c>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35"/>
    </row>
    <row r="113" spans="2:44" ht="15.95" hidden="1" customHeight="1" x14ac:dyDescent="0.25">
      <c r="B113" s="1063"/>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35"/>
    </row>
    <row r="114" spans="2:44" ht="15.95" hidden="1" customHeight="1" x14ac:dyDescent="0.25">
      <c r="B114" s="1063">
        <v>50</v>
      </c>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35"/>
    </row>
    <row r="115" spans="2:44" ht="15.95" hidden="1" customHeight="1" x14ac:dyDescent="0.25">
      <c r="B115" s="1063"/>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48"/>
      <c r="AR115" s="135"/>
    </row>
    <row r="116" spans="2:44" ht="15.95" hidden="1" customHeight="1" x14ac:dyDescent="0.25">
      <c r="B116" s="1063">
        <v>51</v>
      </c>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35"/>
    </row>
    <row r="117" spans="2:44" ht="15.95" hidden="1" customHeight="1" x14ac:dyDescent="0.25">
      <c r="B117" s="1063"/>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35"/>
    </row>
    <row r="118" spans="2:44" ht="15.95" hidden="1" customHeight="1" x14ac:dyDescent="0.25">
      <c r="B118" s="1063">
        <v>52</v>
      </c>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35"/>
    </row>
    <row r="119" spans="2:44" ht="15.95" hidden="1" customHeight="1" x14ac:dyDescent="0.25">
      <c r="B119" s="1063"/>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c r="AA119" s="148"/>
      <c r="AB119" s="148"/>
      <c r="AC119" s="148"/>
      <c r="AD119" s="148"/>
      <c r="AE119" s="148"/>
      <c r="AF119" s="148"/>
      <c r="AG119" s="148"/>
      <c r="AH119" s="148"/>
      <c r="AI119" s="148"/>
      <c r="AJ119" s="148"/>
      <c r="AK119" s="148"/>
      <c r="AL119" s="148"/>
      <c r="AM119" s="148"/>
      <c r="AN119" s="148"/>
      <c r="AO119" s="148"/>
      <c r="AP119" s="148"/>
      <c r="AQ119" s="148"/>
      <c r="AR119" s="135"/>
    </row>
    <row r="120" spans="2:44" ht="15.95" hidden="1" customHeight="1" x14ac:dyDescent="0.25">
      <c r="B120" s="1063">
        <v>53</v>
      </c>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48"/>
      <c r="AG120" s="148"/>
      <c r="AH120" s="148"/>
      <c r="AI120" s="148"/>
      <c r="AJ120" s="148"/>
      <c r="AK120" s="148"/>
      <c r="AL120" s="148"/>
      <c r="AM120" s="148"/>
      <c r="AN120" s="148"/>
      <c r="AO120" s="148"/>
      <c r="AP120" s="148"/>
      <c r="AQ120" s="148"/>
      <c r="AR120" s="135"/>
    </row>
    <row r="121" spans="2:44" ht="15.95" hidden="1" customHeight="1" x14ac:dyDescent="0.25">
      <c r="B121" s="1063"/>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c r="AK121" s="148"/>
      <c r="AL121" s="148"/>
      <c r="AM121" s="148"/>
      <c r="AN121" s="148"/>
      <c r="AO121" s="148"/>
      <c r="AP121" s="148"/>
      <c r="AQ121" s="148"/>
      <c r="AR121" s="135"/>
    </row>
    <row r="122" spans="2:44" ht="15.95" hidden="1" customHeight="1" x14ac:dyDescent="0.25">
      <c r="B122" s="1063">
        <v>54</v>
      </c>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148"/>
      <c r="AM122" s="148"/>
      <c r="AN122" s="148"/>
      <c r="AO122" s="148"/>
      <c r="AP122" s="148"/>
      <c r="AQ122" s="148"/>
      <c r="AR122" s="135"/>
    </row>
    <row r="123" spans="2:44" ht="15.95" hidden="1" customHeight="1" x14ac:dyDescent="0.25">
      <c r="B123" s="1063"/>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8"/>
      <c r="AN123" s="148"/>
      <c r="AO123" s="148"/>
      <c r="AP123" s="148"/>
      <c r="AQ123" s="148"/>
      <c r="AR123" s="135"/>
    </row>
    <row r="124" spans="2:44" ht="15.95" hidden="1" customHeight="1" x14ac:dyDescent="0.25">
      <c r="B124" s="1063">
        <v>55</v>
      </c>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c r="AA124" s="148"/>
      <c r="AB124" s="148"/>
      <c r="AC124" s="148"/>
      <c r="AD124" s="148"/>
      <c r="AE124" s="148"/>
      <c r="AF124" s="148"/>
      <c r="AG124" s="148"/>
      <c r="AH124" s="148"/>
      <c r="AI124" s="148"/>
      <c r="AJ124" s="148"/>
      <c r="AK124" s="148"/>
      <c r="AL124" s="148"/>
      <c r="AM124" s="148"/>
      <c r="AN124" s="148"/>
      <c r="AO124" s="148"/>
      <c r="AP124" s="148"/>
      <c r="AQ124" s="148"/>
      <c r="AR124" s="135"/>
    </row>
    <row r="125" spans="2:44" ht="15.95" hidden="1" customHeight="1" x14ac:dyDescent="0.25">
      <c r="B125" s="1063"/>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c r="AA125" s="148"/>
      <c r="AB125" s="148"/>
      <c r="AC125" s="148"/>
      <c r="AD125" s="148"/>
      <c r="AE125" s="148"/>
      <c r="AF125" s="148"/>
      <c r="AG125" s="148"/>
      <c r="AH125" s="148"/>
      <c r="AI125" s="148"/>
      <c r="AJ125" s="148"/>
      <c r="AK125" s="148"/>
      <c r="AL125" s="148"/>
      <c r="AM125" s="148"/>
      <c r="AN125" s="148"/>
      <c r="AO125" s="148"/>
      <c r="AP125" s="148"/>
      <c r="AQ125" s="148"/>
      <c r="AR125" s="135"/>
    </row>
    <row r="126" spans="2:44" ht="15.95" hidden="1" customHeight="1" x14ac:dyDescent="0.25">
      <c r="B126" s="1063">
        <v>56</v>
      </c>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8"/>
      <c r="AN126" s="148"/>
      <c r="AO126" s="148"/>
      <c r="AP126" s="148"/>
      <c r="AQ126" s="148"/>
      <c r="AR126" s="135"/>
    </row>
    <row r="127" spans="2:44" ht="15.95" hidden="1" customHeight="1" x14ac:dyDescent="0.25">
      <c r="B127" s="1063"/>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c r="AK127" s="148"/>
      <c r="AL127" s="148"/>
      <c r="AM127" s="148"/>
      <c r="AN127" s="148"/>
      <c r="AO127" s="148"/>
      <c r="AP127" s="148"/>
      <c r="AQ127" s="148"/>
      <c r="AR127" s="135"/>
    </row>
    <row r="128" spans="2:44" ht="15.95" hidden="1" customHeight="1" x14ac:dyDescent="0.25">
      <c r="B128" s="1063">
        <v>57</v>
      </c>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48"/>
      <c r="AG128" s="148"/>
      <c r="AH128" s="148"/>
      <c r="AI128" s="148"/>
      <c r="AJ128" s="148"/>
      <c r="AK128" s="148"/>
      <c r="AL128" s="148"/>
      <c r="AM128" s="148"/>
      <c r="AN128" s="148"/>
      <c r="AO128" s="148"/>
      <c r="AP128" s="148"/>
      <c r="AQ128" s="148"/>
      <c r="AR128" s="135"/>
    </row>
    <row r="129" spans="2:44" ht="15.95" hidden="1" customHeight="1" x14ac:dyDescent="0.25">
      <c r="B129" s="1063"/>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c r="AA129" s="148"/>
      <c r="AB129" s="148"/>
      <c r="AC129" s="148"/>
      <c r="AD129" s="148"/>
      <c r="AE129" s="148"/>
      <c r="AF129" s="148"/>
      <c r="AG129" s="148"/>
      <c r="AH129" s="148"/>
      <c r="AI129" s="148"/>
      <c r="AJ129" s="148"/>
      <c r="AK129" s="148"/>
      <c r="AL129" s="148"/>
      <c r="AM129" s="148"/>
      <c r="AN129" s="148"/>
      <c r="AO129" s="148"/>
      <c r="AP129" s="148"/>
      <c r="AQ129" s="148"/>
      <c r="AR129" s="135"/>
    </row>
    <row r="130" spans="2:44" ht="15.95" hidden="1" customHeight="1" x14ac:dyDescent="0.25">
      <c r="B130" s="1063">
        <v>58</v>
      </c>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c r="AA130" s="148"/>
      <c r="AB130" s="148"/>
      <c r="AC130" s="148"/>
      <c r="AD130" s="148"/>
      <c r="AE130" s="148"/>
      <c r="AF130" s="148"/>
      <c r="AG130" s="148"/>
      <c r="AH130" s="148"/>
      <c r="AI130" s="148"/>
      <c r="AJ130" s="148"/>
      <c r="AK130" s="148"/>
      <c r="AL130" s="148"/>
      <c r="AM130" s="148"/>
      <c r="AN130" s="148"/>
      <c r="AO130" s="148"/>
      <c r="AP130" s="148"/>
      <c r="AQ130" s="148"/>
      <c r="AR130" s="135"/>
    </row>
    <row r="131" spans="2:44" ht="15.95" hidden="1" customHeight="1" x14ac:dyDescent="0.25">
      <c r="B131" s="1063"/>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c r="AA131" s="148"/>
      <c r="AB131" s="148"/>
      <c r="AC131" s="148"/>
      <c r="AD131" s="148"/>
      <c r="AE131" s="148"/>
      <c r="AF131" s="148"/>
      <c r="AG131" s="148"/>
      <c r="AH131" s="148"/>
      <c r="AI131" s="148"/>
      <c r="AJ131" s="148"/>
      <c r="AK131" s="148"/>
      <c r="AL131" s="148"/>
      <c r="AM131" s="148"/>
      <c r="AN131" s="148"/>
      <c r="AO131" s="148"/>
      <c r="AP131" s="148"/>
      <c r="AQ131" s="148"/>
      <c r="AR131" s="135"/>
    </row>
    <row r="132" spans="2:44" ht="15.95" hidden="1" customHeight="1" x14ac:dyDescent="0.25">
      <c r="B132" s="1063">
        <v>59</v>
      </c>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35"/>
    </row>
    <row r="133" spans="2:44" ht="15.95" hidden="1" customHeight="1" x14ac:dyDescent="0.25">
      <c r="B133" s="1063"/>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35"/>
    </row>
    <row r="134" spans="2:44" ht="15.95" hidden="1" customHeight="1" x14ac:dyDescent="0.25">
      <c r="B134" s="1063">
        <v>60</v>
      </c>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35"/>
    </row>
    <row r="135" spans="2:44" ht="15.95" hidden="1" customHeight="1" x14ac:dyDescent="0.25">
      <c r="B135" s="1063"/>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48"/>
      <c r="AR135" s="135"/>
    </row>
    <row r="136" spans="2:44" ht="15.95" hidden="1" customHeight="1" x14ac:dyDescent="0.25">
      <c r="B136" s="1063">
        <v>61</v>
      </c>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148"/>
      <c r="AG136" s="148"/>
      <c r="AH136" s="148"/>
      <c r="AI136" s="148"/>
      <c r="AJ136" s="148"/>
      <c r="AK136" s="148"/>
      <c r="AL136" s="148"/>
      <c r="AM136" s="148"/>
      <c r="AN136" s="148"/>
      <c r="AO136" s="148"/>
      <c r="AP136" s="148"/>
      <c r="AQ136" s="148"/>
      <c r="AR136" s="135"/>
    </row>
    <row r="137" spans="2:44" ht="15.95" hidden="1" customHeight="1" x14ac:dyDescent="0.25">
      <c r="B137" s="1063"/>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c r="AA137" s="148"/>
      <c r="AB137" s="148"/>
      <c r="AC137" s="148"/>
      <c r="AD137" s="148"/>
      <c r="AE137" s="148"/>
      <c r="AF137" s="148"/>
      <c r="AG137" s="148"/>
      <c r="AH137" s="148"/>
      <c r="AI137" s="148"/>
      <c r="AJ137" s="148"/>
      <c r="AK137" s="148"/>
      <c r="AL137" s="148"/>
      <c r="AM137" s="148"/>
      <c r="AN137" s="148"/>
      <c r="AO137" s="148"/>
      <c r="AP137" s="148"/>
      <c r="AQ137" s="148"/>
      <c r="AR137" s="135"/>
    </row>
    <row r="138" spans="2:44" ht="15.95" hidden="1" customHeight="1" x14ac:dyDescent="0.25">
      <c r="B138" s="1063">
        <v>62</v>
      </c>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c r="AA138" s="148"/>
      <c r="AB138" s="148"/>
      <c r="AC138" s="148"/>
      <c r="AD138" s="148"/>
      <c r="AE138" s="148"/>
      <c r="AF138" s="148"/>
      <c r="AG138" s="148"/>
      <c r="AH138" s="148"/>
      <c r="AI138" s="148"/>
      <c r="AJ138" s="148"/>
      <c r="AK138" s="148"/>
      <c r="AL138" s="148"/>
      <c r="AM138" s="148"/>
      <c r="AN138" s="148"/>
      <c r="AO138" s="148"/>
      <c r="AP138" s="148"/>
      <c r="AQ138" s="148"/>
      <c r="AR138" s="135"/>
    </row>
    <row r="139" spans="2:44" ht="15.95" hidden="1" customHeight="1" x14ac:dyDescent="0.25">
      <c r="B139" s="1063"/>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c r="AA139" s="148"/>
      <c r="AB139" s="148"/>
      <c r="AC139" s="148"/>
      <c r="AD139" s="148"/>
      <c r="AE139" s="148"/>
      <c r="AF139" s="148"/>
      <c r="AG139" s="148"/>
      <c r="AH139" s="148"/>
      <c r="AI139" s="148"/>
      <c r="AJ139" s="148"/>
      <c r="AK139" s="148"/>
      <c r="AL139" s="148"/>
      <c r="AM139" s="148"/>
      <c r="AN139" s="148"/>
      <c r="AO139" s="148"/>
      <c r="AP139" s="148"/>
      <c r="AQ139" s="148"/>
      <c r="AR139" s="135"/>
    </row>
    <row r="140" spans="2:44" ht="15.95" hidden="1" customHeight="1" x14ac:dyDescent="0.25">
      <c r="B140" s="1063">
        <v>63</v>
      </c>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c r="AA140" s="148"/>
      <c r="AB140" s="148"/>
      <c r="AC140" s="148"/>
      <c r="AD140" s="148"/>
      <c r="AE140" s="148"/>
      <c r="AF140" s="148"/>
      <c r="AG140" s="148"/>
      <c r="AH140" s="148"/>
      <c r="AI140" s="148"/>
      <c r="AJ140" s="148"/>
      <c r="AK140" s="148"/>
      <c r="AL140" s="148"/>
      <c r="AM140" s="148"/>
      <c r="AN140" s="148"/>
      <c r="AO140" s="148"/>
      <c r="AP140" s="148"/>
      <c r="AQ140" s="148"/>
      <c r="AR140" s="135"/>
    </row>
    <row r="141" spans="2:44" ht="15.95" hidden="1" customHeight="1" x14ac:dyDescent="0.25">
      <c r="B141" s="1063"/>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c r="AA141" s="148"/>
      <c r="AB141" s="148"/>
      <c r="AC141" s="148"/>
      <c r="AD141" s="148"/>
      <c r="AE141" s="148"/>
      <c r="AF141" s="148"/>
      <c r="AG141" s="148"/>
      <c r="AH141" s="148"/>
      <c r="AI141" s="148"/>
      <c r="AJ141" s="148"/>
      <c r="AK141" s="148"/>
      <c r="AL141" s="148"/>
      <c r="AM141" s="148"/>
      <c r="AN141" s="148"/>
      <c r="AO141" s="148"/>
      <c r="AP141" s="148"/>
      <c r="AQ141" s="148"/>
      <c r="AR141" s="135"/>
    </row>
    <row r="142" spans="2:44" ht="15.95" hidden="1" customHeight="1" x14ac:dyDescent="0.25">
      <c r="B142" s="1063">
        <v>64</v>
      </c>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c r="AA142" s="148"/>
      <c r="AB142" s="148"/>
      <c r="AC142" s="148"/>
      <c r="AD142" s="148"/>
      <c r="AE142" s="148"/>
      <c r="AF142" s="148"/>
      <c r="AG142" s="148"/>
      <c r="AH142" s="148"/>
      <c r="AI142" s="148"/>
      <c r="AJ142" s="148"/>
      <c r="AK142" s="148"/>
      <c r="AL142" s="148"/>
      <c r="AM142" s="148"/>
      <c r="AN142" s="148"/>
      <c r="AO142" s="148"/>
      <c r="AP142" s="148"/>
      <c r="AQ142" s="148"/>
      <c r="AR142" s="135"/>
    </row>
    <row r="143" spans="2:44" ht="15.95" hidden="1" customHeight="1" x14ac:dyDescent="0.25">
      <c r="B143" s="1063"/>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c r="AA143" s="148"/>
      <c r="AB143" s="148"/>
      <c r="AC143" s="148"/>
      <c r="AD143" s="148"/>
      <c r="AE143" s="148"/>
      <c r="AF143" s="148"/>
      <c r="AG143" s="148"/>
      <c r="AH143" s="148"/>
      <c r="AI143" s="148"/>
      <c r="AJ143" s="148"/>
      <c r="AK143" s="148"/>
      <c r="AL143" s="148"/>
      <c r="AM143" s="148"/>
      <c r="AN143" s="148"/>
      <c r="AO143" s="148"/>
      <c r="AP143" s="148"/>
      <c r="AQ143" s="148"/>
      <c r="AR143" s="135"/>
    </row>
    <row r="144" spans="2:44" ht="15.95" hidden="1" customHeight="1" x14ac:dyDescent="0.25">
      <c r="B144" s="1063">
        <v>65</v>
      </c>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35"/>
    </row>
    <row r="145" spans="2:44" ht="15.95" hidden="1" customHeight="1" x14ac:dyDescent="0.25">
      <c r="B145" s="1063"/>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c r="AA145" s="148"/>
      <c r="AB145" s="148"/>
      <c r="AC145" s="148"/>
      <c r="AD145" s="148"/>
      <c r="AE145" s="148"/>
      <c r="AF145" s="148"/>
      <c r="AG145" s="148"/>
      <c r="AH145" s="148"/>
      <c r="AI145" s="148"/>
      <c r="AJ145" s="148"/>
      <c r="AK145" s="148"/>
      <c r="AL145" s="148"/>
      <c r="AM145" s="148"/>
      <c r="AN145" s="148"/>
      <c r="AO145" s="148"/>
      <c r="AP145" s="148"/>
      <c r="AQ145" s="148"/>
      <c r="AR145" s="135"/>
    </row>
    <row r="146" spans="2:44" ht="15.95" hidden="1" customHeight="1" x14ac:dyDescent="0.25">
      <c r="B146" s="1063">
        <v>66</v>
      </c>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c r="AA146" s="148"/>
      <c r="AB146" s="148"/>
      <c r="AC146" s="148"/>
      <c r="AD146" s="148"/>
      <c r="AE146" s="148"/>
      <c r="AF146" s="148"/>
      <c r="AG146" s="148"/>
      <c r="AH146" s="148"/>
      <c r="AI146" s="148"/>
      <c r="AJ146" s="148"/>
      <c r="AK146" s="148"/>
      <c r="AL146" s="148"/>
      <c r="AM146" s="148"/>
      <c r="AN146" s="148"/>
      <c r="AO146" s="148"/>
      <c r="AP146" s="148"/>
      <c r="AQ146" s="148"/>
      <c r="AR146" s="135"/>
    </row>
    <row r="147" spans="2:44" ht="15.95" hidden="1" customHeight="1" x14ac:dyDescent="0.25">
      <c r="B147" s="1063"/>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c r="AA147" s="148"/>
      <c r="AB147" s="148"/>
      <c r="AC147" s="148"/>
      <c r="AD147" s="148"/>
      <c r="AE147" s="148"/>
      <c r="AF147" s="148"/>
      <c r="AG147" s="148"/>
      <c r="AH147" s="148"/>
      <c r="AI147" s="148"/>
      <c r="AJ147" s="148"/>
      <c r="AK147" s="148"/>
      <c r="AL147" s="148"/>
      <c r="AM147" s="148"/>
      <c r="AN147" s="148"/>
      <c r="AO147" s="148"/>
      <c r="AP147" s="148"/>
      <c r="AQ147" s="148"/>
      <c r="AR147" s="135"/>
    </row>
    <row r="148" spans="2:44" ht="15.95" hidden="1" customHeight="1" x14ac:dyDescent="0.25">
      <c r="B148" s="1063">
        <v>67</v>
      </c>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c r="AA148" s="148"/>
      <c r="AB148" s="148"/>
      <c r="AC148" s="148"/>
      <c r="AD148" s="148"/>
      <c r="AE148" s="148"/>
      <c r="AF148" s="148"/>
      <c r="AG148" s="148"/>
      <c r="AH148" s="148"/>
      <c r="AI148" s="148"/>
      <c r="AJ148" s="148"/>
      <c r="AK148" s="148"/>
      <c r="AL148" s="148"/>
      <c r="AM148" s="148"/>
      <c r="AN148" s="148"/>
      <c r="AO148" s="148"/>
      <c r="AP148" s="148"/>
      <c r="AQ148" s="148"/>
      <c r="AR148" s="135"/>
    </row>
    <row r="149" spans="2:44" ht="15.95" hidden="1" customHeight="1" x14ac:dyDescent="0.25">
      <c r="B149" s="1063"/>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35"/>
    </row>
    <row r="150" spans="2:44" ht="15.95" hidden="1" customHeight="1" x14ac:dyDescent="0.25">
      <c r="B150" s="1063">
        <v>68</v>
      </c>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35"/>
    </row>
    <row r="151" spans="2:44" ht="15.95" hidden="1" customHeight="1" x14ac:dyDescent="0.25">
      <c r="B151" s="1063"/>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35"/>
    </row>
    <row r="152" spans="2:44" ht="15.95" hidden="1" customHeight="1" x14ac:dyDescent="0.25">
      <c r="B152" s="1063">
        <v>69</v>
      </c>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35"/>
    </row>
    <row r="153" spans="2:44" ht="15.95" hidden="1" customHeight="1" x14ac:dyDescent="0.25">
      <c r="B153" s="1063"/>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c r="AA153" s="148"/>
      <c r="AB153" s="148"/>
      <c r="AC153" s="148"/>
      <c r="AD153" s="148"/>
      <c r="AE153" s="148"/>
      <c r="AF153" s="148"/>
      <c r="AG153" s="148"/>
      <c r="AH153" s="148"/>
      <c r="AI153" s="148"/>
      <c r="AJ153" s="148"/>
      <c r="AK153" s="148"/>
      <c r="AL153" s="148"/>
      <c r="AM153" s="148"/>
      <c r="AN153" s="148"/>
      <c r="AO153" s="148"/>
      <c r="AP153" s="148"/>
      <c r="AQ153" s="148"/>
      <c r="AR153" s="135"/>
    </row>
    <row r="154" spans="2:44" ht="15.95" hidden="1" customHeight="1" x14ac:dyDescent="0.25">
      <c r="B154" s="1063">
        <v>70</v>
      </c>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c r="AA154" s="148"/>
      <c r="AB154" s="148"/>
      <c r="AC154" s="148"/>
      <c r="AD154" s="148"/>
      <c r="AE154" s="148"/>
      <c r="AF154" s="148"/>
      <c r="AG154" s="148"/>
      <c r="AH154" s="148"/>
      <c r="AI154" s="148"/>
      <c r="AJ154" s="148"/>
      <c r="AK154" s="148"/>
      <c r="AL154" s="148"/>
      <c r="AM154" s="148"/>
      <c r="AN154" s="148"/>
      <c r="AO154" s="148"/>
      <c r="AP154" s="148"/>
      <c r="AQ154" s="148"/>
      <c r="AR154" s="135"/>
    </row>
    <row r="155" spans="2:44" ht="15.95" hidden="1" customHeight="1" x14ac:dyDescent="0.25">
      <c r="B155" s="1063"/>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c r="AA155" s="148"/>
      <c r="AB155" s="148"/>
      <c r="AC155" s="148"/>
      <c r="AD155" s="148"/>
      <c r="AE155" s="148"/>
      <c r="AF155" s="148"/>
      <c r="AG155" s="148"/>
      <c r="AH155" s="148"/>
      <c r="AI155" s="148"/>
      <c r="AJ155" s="148"/>
      <c r="AK155" s="148"/>
      <c r="AL155" s="148"/>
      <c r="AM155" s="148"/>
      <c r="AN155" s="148"/>
      <c r="AO155" s="148"/>
      <c r="AP155" s="148"/>
      <c r="AQ155" s="148"/>
      <c r="AR155" s="135"/>
    </row>
    <row r="156" spans="2:44" ht="15.95" hidden="1" customHeight="1" x14ac:dyDescent="0.25">
      <c r="B156" s="1063">
        <v>71</v>
      </c>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35"/>
    </row>
    <row r="157" spans="2:44" ht="15.95" hidden="1" customHeight="1" x14ac:dyDescent="0.25">
      <c r="B157" s="1063"/>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c r="AA157" s="148"/>
      <c r="AB157" s="148"/>
      <c r="AC157" s="148"/>
      <c r="AD157" s="148"/>
      <c r="AE157" s="148"/>
      <c r="AF157" s="148"/>
      <c r="AG157" s="148"/>
      <c r="AH157" s="148"/>
      <c r="AI157" s="148"/>
      <c r="AJ157" s="148"/>
      <c r="AK157" s="148"/>
      <c r="AL157" s="148"/>
      <c r="AM157" s="148"/>
      <c r="AN157" s="148"/>
      <c r="AO157" s="148"/>
      <c r="AP157" s="148"/>
      <c r="AQ157" s="148"/>
      <c r="AR157" s="135"/>
    </row>
    <row r="158" spans="2:44" ht="15.95" hidden="1" customHeight="1" x14ac:dyDescent="0.25">
      <c r="B158" s="1063">
        <v>72</v>
      </c>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c r="AA158" s="148"/>
      <c r="AB158" s="148"/>
      <c r="AC158" s="148"/>
      <c r="AD158" s="148"/>
      <c r="AE158" s="148"/>
      <c r="AF158" s="148"/>
      <c r="AG158" s="148"/>
      <c r="AH158" s="148"/>
      <c r="AI158" s="148"/>
      <c r="AJ158" s="148"/>
      <c r="AK158" s="148"/>
      <c r="AL158" s="148"/>
      <c r="AM158" s="148"/>
      <c r="AN158" s="148"/>
      <c r="AO158" s="148"/>
      <c r="AP158" s="148"/>
      <c r="AQ158" s="148"/>
      <c r="AR158" s="135"/>
    </row>
    <row r="159" spans="2:44" ht="15.95" hidden="1" customHeight="1" x14ac:dyDescent="0.25">
      <c r="B159" s="1063"/>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c r="AA159" s="148"/>
      <c r="AB159" s="148"/>
      <c r="AC159" s="148"/>
      <c r="AD159" s="148"/>
      <c r="AE159" s="148"/>
      <c r="AF159" s="148"/>
      <c r="AG159" s="148"/>
      <c r="AH159" s="148"/>
      <c r="AI159" s="148"/>
      <c r="AJ159" s="148"/>
      <c r="AK159" s="148"/>
      <c r="AL159" s="148"/>
      <c r="AM159" s="148"/>
      <c r="AN159" s="148"/>
      <c r="AO159" s="148"/>
      <c r="AP159" s="148"/>
      <c r="AQ159" s="148"/>
      <c r="AR159" s="135"/>
    </row>
    <row r="160" spans="2:44" ht="15.95" hidden="1" customHeight="1" x14ac:dyDescent="0.25">
      <c r="B160" s="1063">
        <v>73</v>
      </c>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48"/>
      <c r="AG160" s="148"/>
      <c r="AH160" s="148"/>
      <c r="AI160" s="148"/>
      <c r="AJ160" s="148"/>
      <c r="AK160" s="148"/>
      <c r="AL160" s="148"/>
      <c r="AM160" s="148"/>
      <c r="AN160" s="148"/>
      <c r="AO160" s="148"/>
      <c r="AP160" s="148"/>
      <c r="AQ160" s="148"/>
      <c r="AR160" s="135"/>
    </row>
    <row r="161" spans="2:44" ht="15.95" hidden="1" customHeight="1" x14ac:dyDescent="0.25">
      <c r="B161" s="1063"/>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c r="AA161" s="148"/>
      <c r="AB161" s="148"/>
      <c r="AC161" s="148"/>
      <c r="AD161" s="148"/>
      <c r="AE161" s="148"/>
      <c r="AF161" s="148"/>
      <c r="AG161" s="148"/>
      <c r="AH161" s="148"/>
      <c r="AI161" s="148"/>
      <c r="AJ161" s="148"/>
      <c r="AK161" s="148"/>
      <c r="AL161" s="148"/>
      <c r="AM161" s="148"/>
      <c r="AN161" s="148"/>
      <c r="AO161" s="148"/>
      <c r="AP161" s="148"/>
      <c r="AQ161" s="148"/>
      <c r="AR161" s="135"/>
    </row>
    <row r="162" spans="2:44" ht="15.95" hidden="1" customHeight="1" x14ac:dyDescent="0.25">
      <c r="B162" s="1063">
        <v>74</v>
      </c>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c r="AA162" s="148"/>
      <c r="AB162" s="148"/>
      <c r="AC162" s="148"/>
      <c r="AD162" s="148"/>
      <c r="AE162" s="148"/>
      <c r="AF162" s="148"/>
      <c r="AG162" s="148"/>
      <c r="AH162" s="148"/>
      <c r="AI162" s="148"/>
      <c r="AJ162" s="148"/>
      <c r="AK162" s="148"/>
      <c r="AL162" s="148"/>
      <c r="AM162" s="148"/>
      <c r="AN162" s="148"/>
      <c r="AO162" s="148"/>
      <c r="AP162" s="148"/>
      <c r="AQ162" s="148"/>
      <c r="AR162" s="135"/>
    </row>
    <row r="163" spans="2:44" ht="15.95" hidden="1" customHeight="1" x14ac:dyDescent="0.25">
      <c r="B163" s="1063"/>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c r="AA163" s="148"/>
      <c r="AB163" s="148"/>
      <c r="AC163" s="148"/>
      <c r="AD163" s="148"/>
      <c r="AE163" s="148"/>
      <c r="AF163" s="148"/>
      <c r="AG163" s="148"/>
      <c r="AH163" s="148"/>
      <c r="AI163" s="148"/>
      <c r="AJ163" s="148"/>
      <c r="AK163" s="148"/>
      <c r="AL163" s="148"/>
      <c r="AM163" s="148"/>
      <c r="AN163" s="148"/>
      <c r="AO163" s="148"/>
      <c r="AP163" s="148"/>
      <c r="AQ163" s="148"/>
      <c r="AR163" s="135"/>
    </row>
    <row r="164" spans="2:44" ht="15.95" hidden="1" customHeight="1" x14ac:dyDescent="0.25">
      <c r="B164" s="1063">
        <v>75</v>
      </c>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c r="AA164" s="148"/>
      <c r="AB164" s="148"/>
      <c r="AC164" s="148"/>
      <c r="AD164" s="148"/>
      <c r="AE164" s="148"/>
      <c r="AF164" s="148"/>
      <c r="AG164" s="148"/>
      <c r="AH164" s="148"/>
      <c r="AI164" s="148"/>
      <c r="AJ164" s="148"/>
      <c r="AK164" s="148"/>
      <c r="AL164" s="148"/>
      <c r="AM164" s="148"/>
      <c r="AN164" s="148"/>
      <c r="AO164" s="148"/>
      <c r="AP164" s="148"/>
      <c r="AQ164" s="148"/>
      <c r="AR164" s="135"/>
    </row>
    <row r="165" spans="2:44" ht="15.95" hidden="1" customHeight="1" x14ac:dyDescent="0.25">
      <c r="B165" s="1063"/>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35"/>
    </row>
    <row r="166" spans="2:44" ht="15.95" hidden="1" customHeight="1" x14ac:dyDescent="0.25">
      <c r="B166" s="1063">
        <v>76</v>
      </c>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c r="AA166" s="148"/>
      <c r="AB166" s="148"/>
      <c r="AC166" s="148"/>
      <c r="AD166" s="148"/>
      <c r="AE166" s="148"/>
      <c r="AF166" s="148"/>
      <c r="AG166" s="148"/>
      <c r="AH166" s="148"/>
      <c r="AI166" s="148"/>
      <c r="AJ166" s="148"/>
      <c r="AK166" s="148"/>
      <c r="AL166" s="148"/>
      <c r="AM166" s="148"/>
      <c r="AN166" s="148"/>
      <c r="AO166" s="148"/>
      <c r="AP166" s="148"/>
      <c r="AQ166" s="148"/>
      <c r="AR166" s="135"/>
    </row>
    <row r="167" spans="2:44" ht="15.95" hidden="1" customHeight="1" x14ac:dyDescent="0.25">
      <c r="B167" s="1063"/>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c r="AA167" s="148"/>
      <c r="AB167" s="148"/>
      <c r="AC167" s="148"/>
      <c r="AD167" s="148"/>
      <c r="AE167" s="148"/>
      <c r="AF167" s="148"/>
      <c r="AG167" s="148"/>
      <c r="AH167" s="148"/>
      <c r="AI167" s="148"/>
      <c r="AJ167" s="148"/>
      <c r="AK167" s="148"/>
      <c r="AL167" s="148"/>
      <c r="AM167" s="148"/>
      <c r="AN167" s="148"/>
      <c r="AO167" s="148"/>
      <c r="AP167" s="148"/>
      <c r="AQ167" s="148"/>
      <c r="AR167" s="135"/>
    </row>
    <row r="168" spans="2:44" ht="15.95" hidden="1" customHeight="1" x14ac:dyDescent="0.25">
      <c r="B168" s="1063">
        <v>77</v>
      </c>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c r="AA168" s="148"/>
      <c r="AB168" s="148"/>
      <c r="AC168" s="148"/>
      <c r="AD168" s="148"/>
      <c r="AE168" s="148"/>
      <c r="AF168" s="148"/>
      <c r="AG168" s="148"/>
      <c r="AH168" s="148"/>
      <c r="AI168" s="148"/>
      <c r="AJ168" s="148"/>
      <c r="AK168" s="148"/>
      <c r="AL168" s="148"/>
      <c r="AM168" s="148"/>
      <c r="AN168" s="148"/>
      <c r="AO168" s="148"/>
      <c r="AP168" s="148"/>
      <c r="AQ168" s="148"/>
      <c r="AR168" s="135"/>
    </row>
    <row r="169" spans="2:44" ht="15.95" hidden="1" customHeight="1" x14ac:dyDescent="0.25">
      <c r="B169" s="1063"/>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c r="AA169" s="148"/>
      <c r="AB169" s="148"/>
      <c r="AC169" s="148"/>
      <c r="AD169" s="148"/>
      <c r="AE169" s="148"/>
      <c r="AF169" s="148"/>
      <c r="AG169" s="148"/>
      <c r="AH169" s="148"/>
      <c r="AI169" s="148"/>
      <c r="AJ169" s="148"/>
      <c r="AK169" s="148"/>
      <c r="AL169" s="148"/>
      <c r="AM169" s="148"/>
      <c r="AN169" s="148"/>
      <c r="AO169" s="148"/>
      <c r="AP169" s="148"/>
      <c r="AQ169" s="148"/>
      <c r="AR169" s="135"/>
    </row>
    <row r="170" spans="2:44" ht="15.95" hidden="1" customHeight="1" x14ac:dyDescent="0.25">
      <c r="B170" s="1063">
        <v>78</v>
      </c>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c r="AA170" s="148"/>
      <c r="AB170" s="148"/>
      <c r="AC170" s="148"/>
      <c r="AD170" s="148"/>
      <c r="AE170" s="148"/>
      <c r="AF170" s="148"/>
      <c r="AG170" s="148"/>
      <c r="AH170" s="148"/>
      <c r="AI170" s="148"/>
      <c r="AJ170" s="148"/>
      <c r="AK170" s="148"/>
      <c r="AL170" s="148"/>
      <c r="AM170" s="148"/>
      <c r="AN170" s="148"/>
      <c r="AO170" s="148"/>
      <c r="AP170" s="148"/>
      <c r="AQ170" s="148"/>
      <c r="AR170" s="135"/>
    </row>
    <row r="171" spans="2:44" ht="15.95" hidden="1" customHeight="1" x14ac:dyDescent="0.25">
      <c r="B171" s="1063"/>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c r="AA171" s="148"/>
      <c r="AB171" s="148"/>
      <c r="AC171" s="148"/>
      <c r="AD171" s="148"/>
      <c r="AE171" s="148"/>
      <c r="AF171" s="148"/>
      <c r="AG171" s="148"/>
      <c r="AH171" s="148"/>
      <c r="AI171" s="148"/>
      <c r="AJ171" s="148"/>
      <c r="AK171" s="148"/>
      <c r="AL171" s="148"/>
      <c r="AM171" s="148"/>
      <c r="AN171" s="148"/>
      <c r="AO171" s="148"/>
      <c r="AP171" s="148"/>
      <c r="AQ171" s="148"/>
      <c r="AR171" s="135"/>
    </row>
    <row r="172" spans="2:44" ht="15.95" hidden="1" customHeight="1" x14ac:dyDescent="0.25">
      <c r="B172" s="1063">
        <v>79</v>
      </c>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c r="AA172" s="148"/>
      <c r="AB172" s="148"/>
      <c r="AC172" s="148"/>
      <c r="AD172" s="148"/>
      <c r="AE172" s="148"/>
      <c r="AF172" s="148"/>
      <c r="AG172" s="148"/>
      <c r="AH172" s="148"/>
      <c r="AI172" s="148"/>
      <c r="AJ172" s="148"/>
      <c r="AK172" s="148"/>
      <c r="AL172" s="148"/>
      <c r="AM172" s="148"/>
      <c r="AN172" s="148"/>
      <c r="AO172" s="148"/>
      <c r="AP172" s="148"/>
      <c r="AQ172" s="148"/>
      <c r="AR172" s="135"/>
    </row>
    <row r="173" spans="2:44" ht="15.95" hidden="1" customHeight="1" x14ac:dyDescent="0.25">
      <c r="B173" s="1063"/>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c r="AA173" s="148"/>
      <c r="AB173" s="148"/>
      <c r="AC173" s="148"/>
      <c r="AD173" s="148"/>
      <c r="AE173" s="148"/>
      <c r="AF173" s="148"/>
      <c r="AG173" s="148"/>
      <c r="AH173" s="148"/>
      <c r="AI173" s="148"/>
      <c r="AJ173" s="148"/>
      <c r="AK173" s="148"/>
      <c r="AL173" s="148"/>
      <c r="AM173" s="148"/>
      <c r="AN173" s="148"/>
      <c r="AO173" s="148"/>
      <c r="AP173" s="148"/>
      <c r="AQ173" s="148"/>
      <c r="AR173" s="135"/>
    </row>
    <row r="174" spans="2:44" ht="15.95" hidden="1" customHeight="1" x14ac:dyDescent="0.25">
      <c r="B174" s="1063">
        <v>80</v>
      </c>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c r="AA174" s="148"/>
      <c r="AB174" s="148"/>
      <c r="AC174" s="148"/>
      <c r="AD174" s="148"/>
      <c r="AE174" s="148"/>
      <c r="AF174" s="148"/>
      <c r="AG174" s="148"/>
      <c r="AH174" s="148"/>
      <c r="AI174" s="148"/>
      <c r="AJ174" s="148"/>
      <c r="AK174" s="148"/>
      <c r="AL174" s="148"/>
      <c r="AM174" s="148"/>
      <c r="AN174" s="148"/>
      <c r="AO174" s="148"/>
      <c r="AP174" s="148"/>
      <c r="AQ174" s="148"/>
      <c r="AR174" s="135"/>
    </row>
    <row r="175" spans="2:44" ht="15.95" hidden="1" customHeight="1" x14ac:dyDescent="0.25">
      <c r="B175" s="1063"/>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c r="AA175" s="148"/>
      <c r="AB175" s="148"/>
      <c r="AC175" s="148"/>
      <c r="AD175" s="148"/>
      <c r="AE175" s="148"/>
      <c r="AF175" s="148"/>
      <c r="AG175" s="148"/>
      <c r="AH175" s="148"/>
      <c r="AI175" s="148"/>
      <c r="AJ175" s="148"/>
      <c r="AK175" s="148"/>
      <c r="AL175" s="148"/>
      <c r="AM175" s="148"/>
      <c r="AN175" s="148"/>
      <c r="AO175" s="148"/>
      <c r="AP175" s="148"/>
      <c r="AQ175" s="148"/>
      <c r="AR175" s="135"/>
    </row>
    <row r="176" spans="2:44" ht="15.95" hidden="1" customHeight="1" x14ac:dyDescent="0.25">
      <c r="B176" s="1063">
        <v>81</v>
      </c>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c r="AA176" s="148"/>
      <c r="AB176" s="148"/>
      <c r="AC176" s="148"/>
      <c r="AD176" s="148"/>
      <c r="AE176" s="148"/>
      <c r="AF176" s="148"/>
      <c r="AG176" s="148"/>
      <c r="AH176" s="148"/>
      <c r="AI176" s="148"/>
      <c r="AJ176" s="148"/>
      <c r="AK176" s="148"/>
      <c r="AL176" s="148"/>
      <c r="AM176" s="148"/>
      <c r="AN176" s="148"/>
      <c r="AO176" s="148"/>
      <c r="AP176" s="148"/>
      <c r="AQ176" s="148"/>
      <c r="AR176" s="135"/>
    </row>
    <row r="177" spans="2:44" ht="15.95" hidden="1" customHeight="1" x14ac:dyDescent="0.25">
      <c r="B177" s="1063"/>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c r="AA177" s="148"/>
      <c r="AB177" s="148"/>
      <c r="AC177" s="148"/>
      <c r="AD177" s="148"/>
      <c r="AE177" s="148"/>
      <c r="AF177" s="148"/>
      <c r="AG177" s="148"/>
      <c r="AH177" s="148"/>
      <c r="AI177" s="148"/>
      <c r="AJ177" s="148"/>
      <c r="AK177" s="148"/>
      <c r="AL177" s="148"/>
      <c r="AM177" s="148"/>
      <c r="AN177" s="148"/>
      <c r="AO177" s="148"/>
      <c r="AP177" s="148"/>
      <c r="AQ177" s="148"/>
      <c r="AR177" s="135"/>
    </row>
    <row r="178" spans="2:44" ht="15.95" hidden="1" customHeight="1" x14ac:dyDescent="0.25">
      <c r="B178" s="1063">
        <v>82</v>
      </c>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c r="AA178" s="148"/>
      <c r="AB178" s="148"/>
      <c r="AC178" s="148"/>
      <c r="AD178" s="148"/>
      <c r="AE178" s="148"/>
      <c r="AF178" s="148"/>
      <c r="AG178" s="148"/>
      <c r="AH178" s="148"/>
      <c r="AI178" s="148"/>
      <c r="AJ178" s="148"/>
      <c r="AK178" s="148"/>
      <c r="AL178" s="148"/>
      <c r="AM178" s="148"/>
      <c r="AN178" s="148"/>
      <c r="AO178" s="148"/>
      <c r="AP178" s="148"/>
      <c r="AQ178" s="148"/>
      <c r="AR178" s="135"/>
    </row>
    <row r="179" spans="2:44" ht="15.95" hidden="1" customHeight="1" x14ac:dyDescent="0.25">
      <c r="B179" s="1063"/>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c r="AA179" s="148"/>
      <c r="AB179" s="148"/>
      <c r="AC179" s="148"/>
      <c r="AD179" s="148"/>
      <c r="AE179" s="148"/>
      <c r="AF179" s="148"/>
      <c r="AG179" s="148"/>
      <c r="AH179" s="148"/>
      <c r="AI179" s="148"/>
      <c r="AJ179" s="148"/>
      <c r="AK179" s="148"/>
      <c r="AL179" s="148"/>
      <c r="AM179" s="148"/>
      <c r="AN179" s="148"/>
      <c r="AO179" s="148"/>
      <c r="AP179" s="148"/>
      <c r="AQ179" s="148"/>
      <c r="AR179" s="135"/>
    </row>
    <row r="180" spans="2:44" ht="15.95" hidden="1" customHeight="1" x14ac:dyDescent="0.25">
      <c r="B180" s="1063">
        <v>83</v>
      </c>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35"/>
    </row>
    <row r="181" spans="2:44" ht="15.95" hidden="1" customHeight="1" x14ac:dyDescent="0.25">
      <c r="B181" s="1063"/>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35"/>
    </row>
    <row r="182" spans="2:44" ht="15.95" hidden="1" customHeight="1" x14ac:dyDescent="0.25">
      <c r="B182" s="1063">
        <v>84</v>
      </c>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35"/>
    </row>
    <row r="183" spans="2:44" ht="15.95" hidden="1" customHeight="1" x14ac:dyDescent="0.25">
      <c r="B183" s="1063"/>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35"/>
    </row>
    <row r="184" spans="2:44" ht="15.95" hidden="1" customHeight="1" x14ac:dyDescent="0.25">
      <c r="B184" s="1063">
        <v>85</v>
      </c>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35"/>
    </row>
    <row r="185" spans="2:44" ht="15.95" hidden="1" customHeight="1" x14ac:dyDescent="0.25">
      <c r="B185" s="1063"/>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35"/>
    </row>
    <row r="186" spans="2:44" ht="15.95" hidden="1" customHeight="1" x14ac:dyDescent="0.25">
      <c r="B186" s="1063">
        <v>86</v>
      </c>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c r="AA186" s="148"/>
      <c r="AB186" s="148"/>
      <c r="AC186" s="148"/>
      <c r="AD186" s="148"/>
      <c r="AE186" s="148"/>
      <c r="AF186" s="148"/>
      <c r="AG186" s="148"/>
      <c r="AH186" s="148"/>
      <c r="AI186" s="148"/>
      <c r="AJ186" s="148"/>
      <c r="AK186" s="148"/>
      <c r="AL186" s="148"/>
      <c r="AM186" s="148"/>
      <c r="AN186" s="148"/>
      <c r="AO186" s="148"/>
      <c r="AP186" s="148"/>
      <c r="AQ186" s="148"/>
      <c r="AR186" s="135"/>
    </row>
    <row r="187" spans="2:44" ht="15.95" hidden="1" customHeight="1" x14ac:dyDescent="0.25">
      <c r="B187" s="1063"/>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c r="AA187" s="148"/>
      <c r="AB187" s="148"/>
      <c r="AC187" s="148"/>
      <c r="AD187" s="148"/>
      <c r="AE187" s="148"/>
      <c r="AF187" s="148"/>
      <c r="AG187" s="148"/>
      <c r="AH187" s="148"/>
      <c r="AI187" s="148"/>
      <c r="AJ187" s="148"/>
      <c r="AK187" s="148"/>
      <c r="AL187" s="148"/>
      <c r="AM187" s="148"/>
      <c r="AN187" s="148"/>
      <c r="AO187" s="148"/>
      <c r="AP187" s="148"/>
      <c r="AQ187" s="148"/>
      <c r="AR187" s="135"/>
    </row>
    <row r="188" spans="2:44" ht="15.95" hidden="1" customHeight="1" x14ac:dyDescent="0.25">
      <c r="B188" s="1063">
        <v>87</v>
      </c>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c r="AA188" s="148"/>
      <c r="AB188" s="148"/>
      <c r="AC188" s="148"/>
      <c r="AD188" s="148"/>
      <c r="AE188" s="148"/>
      <c r="AF188" s="148"/>
      <c r="AG188" s="148"/>
      <c r="AH188" s="148"/>
      <c r="AI188" s="148"/>
      <c r="AJ188" s="148"/>
      <c r="AK188" s="148"/>
      <c r="AL188" s="148"/>
      <c r="AM188" s="148"/>
      <c r="AN188" s="148"/>
      <c r="AO188" s="148"/>
      <c r="AP188" s="148"/>
      <c r="AQ188" s="148"/>
      <c r="AR188" s="135"/>
    </row>
    <row r="189" spans="2:44" ht="15.95" hidden="1" customHeight="1" x14ac:dyDescent="0.25">
      <c r="B189" s="1063"/>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c r="AA189" s="148"/>
      <c r="AB189" s="148"/>
      <c r="AC189" s="148"/>
      <c r="AD189" s="148"/>
      <c r="AE189" s="148"/>
      <c r="AF189" s="148"/>
      <c r="AG189" s="148"/>
      <c r="AH189" s="148"/>
      <c r="AI189" s="148"/>
      <c r="AJ189" s="148"/>
      <c r="AK189" s="148"/>
      <c r="AL189" s="148"/>
      <c r="AM189" s="148"/>
      <c r="AN189" s="148"/>
      <c r="AO189" s="148"/>
      <c r="AP189" s="148"/>
      <c r="AQ189" s="148"/>
      <c r="AR189" s="135"/>
    </row>
    <row r="190" spans="2:44" ht="15.95" hidden="1" customHeight="1" x14ac:dyDescent="0.25">
      <c r="B190" s="1063">
        <v>88</v>
      </c>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c r="AA190" s="148"/>
      <c r="AB190" s="148"/>
      <c r="AC190" s="148"/>
      <c r="AD190" s="148"/>
      <c r="AE190" s="148"/>
      <c r="AF190" s="148"/>
      <c r="AG190" s="148"/>
      <c r="AH190" s="148"/>
      <c r="AI190" s="148"/>
      <c r="AJ190" s="148"/>
      <c r="AK190" s="148"/>
      <c r="AL190" s="148"/>
      <c r="AM190" s="148"/>
      <c r="AN190" s="148"/>
      <c r="AO190" s="148"/>
      <c r="AP190" s="148"/>
      <c r="AQ190" s="148"/>
      <c r="AR190" s="135"/>
    </row>
    <row r="191" spans="2:44" ht="15.95" hidden="1" customHeight="1" x14ac:dyDescent="0.25">
      <c r="B191" s="1063"/>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c r="AA191" s="148"/>
      <c r="AB191" s="148"/>
      <c r="AC191" s="148"/>
      <c r="AD191" s="148"/>
      <c r="AE191" s="148"/>
      <c r="AF191" s="148"/>
      <c r="AG191" s="148"/>
      <c r="AH191" s="148"/>
      <c r="AI191" s="148"/>
      <c r="AJ191" s="148"/>
      <c r="AK191" s="148"/>
      <c r="AL191" s="148"/>
      <c r="AM191" s="148"/>
      <c r="AN191" s="148"/>
      <c r="AO191" s="148"/>
      <c r="AP191" s="148"/>
      <c r="AQ191" s="148"/>
      <c r="AR191" s="135"/>
    </row>
    <row r="192" spans="2:44" ht="15.95" hidden="1" customHeight="1" x14ac:dyDescent="0.25">
      <c r="B192" s="1063">
        <v>89</v>
      </c>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c r="AA192" s="148"/>
      <c r="AB192" s="148"/>
      <c r="AC192" s="148"/>
      <c r="AD192" s="148"/>
      <c r="AE192" s="148"/>
      <c r="AF192" s="148"/>
      <c r="AG192" s="148"/>
      <c r="AH192" s="148"/>
      <c r="AI192" s="148"/>
      <c r="AJ192" s="148"/>
      <c r="AK192" s="148"/>
      <c r="AL192" s="148"/>
      <c r="AM192" s="148"/>
      <c r="AN192" s="148"/>
      <c r="AO192" s="148"/>
      <c r="AP192" s="148"/>
      <c r="AQ192" s="148"/>
      <c r="AR192" s="135"/>
    </row>
    <row r="193" spans="2:44" ht="15.95" hidden="1" customHeight="1" x14ac:dyDescent="0.25">
      <c r="B193" s="1063"/>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c r="AA193" s="148"/>
      <c r="AB193" s="148"/>
      <c r="AC193" s="148"/>
      <c r="AD193" s="148"/>
      <c r="AE193" s="148"/>
      <c r="AF193" s="148"/>
      <c r="AG193" s="148"/>
      <c r="AH193" s="148"/>
      <c r="AI193" s="148"/>
      <c r="AJ193" s="148"/>
      <c r="AK193" s="148"/>
      <c r="AL193" s="148"/>
      <c r="AM193" s="148"/>
      <c r="AN193" s="148"/>
      <c r="AO193" s="148"/>
      <c r="AP193" s="148"/>
      <c r="AQ193" s="148"/>
      <c r="AR193" s="135"/>
    </row>
    <row r="194" spans="2:44" ht="15.95" hidden="1" customHeight="1" x14ac:dyDescent="0.25">
      <c r="B194" s="1062">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4" ht="15.95" hidden="1" customHeight="1" x14ac:dyDescent="0.25">
      <c r="B195" s="1062"/>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4" ht="15.95" hidden="1" customHeight="1" x14ac:dyDescent="0.25">
      <c r="B196" s="1062">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4" ht="15.95" hidden="1" customHeight="1" x14ac:dyDescent="0.25">
      <c r="B197" s="1062"/>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4" ht="15.95" hidden="1" customHeight="1" x14ac:dyDescent="0.25">
      <c r="B198" s="1062">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4" ht="15.95" hidden="1" customHeight="1" x14ac:dyDescent="0.25">
      <c r="B199" s="1062"/>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4" ht="15.95" customHeight="1" x14ac:dyDescent="0.25">
      <c r="B200" s="136" t="str">
        <f>FOOT1</f>
        <v>Ameren Missouri BizSavers program</v>
      </c>
      <c r="C200" s="136"/>
      <c r="D200" s="136"/>
      <c r="E200" s="136"/>
      <c r="F200" s="136"/>
      <c r="G200" s="136"/>
      <c r="H200" s="136"/>
      <c r="I200" s="136"/>
      <c r="J200" s="136"/>
      <c r="K200" s="136"/>
      <c r="L200" s="136"/>
      <c r="M200" s="729" t="str">
        <f>FOOTDISCLAIM</f>
        <v/>
      </c>
      <c r="N200" s="729"/>
      <c r="O200" s="729"/>
      <c r="P200" s="729"/>
      <c r="Q200" s="729"/>
      <c r="R200" s="729"/>
      <c r="S200" s="729"/>
      <c r="T200" s="729"/>
      <c r="U200" s="729"/>
      <c r="V200" s="729"/>
      <c r="W200" s="729"/>
      <c r="X200" s="729"/>
      <c r="Y200" s="729"/>
      <c r="Z200" s="729"/>
      <c r="AA200" s="729"/>
      <c r="AB200" s="729"/>
      <c r="AC200" s="729"/>
      <c r="AD200" s="729"/>
      <c r="AE200" s="729"/>
      <c r="AF200" s="729"/>
      <c r="AG200" s="729"/>
      <c r="AH200" s="136"/>
      <c r="AI200" s="136"/>
      <c r="AJ200" s="136"/>
      <c r="AK200" s="136"/>
      <c r="AL200" s="136"/>
      <c r="AM200" s="136"/>
      <c r="AN200" s="136"/>
      <c r="AO200" s="136"/>
      <c r="AP200" s="136"/>
      <c r="AQ200" s="136"/>
      <c r="AR200" s="300" t="str">
        <f>FOOT4</f>
        <v/>
      </c>
    </row>
    <row r="201" spans="2:44" ht="15.95" customHeight="1" x14ac:dyDescent="0.25">
      <c r="B201" s="136" t="str">
        <f>FOOT2</f>
        <v>Toll-Free 866-941-7299</v>
      </c>
      <c r="C201" s="136"/>
      <c r="D201" s="136"/>
      <c r="E201" s="136"/>
      <c r="F201" s="136"/>
      <c r="G201" s="136"/>
      <c r="H201" s="136"/>
      <c r="I201" s="136"/>
      <c r="J201" s="136"/>
      <c r="K201" s="136"/>
      <c r="L201" s="136"/>
      <c r="M201" s="729"/>
      <c r="N201" s="729"/>
      <c r="O201" s="729"/>
      <c r="P201" s="729"/>
      <c r="Q201" s="729"/>
      <c r="R201" s="729"/>
      <c r="S201" s="729"/>
      <c r="T201" s="729"/>
      <c r="U201" s="729"/>
      <c r="V201" s="729"/>
      <c r="W201" s="729"/>
      <c r="X201" s="729"/>
      <c r="Y201" s="729"/>
      <c r="Z201" s="729"/>
      <c r="AA201" s="729"/>
      <c r="AB201" s="729"/>
      <c r="AC201" s="729"/>
      <c r="AD201" s="729"/>
      <c r="AE201" s="729"/>
      <c r="AF201" s="729"/>
      <c r="AG201" s="729"/>
      <c r="AH201" s="136"/>
      <c r="AI201" s="136"/>
      <c r="AJ201" s="136"/>
      <c r="AK201" s="136"/>
      <c r="AL201" s="136"/>
      <c r="AM201" s="136"/>
      <c r="AN201" s="136"/>
      <c r="AO201" s="136"/>
      <c r="AP201" s="136"/>
      <c r="AQ201" s="136"/>
      <c r="AR201" s="300" t="str">
        <f>FOOT5</f>
        <v/>
      </c>
    </row>
    <row r="202" spans="2:44" ht="15.95" customHeight="1" x14ac:dyDescent="0.25">
      <c r="B202" s="138" t="str">
        <f>FOOT3</f>
        <v>BizSavers@ameren.com</v>
      </c>
      <c r="C202" s="136"/>
      <c r="D202" s="136"/>
      <c r="E202" s="136"/>
      <c r="F202" s="136"/>
      <c r="G202" s="136"/>
      <c r="H202" s="136"/>
      <c r="I202" s="136"/>
      <c r="J202" s="136"/>
      <c r="K202" s="136"/>
      <c r="L202" s="136"/>
      <c r="M202" s="139"/>
      <c r="N202" s="136"/>
      <c r="O202" s="136"/>
      <c r="P202" s="139"/>
      <c r="Q202" s="139"/>
      <c r="R202" s="139"/>
      <c r="S202" s="139"/>
      <c r="T202" s="139"/>
      <c r="U202" s="139"/>
      <c r="V202" s="139"/>
      <c r="W202" s="140" t="str">
        <f>VERSION</f>
        <v>New Construction v3.8.0</v>
      </c>
      <c r="X202" s="139"/>
      <c r="Y202" s="139"/>
      <c r="Z202" s="139"/>
      <c r="AA202" s="139"/>
      <c r="AB202" s="139"/>
      <c r="AC202" s="139"/>
      <c r="AD202" s="139"/>
      <c r="AE202" s="136"/>
      <c r="AF202" s="136"/>
      <c r="AG202" s="136"/>
      <c r="AH202" s="136"/>
      <c r="AI202" s="136"/>
      <c r="AJ202" s="136"/>
      <c r="AK202" s="136"/>
      <c r="AL202" s="136"/>
      <c r="AM202" s="136"/>
      <c r="AN202" s="136"/>
      <c r="AO202" s="136"/>
      <c r="AP202" s="136"/>
      <c r="AQ202" s="136"/>
      <c r="AR202" s="300" t="str">
        <f>FOOT6</f>
        <v>Product of TRC Companies</v>
      </c>
    </row>
  </sheetData>
  <sheetProtection algorithmName="SHA-512" hashValue="3VGgKoD6+BN9xeNi2eQPJrz4CkR50aR1p3LvPAgpoFYslBgD/pP6/rMkIV7X1db/h6jKXS4HnC525AYCjbGI9g==" saltValue="KP//Qt9UOQwVJLhuTCM5gw==" spinCount="100000" sheet="1" objects="1" scenarios="1" selectLockedCells="1"/>
  <mergeCells count="371">
    <mergeCell ref="B40:B41"/>
    <mergeCell ref="B36:B37"/>
    <mergeCell ref="B38:B39"/>
    <mergeCell ref="B102:B103"/>
    <mergeCell ref="B104:B105"/>
    <mergeCell ref="B98:B99"/>
    <mergeCell ref="B100:B101"/>
    <mergeCell ref="B64:B65"/>
    <mergeCell ref="B42:B43"/>
    <mergeCell ref="B44:B45"/>
    <mergeCell ref="B46:B47"/>
    <mergeCell ref="B48:B49"/>
    <mergeCell ref="B50:B51"/>
    <mergeCell ref="B52:B53"/>
    <mergeCell ref="B54:B55"/>
    <mergeCell ref="B56:B57"/>
    <mergeCell ref="B58:B59"/>
    <mergeCell ref="B60:B61"/>
    <mergeCell ref="B62:B63"/>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90:B91"/>
    <mergeCell ref="B106:B107"/>
    <mergeCell ref="B92:B93"/>
    <mergeCell ref="B94:B95"/>
    <mergeCell ref="B96:B97"/>
    <mergeCell ref="B180:B181"/>
    <mergeCell ref="B182:B183"/>
    <mergeCell ref="AQ1:AR1"/>
    <mergeCell ref="AQ2:AR3"/>
    <mergeCell ref="R9:AC10"/>
    <mergeCell ref="B168:B169"/>
    <mergeCell ref="B170:B17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8:B149"/>
    <mergeCell ref="B150:B151"/>
    <mergeCell ref="B152:B153"/>
    <mergeCell ref="B154:B155"/>
    <mergeCell ref="B112:B113"/>
    <mergeCell ref="B160:B161"/>
    <mergeCell ref="B138:B139"/>
    <mergeCell ref="B140:B141"/>
    <mergeCell ref="B142:B143"/>
    <mergeCell ref="B144:B145"/>
    <mergeCell ref="B146:B147"/>
    <mergeCell ref="B156:B157"/>
    <mergeCell ref="B158:B159"/>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72:B173"/>
    <mergeCell ref="B174:B175"/>
    <mergeCell ref="B176:B177"/>
    <mergeCell ref="B178:B179"/>
    <mergeCell ref="AH1:AK1"/>
    <mergeCell ref="AL1:AP1"/>
    <mergeCell ref="AH2:AK3"/>
    <mergeCell ref="AL2:AP3"/>
    <mergeCell ref="R12:U13"/>
    <mergeCell ref="V12:Y13"/>
    <mergeCell ref="Z12:AC13"/>
    <mergeCell ref="R11:U11"/>
    <mergeCell ref="V11:Y11"/>
    <mergeCell ref="Z11:AC11"/>
    <mergeCell ref="AD12:AG12"/>
    <mergeCell ref="R14:S15"/>
    <mergeCell ref="T14:U15"/>
    <mergeCell ref="V14:Y15"/>
    <mergeCell ref="Z14:AB15"/>
    <mergeCell ref="AC14:AD15"/>
    <mergeCell ref="C14:E15"/>
    <mergeCell ref="F14:H15"/>
    <mergeCell ref="I14:L15"/>
    <mergeCell ref="M14:O15"/>
    <mergeCell ref="P14:Q15"/>
    <mergeCell ref="AE14:AF15"/>
    <mergeCell ref="AK14:AM15"/>
    <mergeCell ref="AN14:AQ15"/>
    <mergeCell ref="AU14:AU15"/>
    <mergeCell ref="AV14:AV15"/>
    <mergeCell ref="AZ16:AZ17"/>
    <mergeCell ref="AG16:AH17"/>
    <mergeCell ref="AI16:AJ17"/>
    <mergeCell ref="AK16:AM17"/>
    <mergeCell ref="AN16:AQ17"/>
    <mergeCell ref="AU16:AU17"/>
    <mergeCell ref="B16:B17"/>
    <mergeCell ref="C16:E17"/>
    <mergeCell ref="F16:H17"/>
    <mergeCell ref="I16:L17"/>
    <mergeCell ref="M16:O17"/>
    <mergeCell ref="P16:Q17"/>
    <mergeCell ref="R16:S17"/>
    <mergeCell ref="T16:U17"/>
    <mergeCell ref="V16:Y17"/>
    <mergeCell ref="BB14:BB15"/>
    <mergeCell ref="BC14:BC15"/>
    <mergeCell ref="AG15:AH15"/>
    <mergeCell ref="AI15:AJ15"/>
    <mergeCell ref="AK18:AM19"/>
    <mergeCell ref="AN18:AQ19"/>
    <mergeCell ref="AU18:AU19"/>
    <mergeCell ref="AV18:AV19"/>
    <mergeCell ref="BA16:BA17"/>
    <mergeCell ref="BB16:BB17"/>
    <mergeCell ref="BC16:BC17"/>
    <mergeCell ref="BB18:BB19"/>
    <mergeCell ref="BC18:BC19"/>
    <mergeCell ref="AZ18:AZ19"/>
    <mergeCell ref="BA18:BA19"/>
    <mergeCell ref="AW14:AW15"/>
    <mergeCell ref="AX14:AX15"/>
    <mergeCell ref="AY14:AY15"/>
    <mergeCell ref="AZ14:AZ15"/>
    <mergeCell ref="BA14:BA15"/>
    <mergeCell ref="B18:B19"/>
    <mergeCell ref="C18:E19"/>
    <mergeCell ref="F18:H19"/>
    <mergeCell ref="I18:L19"/>
    <mergeCell ref="M18:O19"/>
    <mergeCell ref="P18:Q19"/>
    <mergeCell ref="R18:S19"/>
    <mergeCell ref="T18:U19"/>
    <mergeCell ref="V18:Y19"/>
    <mergeCell ref="Z18:AB19"/>
    <mergeCell ref="AC18:AD19"/>
    <mergeCell ref="AE18:AF19"/>
    <mergeCell ref="AG18:AH19"/>
    <mergeCell ref="AV16:AV17"/>
    <mergeCell ref="AW16:AW17"/>
    <mergeCell ref="AX16:AX17"/>
    <mergeCell ref="AY16:AY17"/>
    <mergeCell ref="AV20:AV21"/>
    <mergeCell ref="AW20:AW21"/>
    <mergeCell ref="Z20:AB21"/>
    <mergeCell ref="AC20:AD21"/>
    <mergeCell ref="AE20:AF21"/>
    <mergeCell ref="AG20:AH21"/>
    <mergeCell ref="AI20:AJ21"/>
    <mergeCell ref="AW18:AW19"/>
    <mergeCell ref="AX18:AX19"/>
    <mergeCell ref="AY18:AY19"/>
    <mergeCell ref="AI18:AJ19"/>
    <mergeCell ref="Z16:AB17"/>
    <mergeCell ref="AC16:AD17"/>
    <mergeCell ref="AE16:AF17"/>
    <mergeCell ref="B20:B21"/>
    <mergeCell ref="C20:E21"/>
    <mergeCell ref="F20:H21"/>
    <mergeCell ref="I20:L21"/>
    <mergeCell ref="M20:O21"/>
    <mergeCell ref="P20:Q21"/>
    <mergeCell ref="R20:S21"/>
    <mergeCell ref="T20:U21"/>
    <mergeCell ref="V20:Y21"/>
    <mergeCell ref="BC20:BC21"/>
    <mergeCell ref="B22:B23"/>
    <mergeCell ref="C22:E23"/>
    <mergeCell ref="F22:H23"/>
    <mergeCell ref="I22:L23"/>
    <mergeCell ref="M22:O23"/>
    <mergeCell ref="P22:Q23"/>
    <mergeCell ref="R22:S23"/>
    <mergeCell ref="T22:U23"/>
    <mergeCell ref="V22:Y23"/>
    <mergeCell ref="Z22:AB23"/>
    <mergeCell ref="AC22:AD23"/>
    <mergeCell ref="AE22:AF23"/>
    <mergeCell ref="AG22:AH23"/>
    <mergeCell ref="AI22:AJ23"/>
    <mergeCell ref="AK22:AM23"/>
    <mergeCell ref="AX20:AX21"/>
    <mergeCell ref="AY20:AY21"/>
    <mergeCell ref="AZ20:AZ21"/>
    <mergeCell ref="BA20:BA21"/>
    <mergeCell ref="BB20:BB21"/>
    <mergeCell ref="AK20:AM21"/>
    <mergeCell ref="AN20:AQ21"/>
    <mergeCell ref="AU20:AU21"/>
    <mergeCell ref="AY22:AY23"/>
    <mergeCell ref="AZ22:AZ23"/>
    <mergeCell ref="BA22:BA23"/>
    <mergeCell ref="BB22:BB23"/>
    <mergeCell ref="BC22:BC23"/>
    <mergeCell ref="AN22:AQ23"/>
    <mergeCell ref="AU22:AU23"/>
    <mergeCell ref="AV22:AV23"/>
    <mergeCell ref="AW22:AW23"/>
    <mergeCell ref="AX22:AX23"/>
    <mergeCell ref="BC24:BC25"/>
    <mergeCell ref="AN24:AQ25"/>
    <mergeCell ref="AU24:AU25"/>
    <mergeCell ref="AV24:AV25"/>
    <mergeCell ref="AW24:AW25"/>
    <mergeCell ref="AX24:AX25"/>
    <mergeCell ref="AC24:AD25"/>
    <mergeCell ref="AE24:AF25"/>
    <mergeCell ref="AG24:AH25"/>
    <mergeCell ref="AI24:AJ25"/>
    <mergeCell ref="AK24:AM25"/>
    <mergeCell ref="B26:B27"/>
    <mergeCell ref="C26:E27"/>
    <mergeCell ref="F26:H27"/>
    <mergeCell ref="I26:L27"/>
    <mergeCell ref="M26:O27"/>
    <mergeCell ref="AY24:AY25"/>
    <mergeCell ref="AZ24:AZ25"/>
    <mergeCell ref="BA24:BA25"/>
    <mergeCell ref="BB24:BB25"/>
    <mergeCell ref="P24:Q25"/>
    <mergeCell ref="R24:S25"/>
    <mergeCell ref="T24:U25"/>
    <mergeCell ref="V24:Y25"/>
    <mergeCell ref="Z24:AB25"/>
    <mergeCell ref="B24:B25"/>
    <mergeCell ref="C24:E25"/>
    <mergeCell ref="F24:H25"/>
    <mergeCell ref="I24:L25"/>
    <mergeCell ref="M24:O25"/>
    <mergeCell ref="AC26:AD27"/>
    <mergeCell ref="AE26:AF27"/>
    <mergeCell ref="AG26:AH27"/>
    <mergeCell ref="AI26:AJ27"/>
    <mergeCell ref="AK26:AM27"/>
    <mergeCell ref="P26:Q27"/>
    <mergeCell ref="R26:S27"/>
    <mergeCell ref="T26:U27"/>
    <mergeCell ref="V26:Y27"/>
    <mergeCell ref="Z26:AB27"/>
    <mergeCell ref="AY26:AY27"/>
    <mergeCell ref="AZ26:AZ27"/>
    <mergeCell ref="BA26:BA27"/>
    <mergeCell ref="BB26:BB27"/>
    <mergeCell ref="BC26:BC27"/>
    <mergeCell ref="AN26:AQ27"/>
    <mergeCell ref="AU26:AU27"/>
    <mergeCell ref="AV26:AV27"/>
    <mergeCell ref="AW26:AW27"/>
    <mergeCell ref="AX26:AX27"/>
    <mergeCell ref="BC28:BC29"/>
    <mergeCell ref="AN28:AQ29"/>
    <mergeCell ref="AU28:AU29"/>
    <mergeCell ref="AV28:AV29"/>
    <mergeCell ref="AW28:AW29"/>
    <mergeCell ref="AX28:AX29"/>
    <mergeCell ref="AY28:AY29"/>
    <mergeCell ref="AZ28:AZ29"/>
    <mergeCell ref="BA28:BA29"/>
    <mergeCell ref="BB28:BB29"/>
    <mergeCell ref="AC28:AD29"/>
    <mergeCell ref="AE28:AF29"/>
    <mergeCell ref="AG28:AH29"/>
    <mergeCell ref="AI28:AJ29"/>
    <mergeCell ref="AK28:AM29"/>
    <mergeCell ref="B30:B31"/>
    <mergeCell ref="C30:E31"/>
    <mergeCell ref="F30:H31"/>
    <mergeCell ref="I30:L31"/>
    <mergeCell ref="M30:O31"/>
    <mergeCell ref="P28:Q29"/>
    <mergeCell ref="R28:S29"/>
    <mergeCell ref="T28:U29"/>
    <mergeCell ref="V28:Y29"/>
    <mergeCell ref="Z28:AB29"/>
    <mergeCell ref="B28:B29"/>
    <mergeCell ref="C28:E29"/>
    <mergeCell ref="F28:H29"/>
    <mergeCell ref="I28:L29"/>
    <mergeCell ref="M28:O29"/>
    <mergeCell ref="AC30:AD31"/>
    <mergeCell ref="AE30:AF31"/>
    <mergeCell ref="AG30:AH31"/>
    <mergeCell ref="AI30:AJ31"/>
    <mergeCell ref="AK30:AM31"/>
    <mergeCell ref="P30:Q31"/>
    <mergeCell ref="R30:S31"/>
    <mergeCell ref="T30:U31"/>
    <mergeCell ref="V30:Y31"/>
    <mergeCell ref="Z30:AB31"/>
    <mergeCell ref="AY30:AY31"/>
    <mergeCell ref="AZ30:AZ31"/>
    <mergeCell ref="BA30:BA31"/>
    <mergeCell ref="BB30:BB31"/>
    <mergeCell ref="BC30:BC31"/>
    <mergeCell ref="AN30:AQ31"/>
    <mergeCell ref="AU30:AU31"/>
    <mergeCell ref="AV30:AV31"/>
    <mergeCell ref="AW30:AW31"/>
    <mergeCell ref="AX30:AX31"/>
    <mergeCell ref="BC32:BC33"/>
    <mergeCell ref="AN32:AQ33"/>
    <mergeCell ref="AU32:AU33"/>
    <mergeCell ref="AV32:AV33"/>
    <mergeCell ref="AW32:AW33"/>
    <mergeCell ref="AX32:AX33"/>
    <mergeCell ref="AY32:AY33"/>
    <mergeCell ref="AZ32:AZ33"/>
    <mergeCell ref="BA32:BA33"/>
    <mergeCell ref="BB32:BB33"/>
    <mergeCell ref="AC32:AD33"/>
    <mergeCell ref="AE32:AF33"/>
    <mergeCell ref="AG32:AH33"/>
    <mergeCell ref="AI32:AJ33"/>
    <mergeCell ref="AK32:AM33"/>
    <mergeCell ref="B34:B35"/>
    <mergeCell ref="C34:E35"/>
    <mergeCell ref="F34:H35"/>
    <mergeCell ref="I34:L35"/>
    <mergeCell ref="M34:O35"/>
    <mergeCell ref="P32:Q33"/>
    <mergeCell ref="R32:S33"/>
    <mergeCell ref="T32:U33"/>
    <mergeCell ref="V32:Y33"/>
    <mergeCell ref="Z32:AB33"/>
    <mergeCell ref="B32:B33"/>
    <mergeCell ref="C32:E33"/>
    <mergeCell ref="F32:H33"/>
    <mergeCell ref="I32:L33"/>
    <mergeCell ref="M32:O33"/>
    <mergeCell ref="AC34:AD35"/>
    <mergeCell ref="AE34:AF35"/>
    <mergeCell ref="AG34:AH35"/>
    <mergeCell ref="AI34:AJ35"/>
    <mergeCell ref="BB34:BB35"/>
    <mergeCell ref="BC34:BC35"/>
    <mergeCell ref="AN34:AQ35"/>
    <mergeCell ref="AU34:AU35"/>
    <mergeCell ref="AV34:AV35"/>
    <mergeCell ref="AW34:AW35"/>
    <mergeCell ref="AX34:AX35"/>
    <mergeCell ref="AK34:AM35"/>
    <mergeCell ref="P34:Q35"/>
    <mergeCell ref="R34:S35"/>
    <mergeCell ref="T34:U35"/>
    <mergeCell ref="V34:Y35"/>
    <mergeCell ref="Z34:AB35"/>
    <mergeCell ref="AY34:AY35"/>
    <mergeCell ref="AZ34:AZ35"/>
    <mergeCell ref="BA34:BA35"/>
  </mergeCells>
  <conditionalFormatting sqref="AQ2:AR3">
    <cfRule type="cellIs" dxfId="83" priority="29" operator="equal">
      <formula>1</formula>
    </cfRule>
    <cfRule type="cellIs" dxfId="82" priority="30" operator="between">
      <formula>0.51</formula>
      <formula>0.99</formula>
    </cfRule>
    <cfRule type="cellIs" dxfId="81" priority="31" operator="lessThanOrEqual">
      <formula>0.5</formula>
    </cfRule>
  </conditionalFormatting>
  <conditionalFormatting sqref="AH2 AL2">
    <cfRule type="expression" dxfId="80" priority="27">
      <formula>PROJSTATUS=PROJSTATELI</formula>
    </cfRule>
    <cfRule type="expression" dxfId="79" priority="28">
      <formula>PROJSTATUS=PROJSTATREVIEW</formula>
    </cfRule>
    <cfRule type="expression" dxfId="78" priority="32">
      <formula>PROJSTATUS=PROJSTATPREAPPROVE</formula>
    </cfRule>
    <cfRule type="expression" dxfId="77" priority="33">
      <formula>PROJSTATUS=PROJSTATSTANDARD</formula>
    </cfRule>
    <cfRule type="expression" dxfId="76" priority="34">
      <formula>PROJSTATUS=PROJSTATEXP</formula>
    </cfRule>
  </conditionalFormatting>
  <conditionalFormatting sqref="AN16 AN18 AN20 AN22 AN24 AN26 AN28 AN30 AN32 AN34">
    <cfRule type="expression" dxfId="75" priority="11">
      <formula>ISNUMBER(AN16)=FALSE</formula>
    </cfRule>
  </conditionalFormatting>
  <conditionalFormatting sqref="AI16 AG16 AC16 Z16 Z18 Z22 Z24 Z26 Z28 Z30 Z32 Z34 AI18 AI22 AI24 AI26 AI28 AI30 AI32 AI34 AG30 AG32 AG34 AC18 AC22 AC24 AC26 AC28 AC30 AC32 AC34 AG18 AG22 AG24 AG26 AG28 AE20 AE22 AE24 AE26 AE28 AE30 AE32 AE18 AE34 AE16">
    <cfRule type="expression" dxfId="74" priority="12">
      <formula>AND(ISBLANK($V16)=FALSE,OR(ISBLANK(Z16)=TRUE,Z16=""))</formula>
    </cfRule>
  </conditionalFormatting>
  <conditionalFormatting sqref="P16 M16 M18 M22 M24 M26 M28 M30 M32 M34 P18 P22 P24 P26 P28 P30 P32 P34 R16 T16 R18 R20 R22 R24 R26 R28 R30 R32 R34 T18 T20 T24 T28 T32 T22 T26 T30 T34">
    <cfRule type="expression" dxfId="73" priority="13">
      <formula>AND(ISBLANK($I16)=FALSE,OR(ISBLANK(M16)=TRUE,M16=""))</formula>
    </cfRule>
  </conditionalFormatting>
  <conditionalFormatting sqref="R16:S35">
    <cfRule type="expression" dxfId="72" priority="10">
      <formula>R16&lt;&gt;INDEX(CMELIGHTBASEW,MATCH(I16,CMELIGHTBASE1,0))</formula>
    </cfRule>
  </conditionalFormatting>
  <conditionalFormatting sqref="R16:S35 AE16:AF35">
    <cfRule type="expression" dxfId="71" priority="9">
      <formula>MOD(R16,1)&lt;&gt;0</formula>
    </cfRule>
  </conditionalFormatting>
  <conditionalFormatting sqref="AE16:AF35">
    <cfRule type="expression" dxfId="70" priority="8">
      <formula>AE16&lt;&gt;INDEX(CMELIGHTEFFBASEW,MATCH(V16,CMELIGHTEFF1,0))</formula>
    </cfRule>
  </conditionalFormatting>
  <conditionalFormatting sqref="T16:U35">
    <cfRule type="expression" dxfId="69" priority="7">
      <formula>AND(ISNUMBER(SEARCH("24/7",F16))=TRUE,T16&lt;&gt;8760)</formula>
    </cfRule>
  </conditionalFormatting>
  <conditionalFormatting sqref="M20 P20">
    <cfRule type="expression" dxfId="68" priority="6">
      <formula>AND(ISBLANK($I20)=FALSE,OR(ISBLANK(M20)=TRUE,M20=""))</formula>
    </cfRule>
  </conditionalFormatting>
  <conditionalFormatting sqref="Z20">
    <cfRule type="expression" dxfId="67" priority="5">
      <formula>AND(ISBLANK($V20)=FALSE,OR(ISBLANK(Z20)=TRUE,Z20=""))</formula>
    </cfRule>
  </conditionalFormatting>
  <conditionalFormatting sqref="AC20">
    <cfRule type="expression" dxfId="66" priority="4">
      <formula>AND(ISBLANK($V20)=FALSE,OR(ISBLANK(AC20)=TRUE,AC20=""))</formula>
    </cfRule>
  </conditionalFormatting>
  <conditionalFormatting sqref="AG20">
    <cfRule type="expression" dxfId="65" priority="3">
      <formula>AND(ISBLANK($V20)=FALSE,OR(ISBLANK(AG20)=TRUE,AG20=""))</formula>
    </cfRule>
  </conditionalFormatting>
  <conditionalFormatting sqref="AI20">
    <cfRule type="expression" dxfId="64" priority="2">
      <formula>AND(ISBLANK($V20)=FALSE,OR(ISBLANK(AI20)=TRUE,AI20=""))</formula>
    </cfRule>
  </conditionalFormatting>
  <conditionalFormatting sqref="AY16 AY18 AY20 AY22 AY24 AY26 AY28 AY30 AY32 AY34">
    <cfRule type="expression" dxfId="63" priority="1">
      <formula>AND(ISBLANK($V16)=FALSE,OR(ISBLANK(AY16)=TRUE,AY16=""))</formula>
    </cfRule>
  </conditionalFormatting>
  <dataValidations count="6">
    <dataValidation type="list" allowBlank="1" showInputMessage="1" showErrorMessage="1" sqref="F16:H35" xr:uid="{02D1A59D-6DC8-4922-A481-63EEB9FF825A}">
      <formula1>EXTAREATYPE</formula1>
    </dataValidation>
    <dataValidation allowBlank="1" showInputMessage="1" showErrorMessage="1" prompt="Enter material or labor cost per unit of fixture._x000a__x000a_For in house installs estimate labor cost." sqref="AG16 AI16 AG30 AG32 AG34 AI18 AG20 AI22 AI24 AI26 AI28 AI30 AI32 AI34 AG18 AG28 AG22 AG24 AG26 AI20" xr:uid="{B6270FE1-D2A4-465C-9C9E-2EC943FE4926}"/>
    <dataValidation type="list" allowBlank="1" showInputMessage="1" showErrorMessage="1" prompt="Choose from new fixture type options. If the fixture is not listed, select CUSTOM at the botom and provide a description of the fixture." sqref="V16:Y35" xr:uid="{9DD4FA87-161E-4C32-82BF-42D509FB2693}">
      <formula1>CMELIGHTEFF1</formula1>
    </dataValidation>
    <dataValidation type="list" allowBlank="1" showInputMessage="1" showErrorMessage="1" prompt="Choose from existing fixture type options. If the fixture is not listed, select CUSTOM at the bottom and provide a description of the fixture." sqref="I16:L35" xr:uid="{C057BD1F-7848-4726-A9BC-DBE2C467597F}">
      <formula1>CMELIGHTBASE1</formula1>
    </dataValidation>
    <dataValidation type="decimal" operator="greaterThan" allowBlank="1" showInputMessage="1" showErrorMessage="1" error="Please enter a number value into the field." sqref="R16:S35 AE16:AF35" xr:uid="{0D5B400B-6623-4C5F-9887-2E674E6131BC}">
      <formula1>0</formula1>
    </dataValidation>
    <dataValidation type="whole" allowBlank="1" showInputMessage="1" showErrorMessage="1" prompt="Only 24/7 lighting is eligible for a custom incentive." sqref="T16:U35" xr:uid="{B3EE32E5-2F3F-40EE-AC6D-F679DC88195B}">
      <formula1>8500</formula1>
      <formula2>8760</formula2>
    </dataValidation>
  </dataValidations>
  <hyperlinks>
    <hyperlink ref="B202" r:id="rId1" display="NIPSCO.Savings@LMCO.com" xr:uid="{00000000-0004-0000-2500-000000000000}"/>
  </hyperlinks>
  <pageMargins left="0.25" right="0.25" top="0.25" bottom="0.25" header="0.25" footer="0.25"/>
  <pageSetup scale="64" fitToHeight="0" orientation="landscape"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9">
    <pageSetUpPr fitToPage="1"/>
  </sheetPr>
  <dimension ref="A1:AS365"/>
  <sheetViews>
    <sheetView showGridLines="0" showRowColHeaders="0" zoomScale="85" zoomScaleNormal="85" workbookViewId="0">
      <selection activeCell="C6" sqref="C6"/>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2:44" ht="15.95" customHeight="1" x14ac:dyDescent="0.3">
      <c r="AH1" s="711" t="s">
        <v>494</v>
      </c>
      <c r="AI1" s="712"/>
      <c r="AJ1" s="712"/>
      <c r="AK1" s="712"/>
      <c r="AL1" s="723" t="s">
        <v>911</v>
      </c>
      <c r="AM1" s="723"/>
      <c r="AN1" s="723"/>
      <c r="AO1" s="723"/>
      <c r="AP1" s="723"/>
      <c r="AQ1" s="717" t="s">
        <v>499</v>
      </c>
      <c r="AR1" s="718"/>
    </row>
    <row r="2" spans="2:44" ht="15.95" customHeight="1" x14ac:dyDescent="0.25">
      <c r="AH2" s="713" t="str">
        <f ca="1">INCENSTATUS</f>
        <v>---</v>
      </c>
      <c r="AI2" s="714"/>
      <c r="AJ2" s="714"/>
      <c r="AK2" s="714"/>
      <c r="AL2" s="724" t="str">
        <f ca="1">PROJSTATUS</f>
        <v>Please Complete Initial Application</v>
      </c>
      <c r="AM2" s="724"/>
      <c r="AN2" s="724"/>
      <c r="AO2" s="724"/>
      <c r="AP2" s="724"/>
      <c r="AQ2" s="719">
        <f ca="1">PROGRESSSTATUS</f>
        <v>0</v>
      </c>
      <c r="AR2" s="720"/>
    </row>
    <row r="3" spans="2:44" ht="15.95" customHeight="1" x14ac:dyDescent="0.25">
      <c r="AH3" s="715"/>
      <c r="AI3" s="716"/>
      <c r="AJ3" s="716"/>
      <c r="AK3" s="716"/>
      <c r="AL3" s="725"/>
      <c r="AM3" s="725"/>
      <c r="AN3" s="725"/>
      <c r="AO3" s="725"/>
      <c r="AP3" s="725"/>
      <c r="AQ3" s="721"/>
      <c r="AR3" s="722"/>
    </row>
    <row r="4" spans="2:44" ht="15.95" customHeight="1" x14ac:dyDescent="0.25">
      <c r="AG4" s="63"/>
    </row>
    <row r="5" spans="2:44" ht="15.95" customHeight="1" x14ac:dyDescent="0.25"/>
    <row r="6" spans="2:44" ht="15.95" customHeight="1" x14ac:dyDescent="0.25"/>
    <row r="7" spans="2:44" ht="15.95" customHeight="1" x14ac:dyDescent="0.25"/>
    <row r="8" spans="2:44" ht="15.95" customHeight="1" x14ac:dyDescent="0.25"/>
    <row r="9" spans="2:44" ht="15.95" customHeight="1" x14ac:dyDescent="0.25">
      <c r="B9" s="135"/>
      <c r="C9" s="135"/>
      <c r="D9" s="135"/>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row>
    <row r="10" spans="2:44" ht="15.95" customHeight="1" x14ac:dyDescent="0.3">
      <c r="B10" s="135"/>
      <c r="C10" s="135"/>
      <c r="D10" s="135"/>
      <c r="E10" s="135"/>
      <c r="F10" s="732" t="s">
        <v>1888</v>
      </c>
      <c r="G10" s="732"/>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c r="AO10" s="135"/>
      <c r="AP10" s="135"/>
      <c r="AQ10" s="135"/>
      <c r="AR10" s="135"/>
    </row>
    <row r="11" spans="2:44" ht="15.95" customHeight="1" x14ac:dyDescent="0.25">
      <c r="B11" s="135"/>
      <c r="C11" s="135"/>
      <c r="D11" s="135"/>
      <c r="E11" s="135"/>
      <c r="F11" s="1337"/>
      <c r="G11" s="1337"/>
      <c r="H11" s="1337"/>
      <c r="I11" s="1337"/>
      <c r="J11" s="1337"/>
      <c r="K11" s="1337"/>
      <c r="L11" s="1337"/>
      <c r="M11" s="1337"/>
      <c r="N11" s="1337"/>
      <c r="O11" s="1337"/>
      <c r="P11" s="1337"/>
      <c r="Q11" s="1337"/>
      <c r="R11" s="1337"/>
      <c r="S11" s="1337"/>
      <c r="T11" s="1337"/>
      <c r="U11" s="1337"/>
      <c r="V11" s="1337"/>
      <c r="W11" s="1337"/>
      <c r="X11" s="1337"/>
      <c r="Y11" s="1337"/>
      <c r="Z11" s="1337"/>
      <c r="AA11" s="1337"/>
      <c r="AB11" s="1337"/>
      <c r="AC11" s="1337"/>
      <c r="AD11" s="1337"/>
      <c r="AE11" s="1337"/>
      <c r="AF11" s="1337"/>
      <c r="AG11" s="1337"/>
      <c r="AH11" s="1337"/>
      <c r="AI11" s="1337"/>
      <c r="AJ11" s="1337"/>
      <c r="AK11" s="1337"/>
      <c r="AL11" s="1337"/>
      <c r="AM11" s="1337"/>
      <c r="AN11" s="1337"/>
      <c r="AO11" s="135"/>
      <c r="AP11" s="135"/>
      <c r="AQ11" s="135"/>
      <c r="AR11" s="135"/>
    </row>
    <row r="12" spans="2:44" ht="15.95" customHeight="1" x14ac:dyDescent="0.25">
      <c r="B12" s="135"/>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row>
    <row r="13" spans="2:44" ht="15.95" customHeight="1" x14ac:dyDescent="0.25">
      <c r="B13" s="135"/>
      <c r="C13" s="169" t="s">
        <v>497</v>
      </c>
      <c r="D13" s="170"/>
      <c r="E13" s="170"/>
      <c r="F13" s="1396" t="str">
        <f>IF(M02S02F13="","",M02S02F13)</f>
        <v/>
      </c>
      <c r="G13" s="1396"/>
      <c r="H13" s="1396"/>
      <c r="I13" s="1396"/>
      <c r="J13" s="1396"/>
      <c r="K13" s="1396"/>
      <c r="L13" s="1396"/>
      <c r="M13" s="1396"/>
      <c r="N13" s="1396"/>
      <c r="O13" s="1396"/>
      <c r="P13" s="1396"/>
      <c r="Q13" s="1396"/>
      <c r="R13" s="1396"/>
      <c r="S13" s="1396"/>
      <c r="T13" s="1396"/>
      <c r="U13" s="1396"/>
      <c r="V13" s="1396"/>
      <c r="W13" s="171"/>
      <c r="X13" s="63"/>
      <c r="Y13" s="63"/>
      <c r="Z13" s="63"/>
      <c r="AA13" s="63"/>
      <c r="AB13" s="63"/>
      <c r="AC13" s="63"/>
      <c r="AD13" s="63"/>
      <c r="AE13" s="63"/>
      <c r="AF13" s="63"/>
      <c r="AG13" s="63"/>
      <c r="AH13" s="63"/>
      <c r="AI13" s="63"/>
      <c r="AJ13" s="63"/>
      <c r="AK13" s="63"/>
      <c r="AL13" s="63"/>
      <c r="AM13" s="63"/>
      <c r="AN13" s="63"/>
      <c r="AO13" s="63"/>
      <c r="AP13" s="63"/>
      <c r="AQ13" s="63"/>
      <c r="AR13" s="171"/>
    </row>
    <row r="14" spans="2:44" ht="15.95" customHeight="1" x14ac:dyDescent="0.25">
      <c r="B14" s="135"/>
      <c r="C14" s="171"/>
      <c r="D14" s="171"/>
      <c r="E14" s="171"/>
      <c r="F14" s="171"/>
      <c r="G14" s="171"/>
      <c r="H14" s="171"/>
      <c r="I14" s="171"/>
      <c r="J14" s="171"/>
      <c r="K14" s="171"/>
      <c r="L14" s="171"/>
      <c r="M14" s="171"/>
      <c r="N14" s="171"/>
      <c r="O14" s="171"/>
      <c r="P14" s="171"/>
      <c r="Q14" s="171"/>
      <c r="R14" s="171"/>
      <c r="S14" s="171"/>
      <c r="T14" s="171"/>
      <c r="U14" s="171"/>
      <c r="V14" s="171"/>
      <c r="W14" s="171"/>
      <c r="X14" s="63"/>
      <c r="Y14" s="63"/>
      <c r="Z14" s="63"/>
      <c r="AA14" s="63"/>
      <c r="AB14" s="63"/>
      <c r="AC14" s="63"/>
      <c r="AD14" s="63"/>
      <c r="AE14" s="63"/>
      <c r="AF14" s="63"/>
      <c r="AG14" s="63"/>
      <c r="AH14" s="63"/>
      <c r="AI14" s="63"/>
      <c r="AJ14" s="63"/>
      <c r="AK14" s="63"/>
      <c r="AL14" s="63"/>
      <c r="AM14" s="63"/>
      <c r="AN14" s="63"/>
      <c r="AO14" s="63"/>
      <c r="AP14" s="63"/>
      <c r="AQ14" s="63"/>
      <c r="AR14" s="171"/>
    </row>
    <row r="15" spans="2:44" ht="15.95" customHeight="1" x14ac:dyDescent="0.25">
      <c r="B15" s="135"/>
      <c r="C15" s="1401" t="s">
        <v>980</v>
      </c>
      <c r="D15" s="1402"/>
      <c r="E15" s="1402"/>
      <c r="F15" s="1402"/>
      <c r="G15" s="1402"/>
      <c r="H15" s="1403"/>
      <c r="I15" s="171"/>
      <c r="J15" s="1401" t="s">
        <v>1315</v>
      </c>
      <c r="K15" s="1402"/>
      <c r="L15" s="1402"/>
      <c r="M15" s="1402"/>
      <c r="N15" s="1402"/>
      <c r="O15" s="1403"/>
      <c r="P15" s="171"/>
      <c r="Q15" s="1401" t="s">
        <v>1742</v>
      </c>
      <c r="R15" s="1402"/>
      <c r="S15" s="1402"/>
      <c r="T15" s="1402"/>
      <c r="U15" s="1402"/>
      <c r="V15" s="1403"/>
      <c r="W15" s="171"/>
      <c r="X15" s="1401" t="s">
        <v>256</v>
      </c>
      <c r="Y15" s="1402"/>
      <c r="Z15" s="1402"/>
      <c r="AA15" s="1402"/>
      <c r="AB15" s="1402"/>
      <c r="AC15" s="1403"/>
      <c r="AD15" s="63"/>
      <c r="AE15" s="1401" t="s">
        <v>257</v>
      </c>
      <c r="AF15" s="1402"/>
      <c r="AG15" s="1402"/>
      <c r="AH15" s="1402"/>
      <c r="AI15" s="1402"/>
      <c r="AJ15" s="1403"/>
      <c r="AK15" s="63"/>
      <c r="AL15" s="1401" t="s">
        <v>1664</v>
      </c>
      <c r="AM15" s="1402"/>
      <c r="AN15" s="1402"/>
      <c r="AO15" s="1402"/>
      <c r="AP15" s="1402"/>
      <c r="AQ15" s="1403"/>
      <c r="AR15" s="171"/>
    </row>
    <row r="16" spans="2:44" ht="15.95" customHeight="1" x14ac:dyDescent="0.25">
      <c r="B16" s="135"/>
      <c r="C16" s="1398" t="s">
        <v>110</v>
      </c>
      <c r="D16" s="1399"/>
      <c r="E16" s="1399"/>
      <c r="F16" s="1399"/>
      <c r="G16" s="1399"/>
      <c r="H16" s="1400"/>
      <c r="I16" s="171"/>
      <c r="J16" s="1398" t="s">
        <v>1743</v>
      </c>
      <c r="K16" s="1399"/>
      <c r="L16" s="1399"/>
      <c r="M16" s="1399"/>
      <c r="N16" s="1399"/>
      <c r="O16" s="1400"/>
      <c r="P16" s="171"/>
      <c r="Q16" s="1398" t="s">
        <v>110</v>
      </c>
      <c r="R16" s="1399"/>
      <c r="S16" s="1399"/>
      <c r="T16" s="1399"/>
      <c r="U16" s="1399"/>
      <c r="V16" s="1400"/>
      <c r="W16" s="171"/>
      <c r="X16" s="1398" t="s">
        <v>110</v>
      </c>
      <c r="Y16" s="1399"/>
      <c r="Z16" s="1399"/>
      <c r="AA16" s="1399"/>
      <c r="AB16" s="1399"/>
      <c r="AC16" s="1400"/>
      <c r="AD16" s="63"/>
      <c r="AE16" s="1398" t="s">
        <v>110</v>
      </c>
      <c r="AF16" s="1399"/>
      <c r="AG16" s="1399"/>
      <c r="AH16" s="1399"/>
      <c r="AI16" s="1399"/>
      <c r="AJ16" s="1400"/>
      <c r="AK16" s="63"/>
      <c r="AL16" s="1398" t="s">
        <v>110</v>
      </c>
      <c r="AM16" s="1399"/>
      <c r="AN16" s="1399"/>
      <c r="AO16" s="1399"/>
      <c r="AP16" s="1399"/>
      <c r="AQ16" s="1400"/>
      <c r="AR16" s="171"/>
    </row>
    <row r="17" spans="2:44" ht="15.95" customHeight="1" x14ac:dyDescent="0.25">
      <c r="B17" s="135"/>
      <c r="C17" s="1395" t="str">
        <f>IF(M02S02F01="","",M02S02F01)</f>
        <v/>
      </c>
      <c r="D17" s="1396"/>
      <c r="E17" s="1396"/>
      <c r="F17" s="1396"/>
      <c r="G17" s="1396"/>
      <c r="H17" s="1397"/>
      <c r="I17" s="171"/>
      <c r="J17" s="1395" t="str">
        <f>IF(M02S03F02="","",M02S03F02)</f>
        <v/>
      </c>
      <c r="K17" s="1396"/>
      <c r="L17" s="1396"/>
      <c r="M17" s="1396"/>
      <c r="N17" s="1396"/>
      <c r="O17" s="1397"/>
      <c r="P17" s="171"/>
      <c r="Q17" s="1395" t="str">
        <f>IF('M02-S03'!C34="","",'M02-S03'!C34)</f>
        <v/>
      </c>
      <c r="R17" s="1396"/>
      <c r="S17" s="1396"/>
      <c r="T17" s="1396"/>
      <c r="U17" s="1396"/>
      <c r="V17" s="1397"/>
      <c r="W17" s="171"/>
      <c r="X17" s="1395" t="str">
        <f>IF('M02-S03'!C49="","",'M02-S03'!C49)</f>
        <v/>
      </c>
      <c r="Y17" s="1396"/>
      <c r="Z17" s="1396"/>
      <c r="AA17" s="1396"/>
      <c r="AB17" s="1396"/>
      <c r="AC17" s="1397"/>
      <c r="AD17" s="63"/>
      <c r="AE17" s="1395" t="str">
        <f>IF('M02-S03'!C64="","",'M02-S03'!C64)</f>
        <v/>
      </c>
      <c r="AF17" s="1396"/>
      <c r="AG17" s="1396"/>
      <c r="AH17" s="1396"/>
      <c r="AI17" s="1396"/>
      <c r="AJ17" s="1397"/>
      <c r="AK17" s="63"/>
      <c r="AL17" s="1395" t="str">
        <f>IF('M02-S03'!C79="","",'M02-S03'!C79)</f>
        <v/>
      </c>
      <c r="AM17" s="1396"/>
      <c r="AN17" s="1396"/>
      <c r="AO17" s="1396"/>
      <c r="AP17" s="1396"/>
      <c r="AQ17" s="1397"/>
      <c r="AR17" s="171"/>
    </row>
    <row r="18" spans="2:44" ht="15.95" customHeight="1" x14ac:dyDescent="0.25">
      <c r="B18" s="135"/>
      <c r="C18" s="1398" t="s">
        <v>112</v>
      </c>
      <c r="D18" s="1399"/>
      <c r="E18" s="1399"/>
      <c r="F18" s="1399"/>
      <c r="G18" s="1399"/>
      <c r="H18" s="1400"/>
      <c r="I18" s="171"/>
      <c r="J18" s="1398" t="s">
        <v>1744</v>
      </c>
      <c r="K18" s="1399"/>
      <c r="L18" s="1399"/>
      <c r="M18" s="1399"/>
      <c r="N18" s="1399"/>
      <c r="O18" s="1400"/>
      <c r="P18" s="171"/>
      <c r="Q18" s="1398" t="s">
        <v>539</v>
      </c>
      <c r="R18" s="1399"/>
      <c r="S18" s="1399"/>
      <c r="T18" s="1399"/>
      <c r="U18" s="1399"/>
      <c r="V18" s="1400"/>
      <c r="W18" s="171"/>
      <c r="X18" s="1398" t="s">
        <v>539</v>
      </c>
      <c r="Y18" s="1399"/>
      <c r="Z18" s="1399"/>
      <c r="AA18" s="1399"/>
      <c r="AB18" s="1399"/>
      <c r="AC18" s="1400"/>
      <c r="AD18" s="63"/>
      <c r="AE18" s="1398" t="s">
        <v>539</v>
      </c>
      <c r="AF18" s="1399"/>
      <c r="AG18" s="1399"/>
      <c r="AH18" s="1399"/>
      <c r="AI18" s="1399"/>
      <c r="AJ18" s="1400"/>
      <c r="AK18" s="63"/>
      <c r="AL18" s="1398" t="s">
        <v>539</v>
      </c>
      <c r="AM18" s="1399"/>
      <c r="AN18" s="1399"/>
      <c r="AO18" s="1399"/>
      <c r="AP18" s="1399"/>
      <c r="AQ18" s="1400"/>
      <c r="AR18" s="171"/>
    </row>
    <row r="19" spans="2:44" ht="15.95" customHeight="1" x14ac:dyDescent="0.25">
      <c r="B19" s="135"/>
      <c r="C19" s="1395" t="str">
        <f>CONCATENATE(M02S02F16," ",M02S02F17)</f>
        <v xml:space="preserve"> </v>
      </c>
      <c r="D19" s="1396"/>
      <c r="E19" s="1396"/>
      <c r="F19" s="1396"/>
      <c r="G19" s="1396"/>
      <c r="H19" s="1397"/>
      <c r="I19" s="171"/>
      <c r="J19" s="1395" t="str">
        <f>CONCATENATE(M02S03F03," ",M02S03F04)</f>
        <v xml:space="preserve"> </v>
      </c>
      <c r="K19" s="1396"/>
      <c r="L19" s="1396"/>
      <c r="M19" s="1396"/>
      <c r="N19" s="1396"/>
      <c r="O19" s="1397"/>
      <c r="P19" s="171"/>
      <c r="Q19" s="1395" t="str">
        <f>CONCATENATE('M02-S03'!J34," ",'M02-S03'!Q34)</f>
        <v xml:space="preserve"> </v>
      </c>
      <c r="R19" s="1396"/>
      <c r="S19" s="1396"/>
      <c r="T19" s="1396"/>
      <c r="U19" s="1396"/>
      <c r="V19" s="1397"/>
      <c r="W19" s="171"/>
      <c r="X19" s="1395" t="str">
        <f>CONCATENATE('M02-S03'!J49," ",'M02-S03'!Q49)</f>
        <v xml:space="preserve"> </v>
      </c>
      <c r="Y19" s="1396"/>
      <c r="Z19" s="1396"/>
      <c r="AA19" s="1396"/>
      <c r="AB19" s="1396"/>
      <c r="AC19" s="1397"/>
      <c r="AD19" s="63"/>
      <c r="AE19" s="1395" t="str">
        <f>CONCATENATE('M02-S03'!J64," ",'M02-S03'!Q64)</f>
        <v xml:space="preserve"> </v>
      </c>
      <c r="AF19" s="1396"/>
      <c r="AG19" s="1396"/>
      <c r="AH19" s="1396"/>
      <c r="AI19" s="1396"/>
      <c r="AJ19" s="1397"/>
      <c r="AK19" s="63"/>
      <c r="AL19" s="1395" t="str">
        <f>CONCATENATE('M02-S03'!J79," ",'M02-S03'!Q79)</f>
        <v xml:space="preserve"> </v>
      </c>
      <c r="AM19" s="1396"/>
      <c r="AN19" s="1396"/>
      <c r="AO19" s="1396"/>
      <c r="AP19" s="1396"/>
      <c r="AQ19" s="1397"/>
      <c r="AR19" s="171"/>
    </row>
    <row r="20" spans="2:44" ht="15.95" customHeight="1" x14ac:dyDescent="0.25">
      <c r="B20" s="135"/>
      <c r="C20" s="1398" t="s">
        <v>111</v>
      </c>
      <c r="D20" s="1399"/>
      <c r="E20" s="1399"/>
      <c r="F20" s="1399"/>
      <c r="G20" s="1399"/>
      <c r="H20" s="1400"/>
      <c r="I20" s="171"/>
      <c r="J20" s="1398" t="s">
        <v>111</v>
      </c>
      <c r="K20" s="1399"/>
      <c r="L20" s="1399"/>
      <c r="M20" s="1399"/>
      <c r="N20" s="1399"/>
      <c r="O20" s="1400"/>
      <c r="P20" s="171"/>
      <c r="Q20" s="1398" t="s">
        <v>111</v>
      </c>
      <c r="R20" s="1399"/>
      <c r="S20" s="1399"/>
      <c r="T20" s="1399"/>
      <c r="U20" s="1399"/>
      <c r="V20" s="1400"/>
      <c r="W20" s="171"/>
      <c r="X20" s="1398" t="s">
        <v>111</v>
      </c>
      <c r="Y20" s="1399"/>
      <c r="Z20" s="1399"/>
      <c r="AA20" s="1399"/>
      <c r="AB20" s="1399"/>
      <c r="AC20" s="1400"/>
      <c r="AD20" s="63"/>
      <c r="AE20" s="1398" t="s">
        <v>111</v>
      </c>
      <c r="AF20" s="1399"/>
      <c r="AG20" s="1399"/>
      <c r="AH20" s="1399"/>
      <c r="AI20" s="1399"/>
      <c r="AJ20" s="1400"/>
      <c r="AK20" s="63"/>
      <c r="AL20" s="1398" t="s">
        <v>111</v>
      </c>
      <c r="AM20" s="1399"/>
      <c r="AN20" s="1399"/>
      <c r="AO20" s="1399"/>
      <c r="AP20" s="1399"/>
      <c r="AQ20" s="1400"/>
      <c r="AR20" s="171"/>
    </row>
    <row r="21" spans="2:44" ht="15.95" customHeight="1" x14ac:dyDescent="0.25">
      <c r="B21" s="135"/>
      <c r="C21" s="1395" t="str">
        <f>IF(M02S02F22="","",M02S02F22)</f>
        <v/>
      </c>
      <c r="D21" s="1396"/>
      <c r="E21" s="1396"/>
      <c r="F21" s="1396"/>
      <c r="G21" s="1396"/>
      <c r="H21" s="1397"/>
      <c r="I21" s="171"/>
      <c r="J21" s="1395" t="str">
        <f>IF(M02S03F09="","",M02S03F09)</f>
        <v/>
      </c>
      <c r="K21" s="1396"/>
      <c r="L21" s="1396"/>
      <c r="M21" s="1396"/>
      <c r="N21" s="1396"/>
      <c r="O21" s="1397"/>
      <c r="P21" s="171"/>
      <c r="Q21" s="1395" t="str">
        <f>IF('M02-S03'!J37="","",'M02-S03'!J37)</f>
        <v/>
      </c>
      <c r="R21" s="1396"/>
      <c r="S21" s="1396"/>
      <c r="T21" s="1396"/>
      <c r="U21" s="1396"/>
      <c r="V21" s="1397"/>
      <c r="W21" s="171"/>
      <c r="X21" s="1395" t="str">
        <f>IF('M02-S03'!J52="","",'M02-S03'!J52)</f>
        <v/>
      </c>
      <c r="Y21" s="1396"/>
      <c r="Z21" s="1396"/>
      <c r="AA21" s="1396"/>
      <c r="AB21" s="1396"/>
      <c r="AC21" s="1397"/>
      <c r="AD21" s="63"/>
      <c r="AE21" s="1395" t="str">
        <f>IF('M02-S03'!J67="","",'M02-S03'!J67)</f>
        <v/>
      </c>
      <c r="AF21" s="1396"/>
      <c r="AG21" s="1396"/>
      <c r="AH21" s="1396"/>
      <c r="AI21" s="1396"/>
      <c r="AJ21" s="1397"/>
      <c r="AK21" s="63"/>
      <c r="AL21" s="1395" t="str">
        <f>IF('M02-S03'!J82="","",'M02-S03'!J82)</f>
        <v/>
      </c>
      <c r="AM21" s="1396"/>
      <c r="AN21" s="1396"/>
      <c r="AO21" s="1396"/>
      <c r="AP21" s="1396"/>
      <c r="AQ21" s="1397"/>
      <c r="AR21" s="171"/>
    </row>
    <row r="22" spans="2:44" ht="15.95" customHeight="1" x14ac:dyDescent="0.25">
      <c r="B22" s="135"/>
      <c r="C22" s="1398" t="s">
        <v>85</v>
      </c>
      <c r="D22" s="1399"/>
      <c r="E22" s="1399"/>
      <c r="F22" s="1399"/>
      <c r="G22" s="1399"/>
      <c r="H22" s="1400"/>
      <c r="I22" s="171"/>
      <c r="J22" s="1398" t="s">
        <v>85</v>
      </c>
      <c r="K22" s="1399"/>
      <c r="L22" s="1399"/>
      <c r="M22" s="1399"/>
      <c r="N22" s="1399"/>
      <c r="O22" s="1400"/>
      <c r="P22" s="171"/>
      <c r="Q22" s="1398" t="s">
        <v>85</v>
      </c>
      <c r="R22" s="1399"/>
      <c r="S22" s="1399"/>
      <c r="T22" s="1399"/>
      <c r="U22" s="1399"/>
      <c r="V22" s="1400"/>
      <c r="W22" s="171"/>
      <c r="X22" s="1398" t="s">
        <v>85</v>
      </c>
      <c r="Y22" s="1399"/>
      <c r="Z22" s="1399"/>
      <c r="AA22" s="1399"/>
      <c r="AB22" s="1399"/>
      <c r="AC22" s="1400"/>
      <c r="AD22" s="63"/>
      <c r="AE22" s="1398" t="s">
        <v>85</v>
      </c>
      <c r="AF22" s="1399"/>
      <c r="AG22" s="1399"/>
      <c r="AH22" s="1399"/>
      <c r="AI22" s="1399"/>
      <c r="AJ22" s="1400"/>
      <c r="AK22" s="63"/>
      <c r="AL22" s="1398" t="s">
        <v>85</v>
      </c>
      <c r="AM22" s="1399"/>
      <c r="AN22" s="1399"/>
      <c r="AO22" s="1399"/>
      <c r="AP22" s="1399"/>
      <c r="AQ22" s="1400"/>
      <c r="AR22" s="171"/>
    </row>
    <row r="23" spans="2:44" ht="15.95" customHeight="1" x14ac:dyDescent="0.25">
      <c r="B23" s="135"/>
      <c r="C23" s="1395" t="str">
        <f>IF(M02S02F23="","",M02S02F23)</f>
        <v/>
      </c>
      <c r="D23" s="1396"/>
      <c r="E23" s="1396"/>
      <c r="F23" s="1396"/>
      <c r="G23" s="1396"/>
      <c r="H23" s="1397"/>
      <c r="I23" s="171"/>
      <c r="J23" s="1395" t="str">
        <f>IF(M02S03F10="","",M02S03F10)</f>
        <v/>
      </c>
      <c r="K23" s="1396"/>
      <c r="L23" s="1396"/>
      <c r="M23" s="1396"/>
      <c r="N23" s="1396"/>
      <c r="O23" s="1397"/>
      <c r="P23" s="171"/>
      <c r="Q23" s="1395" t="str">
        <f>IF('M02-S03'!Q37="","",'M02-S03'!Q37)</f>
        <v/>
      </c>
      <c r="R23" s="1396"/>
      <c r="S23" s="1396"/>
      <c r="T23" s="1396"/>
      <c r="U23" s="1396"/>
      <c r="V23" s="1397"/>
      <c r="W23" s="171"/>
      <c r="X23" s="1395" t="str">
        <f>IF('M02-S03'!Q52="","",'M02-S03'!Q52)</f>
        <v/>
      </c>
      <c r="Y23" s="1396"/>
      <c r="Z23" s="1396"/>
      <c r="AA23" s="1396"/>
      <c r="AB23" s="1396"/>
      <c r="AC23" s="1397"/>
      <c r="AD23" s="63"/>
      <c r="AE23" s="1395" t="str">
        <f>IF('M02-S03'!Q67="","",'M02-S03'!Q67)</f>
        <v/>
      </c>
      <c r="AF23" s="1396"/>
      <c r="AG23" s="1396"/>
      <c r="AH23" s="1396"/>
      <c r="AI23" s="1396"/>
      <c r="AJ23" s="1397"/>
      <c r="AK23" s="63"/>
      <c r="AL23" s="1395" t="str">
        <f>IF('M02-S03'!Q82="","",'M02-S03'!Q82)</f>
        <v/>
      </c>
      <c r="AM23" s="1396"/>
      <c r="AN23" s="1396"/>
      <c r="AO23" s="1396"/>
      <c r="AP23" s="1396"/>
      <c r="AQ23" s="1397"/>
      <c r="AR23" s="171"/>
    </row>
    <row r="24" spans="2:44" ht="15.95" customHeight="1" x14ac:dyDescent="0.25">
      <c r="B24" s="135"/>
      <c r="C24" s="1398" t="s">
        <v>86</v>
      </c>
      <c r="D24" s="1399"/>
      <c r="E24" s="1399"/>
      <c r="F24" s="1399"/>
      <c r="G24" s="1399"/>
      <c r="H24" s="1400"/>
      <c r="I24" s="171"/>
      <c r="J24" s="1398" t="s">
        <v>86</v>
      </c>
      <c r="K24" s="1399"/>
      <c r="L24" s="1399"/>
      <c r="M24" s="1399"/>
      <c r="N24" s="1399"/>
      <c r="O24" s="1400"/>
      <c r="P24" s="171"/>
      <c r="Q24" s="1398" t="s">
        <v>86</v>
      </c>
      <c r="R24" s="1399"/>
      <c r="S24" s="1399"/>
      <c r="T24" s="1399"/>
      <c r="U24" s="1399"/>
      <c r="V24" s="1400"/>
      <c r="W24" s="171"/>
      <c r="X24" s="1398" t="s">
        <v>86</v>
      </c>
      <c r="Y24" s="1399"/>
      <c r="Z24" s="1399"/>
      <c r="AA24" s="1399"/>
      <c r="AB24" s="1399"/>
      <c r="AC24" s="1400"/>
      <c r="AD24" s="63"/>
      <c r="AE24" s="1398" t="s">
        <v>86</v>
      </c>
      <c r="AF24" s="1399"/>
      <c r="AG24" s="1399"/>
      <c r="AH24" s="1399"/>
      <c r="AI24" s="1399"/>
      <c r="AJ24" s="1400"/>
      <c r="AK24" s="63"/>
      <c r="AL24" s="1398" t="s">
        <v>86</v>
      </c>
      <c r="AM24" s="1399"/>
      <c r="AN24" s="1399"/>
      <c r="AO24" s="1399"/>
      <c r="AP24" s="1399"/>
      <c r="AQ24" s="1400"/>
      <c r="AR24" s="171"/>
    </row>
    <row r="25" spans="2:44" ht="15.95" customHeight="1" x14ac:dyDescent="0.25">
      <c r="B25" s="135"/>
      <c r="C25" s="1395" t="str">
        <f>IF(M02S02F24="","",M02S02F24)</f>
        <v>MO</v>
      </c>
      <c r="D25" s="1396"/>
      <c r="E25" s="1396"/>
      <c r="F25" s="1396"/>
      <c r="G25" s="1396"/>
      <c r="H25" s="1397"/>
      <c r="I25" s="171"/>
      <c r="J25" s="1395" t="str">
        <f>IF(M02S03F11="","",M02S03F11)</f>
        <v/>
      </c>
      <c r="K25" s="1396"/>
      <c r="L25" s="1396"/>
      <c r="M25" s="1396"/>
      <c r="N25" s="1396"/>
      <c r="O25" s="1397"/>
      <c r="P25" s="171"/>
      <c r="Q25" s="1395" t="str">
        <f>IF('M02-S03'!X37="","",'M02-S03'!X37)</f>
        <v/>
      </c>
      <c r="R25" s="1396"/>
      <c r="S25" s="1396"/>
      <c r="T25" s="1396"/>
      <c r="U25" s="1396"/>
      <c r="V25" s="1397"/>
      <c r="W25" s="171"/>
      <c r="X25" s="1395" t="str">
        <f>IF('M02-S03'!X52="","",'M02-S03'!X52)</f>
        <v/>
      </c>
      <c r="Y25" s="1396"/>
      <c r="Z25" s="1396"/>
      <c r="AA25" s="1396"/>
      <c r="AB25" s="1396"/>
      <c r="AC25" s="1397"/>
      <c r="AD25" s="63"/>
      <c r="AE25" s="1395" t="str">
        <f>IF('M02-S03'!X67="","",'M02-S03'!X67)</f>
        <v/>
      </c>
      <c r="AF25" s="1396"/>
      <c r="AG25" s="1396"/>
      <c r="AH25" s="1396"/>
      <c r="AI25" s="1396"/>
      <c r="AJ25" s="1397"/>
      <c r="AK25" s="63"/>
      <c r="AL25" s="1395" t="str">
        <f>IF('M02-S03'!X82="","",'M02-S03'!X82)</f>
        <v/>
      </c>
      <c r="AM25" s="1396"/>
      <c r="AN25" s="1396"/>
      <c r="AO25" s="1396"/>
      <c r="AP25" s="1396"/>
      <c r="AQ25" s="1397"/>
      <c r="AR25" s="171"/>
    </row>
    <row r="26" spans="2:44" ht="15.95" customHeight="1" x14ac:dyDescent="0.25">
      <c r="B26" s="135"/>
      <c r="C26" s="1398" t="s">
        <v>87</v>
      </c>
      <c r="D26" s="1399"/>
      <c r="E26" s="1399"/>
      <c r="F26" s="1399"/>
      <c r="G26" s="1399"/>
      <c r="H26" s="1400"/>
      <c r="I26" s="171"/>
      <c r="J26" s="1398" t="s">
        <v>87</v>
      </c>
      <c r="K26" s="1399"/>
      <c r="L26" s="1399"/>
      <c r="M26" s="1399"/>
      <c r="N26" s="1399"/>
      <c r="O26" s="1400"/>
      <c r="P26" s="171"/>
      <c r="Q26" s="1398" t="s">
        <v>87</v>
      </c>
      <c r="R26" s="1399"/>
      <c r="S26" s="1399"/>
      <c r="T26" s="1399"/>
      <c r="U26" s="1399"/>
      <c r="V26" s="1400"/>
      <c r="W26" s="171"/>
      <c r="X26" s="1398" t="s">
        <v>87</v>
      </c>
      <c r="Y26" s="1399"/>
      <c r="Z26" s="1399"/>
      <c r="AA26" s="1399"/>
      <c r="AB26" s="1399"/>
      <c r="AC26" s="1400"/>
      <c r="AD26" s="63"/>
      <c r="AE26" s="1398" t="s">
        <v>87</v>
      </c>
      <c r="AF26" s="1399"/>
      <c r="AG26" s="1399"/>
      <c r="AH26" s="1399"/>
      <c r="AI26" s="1399"/>
      <c r="AJ26" s="1400"/>
      <c r="AK26" s="63"/>
      <c r="AL26" s="1398" t="s">
        <v>87</v>
      </c>
      <c r="AM26" s="1399"/>
      <c r="AN26" s="1399"/>
      <c r="AO26" s="1399"/>
      <c r="AP26" s="1399"/>
      <c r="AQ26" s="1400"/>
      <c r="AR26" s="171"/>
    </row>
    <row r="27" spans="2:44" ht="15.95" customHeight="1" x14ac:dyDescent="0.25">
      <c r="B27" s="135"/>
      <c r="C27" s="1395" t="str">
        <f>IF(M02S02F25="","",M02S02F25)</f>
        <v/>
      </c>
      <c r="D27" s="1396"/>
      <c r="E27" s="1396"/>
      <c r="F27" s="1396"/>
      <c r="G27" s="1396"/>
      <c r="H27" s="1397"/>
      <c r="I27" s="171"/>
      <c r="J27" s="1395" t="str">
        <f>IF(M02S03F12="","",M02S03F12)</f>
        <v/>
      </c>
      <c r="K27" s="1396"/>
      <c r="L27" s="1396"/>
      <c r="M27" s="1396"/>
      <c r="N27" s="1396"/>
      <c r="O27" s="1397"/>
      <c r="P27" s="171"/>
      <c r="Q27" s="1395" t="str">
        <f>IF('M02-S03'!AE37="","",'M02-S03'!AE37)</f>
        <v/>
      </c>
      <c r="R27" s="1396"/>
      <c r="S27" s="1396"/>
      <c r="T27" s="1396"/>
      <c r="U27" s="1396"/>
      <c r="V27" s="1397"/>
      <c r="W27" s="171"/>
      <c r="X27" s="1395" t="str">
        <f>IF('M02-S03'!AE52="","",'M02-S03'!AE52)</f>
        <v/>
      </c>
      <c r="Y27" s="1396"/>
      <c r="Z27" s="1396"/>
      <c r="AA27" s="1396"/>
      <c r="AB27" s="1396"/>
      <c r="AC27" s="1397"/>
      <c r="AD27" s="63"/>
      <c r="AE27" s="1395" t="str">
        <f>IF('M02-S03'!AE67="","",'M02-S03'!AE67)</f>
        <v/>
      </c>
      <c r="AF27" s="1396"/>
      <c r="AG27" s="1396"/>
      <c r="AH27" s="1396"/>
      <c r="AI27" s="1396"/>
      <c r="AJ27" s="1397"/>
      <c r="AK27" s="63"/>
      <c r="AL27" s="1395" t="str">
        <f>IF('M02-S03'!AE82="","",'M02-S03'!AE82)</f>
        <v/>
      </c>
      <c r="AM27" s="1396"/>
      <c r="AN27" s="1396"/>
      <c r="AO27" s="1396"/>
      <c r="AP27" s="1396"/>
      <c r="AQ27" s="1397"/>
      <c r="AR27" s="171"/>
    </row>
    <row r="28" spans="2:44" ht="15.95" customHeight="1" x14ac:dyDescent="0.25">
      <c r="B28" s="135"/>
      <c r="C28" s="1398" t="s">
        <v>113</v>
      </c>
      <c r="D28" s="1399"/>
      <c r="E28" s="1399"/>
      <c r="F28" s="1399"/>
      <c r="G28" s="1399"/>
      <c r="H28" s="1400"/>
      <c r="I28" s="171"/>
      <c r="J28" s="1398" t="s">
        <v>114</v>
      </c>
      <c r="K28" s="1399"/>
      <c r="L28" s="1399"/>
      <c r="M28" s="1399"/>
      <c r="N28" s="1399"/>
      <c r="O28" s="1400"/>
      <c r="P28" s="171"/>
      <c r="Q28" s="1398" t="s">
        <v>113</v>
      </c>
      <c r="R28" s="1399"/>
      <c r="S28" s="1399"/>
      <c r="T28" s="1399"/>
      <c r="U28" s="1399"/>
      <c r="V28" s="1400"/>
      <c r="W28" s="171"/>
      <c r="X28" s="1398" t="s">
        <v>113</v>
      </c>
      <c r="Y28" s="1399"/>
      <c r="Z28" s="1399"/>
      <c r="AA28" s="1399"/>
      <c r="AB28" s="1399"/>
      <c r="AC28" s="1400"/>
      <c r="AD28" s="63"/>
      <c r="AE28" s="1398" t="s">
        <v>113</v>
      </c>
      <c r="AF28" s="1399"/>
      <c r="AG28" s="1399"/>
      <c r="AH28" s="1399"/>
      <c r="AI28" s="1399"/>
      <c r="AJ28" s="1400"/>
      <c r="AK28" s="63"/>
      <c r="AL28" s="1398" t="s">
        <v>113</v>
      </c>
      <c r="AM28" s="1399"/>
      <c r="AN28" s="1399"/>
      <c r="AO28" s="1399"/>
      <c r="AP28" s="1399"/>
      <c r="AQ28" s="1400"/>
      <c r="AR28" s="171"/>
    </row>
    <row r="29" spans="2:44" ht="15.95" customHeight="1" x14ac:dyDescent="0.25">
      <c r="B29" s="135"/>
      <c r="C29" s="1389" t="str">
        <f>IF(M02S02F19="","",M02S02F19)</f>
        <v/>
      </c>
      <c r="D29" s="1390"/>
      <c r="E29" s="1390"/>
      <c r="F29" s="1390"/>
      <c r="G29" s="1390"/>
      <c r="H29" s="1391"/>
      <c r="I29" s="171"/>
      <c r="J29" s="1389" t="str">
        <f>IF(M02S03F06="","",M02S03F06)</f>
        <v/>
      </c>
      <c r="K29" s="1390"/>
      <c r="L29" s="1390"/>
      <c r="M29" s="1390"/>
      <c r="N29" s="1390"/>
      <c r="O29" s="1391"/>
      <c r="P29" s="171"/>
      <c r="Q29" s="1389" t="str">
        <f>IF('M02-S03'!AE34="","",'M02-S03'!AE34)</f>
        <v/>
      </c>
      <c r="R29" s="1390"/>
      <c r="S29" s="1390"/>
      <c r="T29" s="1390"/>
      <c r="U29" s="1390"/>
      <c r="V29" s="1391"/>
      <c r="W29" s="171"/>
      <c r="X29" s="1389" t="str">
        <f>IF('M02-S03'!AE49="","",'M02-S03'!AE49)</f>
        <v/>
      </c>
      <c r="Y29" s="1390"/>
      <c r="Z29" s="1390"/>
      <c r="AA29" s="1390"/>
      <c r="AB29" s="1390"/>
      <c r="AC29" s="1391"/>
      <c r="AD29" s="63"/>
      <c r="AE29" s="1389" t="str">
        <f>IF('M02-S03'!AE64="","",'M02-S03'!AE64)</f>
        <v/>
      </c>
      <c r="AF29" s="1390"/>
      <c r="AG29" s="1390"/>
      <c r="AH29" s="1390"/>
      <c r="AI29" s="1390"/>
      <c r="AJ29" s="1391"/>
      <c r="AK29" s="63"/>
      <c r="AL29" s="1389" t="str">
        <f>IF('M02-S03'!AE79="","",'M02-S03'!AE79)</f>
        <v/>
      </c>
      <c r="AM29" s="1390"/>
      <c r="AN29" s="1390"/>
      <c r="AO29" s="1390"/>
      <c r="AP29" s="1390"/>
      <c r="AQ29" s="1391"/>
      <c r="AR29" s="171"/>
    </row>
    <row r="30" spans="2:44" ht="15.95" customHeight="1" x14ac:dyDescent="0.25">
      <c r="B30" s="135"/>
      <c r="C30" s="1398" t="s">
        <v>115</v>
      </c>
      <c r="D30" s="1399"/>
      <c r="E30" s="1399"/>
      <c r="F30" s="1399"/>
      <c r="G30" s="1399"/>
      <c r="H30" s="1400"/>
      <c r="I30" s="171"/>
      <c r="J30" s="1398" t="s">
        <v>116</v>
      </c>
      <c r="K30" s="1399"/>
      <c r="L30" s="1399"/>
      <c r="M30" s="1399"/>
      <c r="N30" s="1399"/>
      <c r="O30" s="1400"/>
      <c r="P30" s="171"/>
      <c r="Q30" s="1398" t="s">
        <v>116</v>
      </c>
      <c r="R30" s="1399"/>
      <c r="S30" s="1399"/>
      <c r="T30" s="1399"/>
      <c r="U30" s="1399"/>
      <c r="V30" s="1400"/>
      <c r="W30" s="171"/>
      <c r="X30" s="1398" t="s">
        <v>116</v>
      </c>
      <c r="Y30" s="1399"/>
      <c r="Z30" s="1399"/>
      <c r="AA30" s="1399"/>
      <c r="AB30" s="1399"/>
      <c r="AC30" s="1400"/>
      <c r="AD30" s="63"/>
      <c r="AE30" s="1398" t="s">
        <v>116</v>
      </c>
      <c r="AF30" s="1399"/>
      <c r="AG30" s="1399"/>
      <c r="AH30" s="1399"/>
      <c r="AI30" s="1399"/>
      <c r="AJ30" s="1400"/>
      <c r="AK30" s="63"/>
      <c r="AL30" s="1398" t="s">
        <v>116</v>
      </c>
      <c r="AM30" s="1399"/>
      <c r="AN30" s="1399"/>
      <c r="AO30" s="1399"/>
      <c r="AP30" s="1399"/>
      <c r="AQ30" s="1400"/>
      <c r="AR30" s="171"/>
    </row>
    <row r="31" spans="2:44" ht="15.95" customHeight="1" x14ac:dyDescent="0.25">
      <c r="B31" s="135"/>
      <c r="C31" s="1392" t="str">
        <f>IF(M02S02F21="","",M02S02F21)</f>
        <v/>
      </c>
      <c r="D31" s="1393"/>
      <c r="E31" s="1393"/>
      <c r="F31" s="1393"/>
      <c r="G31" s="1393"/>
      <c r="H31" s="1394"/>
      <c r="I31" s="171"/>
      <c r="J31" s="1392" t="str">
        <f>IF(M02S03F08="","",M02S03F08)</f>
        <v/>
      </c>
      <c r="K31" s="1393"/>
      <c r="L31" s="1393"/>
      <c r="M31" s="1393"/>
      <c r="N31" s="1393"/>
      <c r="O31" s="1394"/>
      <c r="P31" s="171"/>
      <c r="Q31" s="1392" t="str">
        <f>IF('M02-S03'!C37="","",'M02-S03'!C37)</f>
        <v/>
      </c>
      <c r="R31" s="1393"/>
      <c r="S31" s="1393"/>
      <c r="T31" s="1393"/>
      <c r="U31" s="1393"/>
      <c r="V31" s="1394"/>
      <c r="W31" s="171"/>
      <c r="X31" s="1392" t="str">
        <f>IF('M02-S03'!C52="","",'M02-S03'!C52)</f>
        <v/>
      </c>
      <c r="Y31" s="1393"/>
      <c r="Z31" s="1393"/>
      <c r="AA31" s="1393"/>
      <c r="AB31" s="1393"/>
      <c r="AC31" s="1394"/>
      <c r="AD31" s="63"/>
      <c r="AE31" s="1392" t="str">
        <f>IF('M02-S03'!C67="","",'M02-S03'!C67)</f>
        <v/>
      </c>
      <c r="AF31" s="1393"/>
      <c r="AG31" s="1393"/>
      <c r="AH31" s="1393"/>
      <c r="AI31" s="1393"/>
      <c r="AJ31" s="1394"/>
      <c r="AK31" s="63"/>
      <c r="AL31" s="1392" t="str">
        <f>IF('M02-S03'!C82="","",'M02-S03'!C82)</f>
        <v/>
      </c>
      <c r="AM31" s="1393"/>
      <c r="AN31" s="1393"/>
      <c r="AO31" s="1393"/>
      <c r="AP31" s="1393"/>
      <c r="AQ31" s="1394"/>
      <c r="AR31" s="171"/>
    </row>
    <row r="32" spans="2:44" ht="15.95" customHeight="1" x14ac:dyDescent="0.25">
      <c r="B32" s="135"/>
      <c r="C32" s="63"/>
      <c r="D32" s="63"/>
      <c r="E32" s="63"/>
      <c r="F32" s="63"/>
      <c r="G32" s="63"/>
      <c r="H32" s="63"/>
      <c r="I32" s="171"/>
      <c r="J32" s="171"/>
      <c r="K32" s="171"/>
      <c r="L32" s="171"/>
      <c r="M32" s="171"/>
      <c r="N32" s="171"/>
      <c r="O32" s="171"/>
      <c r="P32" s="171"/>
      <c r="Q32" s="171"/>
      <c r="R32" s="171"/>
      <c r="S32" s="171"/>
      <c r="T32" s="171"/>
      <c r="U32" s="171"/>
      <c r="V32" s="171"/>
      <c r="W32" s="171"/>
      <c r="X32" s="63"/>
      <c r="Y32" s="63"/>
      <c r="Z32" s="63"/>
      <c r="AA32" s="63"/>
      <c r="AB32" s="63"/>
      <c r="AC32" s="63"/>
      <c r="AD32" s="63"/>
      <c r="AE32" s="63"/>
      <c r="AF32" s="63"/>
      <c r="AG32" s="63"/>
      <c r="AH32" s="63"/>
      <c r="AI32" s="63"/>
      <c r="AJ32" s="63"/>
      <c r="AK32" s="63"/>
      <c r="AL32" s="63"/>
      <c r="AM32" s="63"/>
      <c r="AN32" s="63"/>
      <c r="AO32" s="63"/>
      <c r="AP32" s="63"/>
      <c r="AQ32" s="63"/>
      <c r="AR32" s="171"/>
    </row>
    <row r="33" spans="2:44" ht="15.95" customHeight="1" x14ac:dyDescent="0.3">
      <c r="B33" s="135"/>
      <c r="C33" s="63"/>
      <c r="D33" s="63"/>
      <c r="E33" s="63"/>
      <c r="F33" s="732" t="s">
        <v>1745</v>
      </c>
      <c r="G33" s="732"/>
      <c r="H33" s="732"/>
      <c r="I33" s="732"/>
      <c r="J33" s="732"/>
      <c r="K33" s="732"/>
      <c r="L33" s="732"/>
      <c r="M33" s="732"/>
      <c r="N33" s="732"/>
      <c r="O33" s="732"/>
      <c r="P33" s="732"/>
      <c r="Q33" s="732"/>
      <c r="R33" s="732"/>
      <c r="S33" s="732"/>
      <c r="T33" s="732"/>
      <c r="U33" s="732"/>
      <c r="V33" s="732"/>
      <c r="W33" s="732"/>
      <c r="X33" s="732"/>
      <c r="Y33" s="732"/>
      <c r="Z33" s="732"/>
      <c r="AA33" s="732"/>
      <c r="AB33" s="732"/>
      <c r="AC33" s="732"/>
      <c r="AD33" s="732"/>
      <c r="AE33" s="732"/>
      <c r="AF33" s="732"/>
      <c r="AG33" s="732"/>
      <c r="AH33" s="732"/>
      <c r="AI33" s="732"/>
      <c r="AJ33" s="732"/>
      <c r="AK33" s="732"/>
      <c r="AL33" s="732"/>
      <c r="AM33" s="732"/>
      <c r="AN33" s="732"/>
      <c r="AO33" s="63"/>
      <c r="AP33" s="63"/>
      <c r="AQ33" s="63"/>
      <c r="AR33" s="171"/>
    </row>
    <row r="34" spans="2:44" s="63" customFormat="1" ht="15.95" customHeight="1" x14ac:dyDescent="0.25">
      <c r="B34" s="135"/>
      <c r="F34" s="1337"/>
      <c r="G34" s="1337"/>
      <c r="H34" s="1337"/>
      <c r="I34" s="1337"/>
      <c r="J34" s="1337"/>
      <c r="K34" s="1337"/>
      <c r="L34" s="1337"/>
      <c r="M34" s="1337"/>
      <c r="N34" s="1337"/>
      <c r="O34" s="1337"/>
      <c r="P34" s="1337"/>
      <c r="Q34" s="1337"/>
      <c r="R34" s="1337"/>
      <c r="S34" s="1337"/>
      <c r="T34" s="1337"/>
      <c r="U34" s="1337"/>
      <c r="V34" s="1337"/>
      <c r="W34" s="1337"/>
      <c r="X34" s="1337"/>
      <c r="Y34" s="1337"/>
      <c r="Z34" s="1337"/>
      <c r="AA34" s="1337"/>
      <c r="AB34" s="1337"/>
      <c r="AC34" s="1337"/>
      <c r="AD34" s="1337"/>
      <c r="AE34" s="1337"/>
      <c r="AF34" s="1337"/>
      <c r="AG34" s="1337"/>
      <c r="AH34" s="1337"/>
      <c r="AI34" s="1337"/>
      <c r="AJ34" s="1337"/>
      <c r="AK34" s="1337"/>
      <c r="AL34" s="1337"/>
      <c r="AM34" s="1337"/>
      <c r="AN34" s="1337"/>
      <c r="AR34" s="171"/>
    </row>
    <row r="35" spans="2:44" s="63" customFormat="1" ht="15.95" customHeight="1" x14ac:dyDescent="0.25">
      <c r="B35" s="135"/>
      <c r="P35" s="1380" t="s">
        <v>93</v>
      </c>
      <c r="Q35" s="1381"/>
      <c r="R35" s="1381"/>
      <c r="S35" s="1381"/>
      <c r="T35" s="1381"/>
      <c r="U35" s="1381"/>
      <c r="V35" s="1382"/>
      <c r="X35" s="1380" t="s">
        <v>117</v>
      </c>
      <c r="Y35" s="1381"/>
      <c r="Z35" s="1381"/>
      <c r="AA35" s="1381"/>
      <c r="AB35" s="1381"/>
      <c r="AC35" s="1381"/>
      <c r="AD35" s="1382"/>
      <c r="AR35" s="135"/>
    </row>
    <row r="36" spans="2:44" s="63" customFormat="1" ht="15.95" customHeight="1" x14ac:dyDescent="0.25">
      <c r="B36" s="135"/>
      <c r="P36" s="1386">
        <f ca="1">KWHSTATUS</f>
        <v>0</v>
      </c>
      <c r="Q36" s="1387"/>
      <c r="R36" s="1387"/>
      <c r="S36" s="1387"/>
      <c r="T36" s="1387"/>
      <c r="U36" s="1387"/>
      <c r="V36" s="1388"/>
      <c r="X36" s="1383" t="str">
        <f ca="1">INCENSTATUS</f>
        <v>---</v>
      </c>
      <c r="Y36" s="1384"/>
      <c r="Z36" s="1384"/>
      <c r="AA36" s="1384"/>
      <c r="AB36" s="1384"/>
      <c r="AC36" s="1384"/>
      <c r="AD36" s="1385"/>
      <c r="AR36" s="135"/>
    </row>
    <row r="37" spans="2:44" s="63" customFormat="1" ht="15.95" customHeight="1" x14ac:dyDescent="0.25">
      <c r="B37" s="135"/>
      <c r="I37" s="135"/>
      <c r="J37" s="470"/>
      <c r="K37" s="470"/>
      <c r="L37" s="470"/>
      <c r="M37" s="470"/>
      <c r="N37" s="470"/>
      <c r="O37" s="470"/>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row>
    <row r="38" spans="2:44" s="63" customFormat="1" ht="15.95" customHeight="1" x14ac:dyDescent="0.25">
      <c r="B38" s="135"/>
      <c r="L38" s="1380" t="s">
        <v>1998</v>
      </c>
      <c r="M38" s="1381"/>
      <c r="N38" s="1381"/>
      <c r="O38" s="1381"/>
      <c r="P38" s="1381"/>
      <c r="Q38" s="1381"/>
      <c r="R38" s="1382"/>
      <c r="T38" s="1380" t="s">
        <v>1997</v>
      </c>
      <c r="U38" s="1381"/>
      <c r="V38" s="1381"/>
      <c r="W38" s="1381"/>
      <c r="X38" s="1381"/>
      <c r="Y38" s="1381"/>
      <c r="Z38" s="1382"/>
      <c r="AB38" s="1380" t="s">
        <v>2270</v>
      </c>
      <c r="AC38" s="1381"/>
      <c r="AD38" s="1381"/>
      <c r="AE38" s="1381"/>
      <c r="AF38" s="1381"/>
      <c r="AG38" s="1381"/>
      <c r="AH38" s="1382"/>
      <c r="AO38" s="135"/>
      <c r="AP38" s="135"/>
      <c r="AQ38" s="135"/>
      <c r="AR38" s="135"/>
    </row>
    <row r="39" spans="2:44" s="63" customFormat="1" ht="15.95" customHeight="1" x14ac:dyDescent="0.25">
      <c r="B39" s="135"/>
      <c r="C39"/>
      <c r="D39"/>
      <c r="E39"/>
      <c r="F39"/>
      <c r="L39" s="1383">
        <f>'M03-S01'!R12</f>
        <v>0</v>
      </c>
      <c r="M39" s="1384"/>
      <c r="N39" s="1384"/>
      <c r="O39" s="1384"/>
      <c r="P39" s="1384"/>
      <c r="Q39" s="1384"/>
      <c r="R39" s="1385"/>
      <c r="T39" s="1383">
        <f>'M03-S02'!R12+'M04-S02'!R12</f>
        <v>0</v>
      </c>
      <c r="U39" s="1384"/>
      <c r="V39" s="1384"/>
      <c r="W39" s="1384"/>
      <c r="X39" s="1384"/>
      <c r="Y39" s="1384"/>
      <c r="Z39" s="1385"/>
      <c r="AB39" s="1383">
        <f>INCENTOTALCUSE</f>
        <v>0</v>
      </c>
      <c r="AC39" s="1384"/>
      <c r="AD39" s="1384"/>
      <c r="AE39" s="1384"/>
      <c r="AF39" s="1384"/>
      <c r="AG39" s="1384"/>
      <c r="AH39" s="1385"/>
      <c r="AO39"/>
      <c r="AP39"/>
      <c r="AQ39"/>
      <c r="AR39" s="135"/>
    </row>
    <row r="40" spans="2:44" s="63" customFormat="1" ht="15.95" customHeight="1" x14ac:dyDescent="0.25">
      <c r="B40" s="135"/>
      <c r="C40"/>
      <c r="D40"/>
      <c r="E40"/>
      <c r="AI40"/>
      <c r="AJ40"/>
      <c r="AK40"/>
      <c r="AL40"/>
      <c r="AM40"/>
      <c r="AN40"/>
      <c r="AO40"/>
      <c r="AP40"/>
      <c r="AQ40"/>
      <c r="AR40" s="135"/>
    </row>
    <row r="41" spans="2:44" s="63" customFormat="1" ht="15.95" hidden="1" customHeight="1" x14ac:dyDescent="0.25">
      <c r="C41"/>
      <c r="D41"/>
      <c r="E41"/>
      <c r="AI41"/>
      <c r="AJ41"/>
      <c r="AK41"/>
      <c r="AL41"/>
      <c r="AM41"/>
      <c r="AN41"/>
      <c r="AO41"/>
      <c r="AP41"/>
      <c r="AQ41"/>
    </row>
    <row r="42" spans="2:44" s="63" customFormat="1" ht="15.95" hidden="1" customHeight="1" x14ac:dyDescent="0.25">
      <c r="C42"/>
      <c r="D42"/>
      <c r="E42"/>
      <c r="F42"/>
      <c r="G42"/>
      <c r="H42"/>
      <c r="I42"/>
      <c r="J42"/>
      <c r="K42"/>
      <c r="S42"/>
      <c r="T42"/>
      <c r="U42"/>
      <c r="V42"/>
      <c r="W42"/>
      <c r="X42"/>
      <c r="Y42"/>
      <c r="Z42"/>
      <c r="AA42"/>
      <c r="AB42"/>
      <c r="AC42"/>
      <c r="AD42"/>
      <c r="AE42"/>
      <c r="AF42"/>
      <c r="AG42"/>
      <c r="AH42"/>
      <c r="AI42"/>
      <c r="AJ42"/>
      <c r="AK42"/>
      <c r="AL42"/>
      <c r="AM42"/>
      <c r="AN42"/>
      <c r="AO42"/>
      <c r="AP42"/>
      <c r="AQ42"/>
    </row>
    <row r="43" spans="2:44" s="63" customFormat="1" ht="15.95" hidden="1" customHeight="1" x14ac:dyDescent="0.25">
      <c r="C43"/>
      <c r="D43"/>
      <c r="E43"/>
      <c r="F43"/>
      <c r="G43"/>
      <c r="H43"/>
      <c r="I43"/>
      <c r="J43"/>
      <c r="K43"/>
      <c r="AI43"/>
      <c r="AJ43"/>
      <c r="AK43"/>
      <c r="AL43"/>
      <c r="AM43"/>
      <c r="AN43"/>
      <c r="AO43"/>
      <c r="AP43"/>
      <c r="AQ43"/>
    </row>
    <row r="44" spans="2:44" s="63" customFormat="1" ht="15.95" hidden="1" customHeight="1" x14ac:dyDescent="0.25">
      <c r="C44"/>
      <c r="D44"/>
      <c r="E44"/>
      <c r="F44"/>
      <c r="G44"/>
      <c r="H44"/>
      <c r="I44"/>
      <c r="J44"/>
      <c r="K44"/>
      <c r="AI44"/>
      <c r="AJ44"/>
      <c r="AK44"/>
      <c r="AL44"/>
      <c r="AM44"/>
      <c r="AN44"/>
      <c r="AO44"/>
      <c r="AP44"/>
      <c r="AQ44"/>
    </row>
    <row r="45" spans="2:44" s="63" customFormat="1" ht="15.95" hidden="1" customHeight="1" x14ac:dyDescent="0.2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row>
    <row r="46" spans="2:44" s="63" customFormat="1" ht="15.95" hidden="1" customHeight="1" x14ac:dyDescent="0.25">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row>
    <row r="47" spans="2:44" s="63" customFormat="1" ht="15.95" hidden="1" customHeight="1" x14ac:dyDescent="0.25">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row>
    <row r="48" spans="2:44" s="63" customFormat="1" ht="15.95" hidden="1" customHeight="1" x14ac:dyDescent="0.25">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row>
    <row r="49" spans="3:43" s="63" customFormat="1" ht="15.95" hidden="1" customHeight="1" x14ac:dyDescent="0.25">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row>
    <row r="50" spans="3:43" s="63" customFormat="1" ht="15.95" hidden="1" customHeight="1" x14ac:dyDescent="0.25">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row>
    <row r="51" spans="3:43" s="63" customFormat="1" ht="15.95" hidden="1" customHeight="1" x14ac:dyDescent="0.25">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row>
    <row r="52" spans="3:43" s="63" customFormat="1" ht="15.95" hidden="1" customHeight="1" x14ac:dyDescent="0.25">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row>
    <row r="53" spans="3:43" s="63" customFormat="1" ht="15.95" hidden="1" customHeight="1" x14ac:dyDescent="0.25">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row>
    <row r="54" spans="3:43" s="63" customFormat="1" ht="15.95" hidden="1" customHeight="1" x14ac:dyDescent="0.25">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row>
    <row r="55" spans="3:43" s="63" customFormat="1" ht="15.95" hidden="1" customHeight="1" x14ac:dyDescent="0.2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row>
    <row r="56" spans="3:43" s="63" customFormat="1" ht="15.95" hidden="1" customHeight="1" x14ac:dyDescent="0.25">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row>
    <row r="57" spans="3:43" s="63" customFormat="1" ht="15.95" hidden="1" customHeight="1" x14ac:dyDescent="0.25">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row>
    <row r="58" spans="3:43" s="63" customFormat="1" ht="15.95" hidden="1" customHeight="1" x14ac:dyDescent="0.25">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row>
    <row r="59" spans="3:43" s="63" customFormat="1" ht="15.95" hidden="1" customHeight="1" x14ac:dyDescent="0.25">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row>
    <row r="60" spans="3:43" s="63" customFormat="1" ht="15.95" hidden="1" customHeight="1" x14ac:dyDescent="0.25">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row>
    <row r="61" spans="3:43" s="63" customFormat="1" ht="15.95" hidden="1" customHeight="1" x14ac:dyDescent="0.25">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row>
    <row r="62" spans="3:43" s="63" customFormat="1" ht="15.95" hidden="1" customHeight="1" x14ac:dyDescent="0.25">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row>
    <row r="63" spans="3:43" s="63" customFormat="1" ht="15.95" hidden="1" customHeight="1" x14ac:dyDescent="0.25">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row>
    <row r="64" spans="3:43" s="63" customFormat="1" ht="15.95" hidden="1" customHeight="1" x14ac:dyDescent="0.25">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row>
    <row r="65" spans="3:43" s="63" customFormat="1" ht="15.95" hidden="1" customHeight="1" x14ac:dyDescent="0.2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3:43" s="63" customFormat="1" ht="15.95" hidden="1" customHeight="1" x14ac:dyDescent="0.25">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row>
    <row r="67" spans="3:43" s="63" customFormat="1" ht="15.95" hidden="1" customHeight="1" x14ac:dyDescent="0.25">
      <c r="C67" s="135"/>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5"/>
      <c r="AI67" s="135"/>
      <c r="AJ67" s="135"/>
      <c r="AK67" s="135"/>
      <c r="AL67" s="135"/>
      <c r="AM67" s="135"/>
      <c r="AN67" s="135"/>
      <c r="AO67" s="135"/>
      <c r="AP67" s="135"/>
      <c r="AQ67" s="135"/>
    </row>
    <row r="68" spans="3:43" s="63" customFormat="1" ht="15.95" hidden="1" customHeight="1" x14ac:dyDescent="0.25">
      <c r="C68" s="471"/>
      <c r="D68" s="471"/>
      <c r="E68" s="471"/>
      <c r="F68" s="471"/>
      <c r="G68" s="471"/>
      <c r="H68" s="471"/>
      <c r="J68" s="471"/>
      <c r="K68" s="471"/>
      <c r="L68" s="471"/>
      <c r="M68" s="471"/>
      <c r="N68" s="471"/>
      <c r="O68" s="471"/>
    </row>
    <row r="69" spans="3:43" s="63" customFormat="1" ht="15.95" hidden="1" customHeight="1" x14ac:dyDescent="0.25">
      <c r="C69" s="113"/>
      <c r="D69" s="113"/>
      <c r="E69" s="113"/>
      <c r="F69" s="113"/>
      <c r="G69" s="113"/>
      <c r="H69" s="113"/>
      <c r="J69" s="113"/>
      <c r="K69" s="113"/>
      <c r="L69" s="113"/>
      <c r="M69" s="113"/>
      <c r="N69" s="113"/>
      <c r="O69" s="113"/>
    </row>
    <row r="70" spans="3:43" s="63" customFormat="1" ht="15.95" hidden="1" customHeight="1" x14ac:dyDescent="0.25">
      <c r="C70" s="113"/>
      <c r="D70" s="113"/>
      <c r="E70" s="113"/>
      <c r="F70" s="113"/>
      <c r="G70" s="113"/>
      <c r="H70" s="113"/>
      <c r="J70" s="113"/>
      <c r="K70" s="113"/>
      <c r="L70" s="113"/>
      <c r="M70" s="113"/>
      <c r="N70" s="113"/>
      <c r="O70" s="113"/>
    </row>
    <row r="71" spans="3:43" s="63" customFormat="1" ht="15.95" hidden="1" customHeight="1" x14ac:dyDescent="0.25">
      <c r="C71" s="113"/>
      <c r="D71" s="113"/>
      <c r="E71" s="113"/>
      <c r="F71" s="113"/>
      <c r="G71" s="113"/>
      <c r="H71" s="113"/>
      <c r="J71" s="113"/>
      <c r="K71" s="113"/>
      <c r="L71" s="113"/>
      <c r="M71" s="113"/>
      <c r="N71" s="113"/>
      <c r="O71" s="113"/>
    </row>
    <row r="72" spans="3:43" s="63" customFormat="1" ht="15.95" hidden="1" customHeight="1" x14ac:dyDescent="0.25">
      <c r="C72" s="113"/>
      <c r="D72" s="113"/>
      <c r="E72" s="113"/>
      <c r="F72" s="113"/>
      <c r="G72" s="113"/>
      <c r="H72" s="113"/>
      <c r="J72" s="113"/>
      <c r="K72" s="113"/>
      <c r="L72" s="113"/>
      <c r="M72" s="113"/>
      <c r="N72" s="113"/>
      <c r="O72" s="113"/>
    </row>
    <row r="73" spans="3:43" s="63" customFormat="1" ht="15.95" hidden="1" customHeight="1" x14ac:dyDescent="0.25">
      <c r="C73" s="113"/>
      <c r="D73" s="113"/>
      <c r="E73" s="113"/>
      <c r="F73" s="113"/>
      <c r="G73" s="113"/>
      <c r="H73" s="113"/>
      <c r="J73" s="113"/>
      <c r="K73" s="113"/>
      <c r="L73" s="113"/>
      <c r="M73" s="113"/>
      <c r="N73" s="113"/>
      <c r="O73" s="113"/>
    </row>
    <row r="74" spans="3:43" s="63" customFormat="1" ht="15.95" hidden="1" customHeight="1" x14ac:dyDescent="0.25">
      <c r="C74" s="113"/>
      <c r="D74" s="113"/>
      <c r="E74" s="113"/>
      <c r="F74" s="113"/>
      <c r="G74" s="113"/>
      <c r="H74" s="113"/>
      <c r="J74" s="113"/>
      <c r="K74" s="113"/>
      <c r="L74" s="113"/>
      <c r="M74" s="113"/>
      <c r="N74" s="113"/>
      <c r="O74" s="113"/>
    </row>
    <row r="75" spans="3:43" s="63" customFormat="1" ht="15.95" hidden="1" customHeight="1" x14ac:dyDescent="0.25">
      <c r="C75" s="113"/>
      <c r="D75" s="113"/>
      <c r="E75" s="113"/>
      <c r="F75" s="113"/>
      <c r="G75" s="113"/>
      <c r="H75" s="113"/>
      <c r="J75" s="113"/>
      <c r="K75" s="113"/>
      <c r="L75" s="113"/>
      <c r="M75" s="113"/>
      <c r="N75" s="113"/>
      <c r="O75" s="113"/>
    </row>
    <row r="76" spans="3:43" s="63" customFormat="1" ht="15.95" hidden="1" customHeight="1" x14ac:dyDescent="0.25">
      <c r="C76" s="113"/>
      <c r="D76" s="113"/>
      <c r="E76" s="113"/>
      <c r="F76" s="113"/>
      <c r="G76" s="113"/>
      <c r="H76" s="113"/>
      <c r="J76" s="113"/>
      <c r="K76" s="113"/>
      <c r="L76" s="113"/>
      <c r="M76" s="113"/>
      <c r="N76" s="113"/>
      <c r="O76" s="113"/>
    </row>
    <row r="77" spans="3:43" s="63" customFormat="1" ht="15.95" hidden="1" customHeight="1" x14ac:dyDescent="0.25">
      <c r="C77" s="113"/>
      <c r="D77" s="113"/>
      <c r="E77" s="113"/>
      <c r="F77" s="113"/>
      <c r="G77" s="113"/>
      <c r="H77" s="113"/>
      <c r="J77" s="113"/>
      <c r="K77" s="113"/>
      <c r="L77" s="113"/>
      <c r="M77" s="113"/>
      <c r="N77" s="113"/>
      <c r="O77" s="113"/>
    </row>
    <row r="78" spans="3:43" s="63" customFormat="1" ht="15.95" hidden="1" customHeight="1" x14ac:dyDescent="0.25">
      <c r="C78" s="113"/>
      <c r="D78" s="113"/>
      <c r="E78" s="113"/>
      <c r="F78" s="113"/>
      <c r="G78" s="113"/>
      <c r="H78" s="113"/>
      <c r="J78" s="113"/>
      <c r="K78" s="113"/>
      <c r="L78" s="113"/>
      <c r="M78" s="113"/>
      <c r="N78" s="113"/>
      <c r="O78" s="113"/>
    </row>
    <row r="79" spans="3:43" s="63" customFormat="1" ht="15.95" hidden="1" customHeight="1" x14ac:dyDescent="0.25">
      <c r="C79" s="113"/>
      <c r="D79" s="113"/>
      <c r="E79" s="113"/>
      <c r="F79" s="113"/>
      <c r="G79" s="113"/>
      <c r="H79" s="113"/>
      <c r="J79" s="113"/>
      <c r="K79" s="113"/>
      <c r="L79" s="113"/>
      <c r="M79" s="113"/>
      <c r="N79" s="113"/>
      <c r="O79" s="113"/>
    </row>
    <row r="80" spans="3:43" s="63" customFormat="1" ht="15.95" hidden="1" customHeight="1" x14ac:dyDescent="0.25">
      <c r="C80" s="113"/>
      <c r="D80" s="113"/>
      <c r="E80" s="113"/>
      <c r="F80" s="113"/>
      <c r="G80" s="113"/>
      <c r="H80" s="113"/>
      <c r="J80" s="113"/>
      <c r="K80" s="113"/>
      <c r="L80" s="113"/>
      <c r="M80" s="113"/>
      <c r="N80" s="113"/>
      <c r="O80" s="113"/>
    </row>
    <row r="81" spans="3:15" s="63" customFormat="1" ht="15.95" hidden="1" customHeight="1" x14ac:dyDescent="0.25">
      <c r="C81" s="113"/>
      <c r="D81" s="113"/>
      <c r="E81" s="113"/>
      <c r="F81" s="113"/>
      <c r="G81" s="113"/>
      <c r="H81" s="113"/>
      <c r="J81" s="113"/>
      <c r="K81" s="113"/>
      <c r="L81" s="113"/>
      <c r="M81" s="113"/>
      <c r="N81" s="113"/>
      <c r="O81" s="113"/>
    </row>
    <row r="82" spans="3:15" s="63" customFormat="1" ht="15.95" hidden="1" customHeight="1" x14ac:dyDescent="0.25">
      <c r="C82" s="113"/>
      <c r="D82" s="113"/>
      <c r="E82" s="113"/>
      <c r="F82" s="113"/>
      <c r="G82" s="113"/>
      <c r="H82" s="113"/>
      <c r="J82" s="113"/>
      <c r="K82" s="113"/>
      <c r="L82" s="113"/>
      <c r="M82" s="113"/>
      <c r="N82" s="113"/>
      <c r="O82" s="113"/>
    </row>
    <row r="83" spans="3:15" s="63" customFormat="1" ht="15.95" hidden="1" customHeight="1" x14ac:dyDescent="0.25">
      <c r="C83" s="113"/>
      <c r="D83" s="113"/>
      <c r="E83" s="113"/>
      <c r="F83" s="113"/>
      <c r="G83" s="113"/>
      <c r="H83" s="113"/>
      <c r="J83" s="113"/>
      <c r="K83" s="113"/>
      <c r="L83" s="113"/>
      <c r="M83" s="113"/>
      <c r="N83" s="113"/>
      <c r="O83" s="113"/>
    </row>
    <row r="84" spans="3:15" s="63" customFormat="1" ht="15.95" hidden="1" customHeight="1" x14ac:dyDescent="0.25">
      <c r="C84" s="113"/>
      <c r="D84" s="113"/>
      <c r="E84" s="113"/>
      <c r="F84" s="113"/>
      <c r="G84" s="113"/>
      <c r="H84" s="113"/>
      <c r="J84" s="113"/>
      <c r="K84" s="113"/>
      <c r="L84" s="113"/>
      <c r="M84" s="113"/>
      <c r="N84" s="113"/>
      <c r="O84" s="113"/>
    </row>
    <row r="85" spans="3:15" s="63" customFormat="1" ht="15.95" hidden="1" customHeight="1" x14ac:dyDescent="0.25">
      <c r="C85" s="113"/>
      <c r="D85" s="113"/>
      <c r="E85" s="113"/>
      <c r="F85" s="113"/>
      <c r="G85" s="113"/>
      <c r="H85" s="113"/>
      <c r="J85" s="113"/>
      <c r="K85" s="113"/>
      <c r="L85" s="113"/>
      <c r="M85" s="113"/>
      <c r="N85" s="113"/>
      <c r="O85" s="113"/>
    </row>
    <row r="86" spans="3:15" s="63" customFormat="1" ht="15.95" hidden="1" customHeight="1" x14ac:dyDescent="0.25">
      <c r="C86" s="113"/>
      <c r="D86" s="113"/>
      <c r="E86" s="113"/>
      <c r="F86" s="113"/>
      <c r="G86" s="113"/>
      <c r="H86" s="113"/>
      <c r="J86" s="113"/>
      <c r="K86" s="113"/>
      <c r="L86" s="113"/>
      <c r="M86" s="113"/>
      <c r="N86" s="113"/>
      <c r="O86" s="113"/>
    </row>
    <row r="87" spans="3:15" s="63" customFormat="1" ht="15.95" hidden="1" customHeight="1" x14ac:dyDescent="0.25">
      <c r="C87" s="113"/>
      <c r="D87" s="113"/>
      <c r="E87" s="113"/>
      <c r="F87" s="113"/>
      <c r="G87" s="113"/>
      <c r="H87" s="113"/>
      <c r="J87" s="113"/>
      <c r="K87" s="113"/>
      <c r="L87" s="113"/>
      <c r="M87" s="113"/>
      <c r="N87" s="113"/>
      <c r="O87" s="113"/>
    </row>
    <row r="88" spans="3:15" s="63" customFormat="1" ht="15.95" hidden="1" customHeight="1" x14ac:dyDescent="0.25">
      <c r="C88" s="113"/>
      <c r="D88" s="113"/>
      <c r="E88" s="113"/>
      <c r="F88" s="113"/>
      <c r="G88" s="113"/>
      <c r="H88" s="113"/>
      <c r="J88" s="113"/>
      <c r="K88" s="113"/>
      <c r="L88" s="113"/>
      <c r="M88" s="113"/>
      <c r="N88" s="113"/>
      <c r="O88" s="113"/>
    </row>
    <row r="89" spans="3:15" s="63" customFormat="1" ht="15.95" hidden="1" customHeight="1" x14ac:dyDescent="0.25">
      <c r="C89" s="113"/>
      <c r="D89" s="113"/>
      <c r="E89" s="113"/>
      <c r="F89" s="113"/>
      <c r="G89" s="113"/>
      <c r="H89" s="113"/>
      <c r="J89" s="113"/>
      <c r="K89" s="113"/>
      <c r="L89" s="113"/>
      <c r="M89" s="113"/>
      <c r="N89" s="113"/>
      <c r="O89" s="113"/>
    </row>
    <row r="90" spans="3:15" s="63" customFormat="1" ht="15.95" hidden="1" customHeight="1" x14ac:dyDescent="0.25">
      <c r="C90" s="113"/>
      <c r="D90" s="113"/>
      <c r="E90" s="113"/>
      <c r="F90" s="113"/>
      <c r="G90" s="113"/>
      <c r="H90" s="113"/>
      <c r="J90" s="113"/>
      <c r="K90" s="113"/>
      <c r="L90" s="113"/>
      <c r="M90" s="113"/>
      <c r="N90" s="113"/>
      <c r="O90" s="113"/>
    </row>
    <row r="91" spans="3:15" s="63" customFormat="1" ht="15.95" hidden="1" customHeight="1" x14ac:dyDescent="0.25">
      <c r="C91" s="113"/>
      <c r="D91" s="113"/>
      <c r="E91" s="113"/>
      <c r="F91" s="113"/>
      <c r="G91" s="113"/>
      <c r="H91" s="113"/>
      <c r="J91" s="113"/>
      <c r="K91" s="113"/>
      <c r="L91" s="113"/>
      <c r="M91" s="113"/>
      <c r="N91" s="113"/>
      <c r="O91" s="113"/>
    </row>
    <row r="92" spans="3:15" s="63" customFormat="1" ht="15.95" hidden="1" customHeight="1" x14ac:dyDescent="0.25">
      <c r="C92" s="113"/>
      <c r="D92" s="113"/>
      <c r="E92" s="113"/>
      <c r="F92" s="113"/>
      <c r="G92" s="113"/>
      <c r="H92" s="113"/>
      <c r="J92" s="113"/>
      <c r="K92" s="113"/>
      <c r="L92" s="113"/>
      <c r="M92" s="113"/>
      <c r="N92" s="113"/>
      <c r="O92" s="113"/>
    </row>
    <row r="93" spans="3:15" s="63" customFormat="1" ht="15.95" hidden="1" customHeight="1" x14ac:dyDescent="0.25">
      <c r="C93" s="113"/>
      <c r="D93" s="113"/>
      <c r="E93" s="113"/>
      <c r="F93" s="113"/>
      <c r="G93" s="113"/>
      <c r="H93" s="113"/>
      <c r="J93" s="113"/>
      <c r="K93" s="113"/>
      <c r="L93" s="113"/>
      <c r="M93" s="113"/>
      <c r="N93" s="113"/>
      <c r="O93" s="113"/>
    </row>
    <row r="94" spans="3:15" s="63" customFormat="1" ht="15.95" hidden="1" customHeight="1" x14ac:dyDescent="0.25">
      <c r="C94" s="113"/>
      <c r="D94" s="113"/>
      <c r="E94" s="113"/>
      <c r="F94" s="113"/>
      <c r="G94" s="113"/>
      <c r="H94" s="113"/>
      <c r="J94" s="113"/>
      <c r="K94" s="113"/>
      <c r="L94" s="113"/>
      <c r="M94" s="113"/>
      <c r="N94" s="113"/>
      <c r="O94" s="113"/>
    </row>
    <row r="95" spans="3:15" s="63" customFormat="1" ht="15.95" hidden="1" customHeight="1" x14ac:dyDescent="0.25">
      <c r="C95" s="113"/>
      <c r="D95" s="113"/>
      <c r="E95" s="113"/>
      <c r="F95" s="113"/>
      <c r="G95" s="113"/>
      <c r="H95" s="113"/>
      <c r="J95" s="113"/>
      <c r="K95" s="113"/>
      <c r="L95" s="113"/>
      <c r="M95" s="113"/>
      <c r="N95" s="113"/>
      <c r="O95" s="113"/>
    </row>
    <row r="96" spans="3:15" s="63" customFormat="1" ht="15.95" hidden="1" customHeight="1" x14ac:dyDescent="0.25">
      <c r="C96" s="113"/>
      <c r="D96" s="113"/>
      <c r="E96" s="113"/>
      <c r="F96" s="113"/>
      <c r="G96" s="113"/>
      <c r="H96" s="113"/>
      <c r="J96" s="113"/>
      <c r="K96" s="113"/>
      <c r="L96" s="113"/>
      <c r="M96" s="113"/>
      <c r="N96" s="113"/>
      <c r="O96" s="113"/>
    </row>
    <row r="97" spans="3:15" s="63" customFormat="1" ht="15.95" hidden="1" customHeight="1" x14ac:dyDescent="0.25">
      <c r="C97" s="113"/>
      <c r="D97" s="113"/>
      <c r="E97" s="113"/>
      <c r="F97" s="113"/>
      <c r="G97" s="113"/>
      <c r="H97" s="113"/>
      <c r="J97" s="113"/>
      <c r="K97" s="113"/>
      <c r="L97" s="113"/>
      <c r="M97" s="113"/>
      <c r="N97" s="113"/>
      <c r="O97" s="113"/>
    </row>
    <row r="98" spans="3:15" s="63" customFormat="1" ht="15.95" hidden="1" customHeight="1" x14ac:dyDescent="0.25">
      <c r="C98" s="113"/>
      <c r="D98" s="113"/>
      <c r="E98" s="113"/>
      <c r="F98" s="113"/>
      <c r="G98" s="113"/>
      <c r="H98" s="113"/>
      <c r="J98" s="113"/>
      <c r="K98" s="113"/>
      <c r="L98" s="113"/>
      <c r="M98" s="113"/>
      <c r="N98" s="113"/>
      <c r="O98" s="113"/>
    </row>
    <row r="99" spans="3:15" s="63" customFormat="1" ht="15.95" hidden="1" customHeight="1" x14ac:dyDescent="0.25">
      <c r="C99" s="113"/>
      <c r="D99" s="113"/>
      <c r="E99" s="113"/>
      <c r="F99" s="113"/>
      <c r="G99" s="113"/>
      <c r="H99" s="113"/>
      <c r="J99" s="113"/>
      <c r="K99" s="113"/>
      <c r="L99" s="113"/>
      <c r="M99" s="113"/>
      <c r="N99" s="113"/>
      <c r="O99" s="113"/>
    </row>
    <row r="100" spans="3:15" s="63" customFormat="1" ht="15.95" hidden="1" customHeight="1" x14ac:dyDescent="0.25">
      <c r="C100" s="113"/>
      <c r="D100" s="113"/>
      <c r="E100" s="113"/>
      <c r="F100" s="113"/>
      <c r="G100" s="113"/>
      <c r="H100" s="113"/>
      <c r="J100" s="113"/>
      <c r="K100" s="113"/>
      <c r="L100" s="113"/>
      <c r="M100" s="113"/>
      <c r="N100" s="113"/>
      <c r="O100" s="113"/>
    </row>
    <row r="101" spans="3:15" s="63" customFormat="1" ht="15.95" hidden="1" customHeight="1" x14ac:dyDescent="0.25">
      <c r="C101" s="113"/>
      <c r="D101" s="113"/>
      <c r="E101" s="113"/>
      <c r="F101" s="113"/>
      <c r="G101" s="113"/>
      <c r="H101" s="113"/>
      <c r="J101" s="113"/>
      <c r="K101" s="113"/>
      <c r="L101" s="113"/>
      <c r="M101" s="113"/>
      <c r="N101" s="113"/>
      <c r="O101" s="113"/>
    </row>
    <row r="102" spans="3:15" s="63" customFormat="1" ht="15.95" hidden="1" customHeight="1" x14ac:dyDescent="0.25">
      <c r="C102" s="113"/>
      <c r="D102" s="113"/>
      <c r="E102" s="113"/>
      <c r="F102" s="113"/>
      <c r="G102" s="113"/>
      <c r="H102" s="113"/>
      <c r="J102" s="113"/>
      <c r="K102" s="113"/>
      <c r="L102" s="113"/>
      <c r="M102" s="113"/>
      <c r="N102" s="113"/>
      <c r="O102" s="113"/>
    </row>
    <row r="103" spans="3:15" s="63" customFormat="1" ht="15.95" hidden="1" customHeight="1" x14ac:dyDescent="0.25">
      <c r="C103" s="113"/>
      <c r="D103" s="113"/>
      <c r="E103" s="113"/>
      <c r="F103" s="113"/>
      <c r="G103" s="113"/>
      <c r="H103" s="113"/>
      <c r="J103" s="113"/>
      <c r="K103" s="113"/>
      <c r="L103" s="113"/>
      <c r="M103" s="113"/>
      <c r="N103" s="113"/>
      <c r="O103" s="113"/>
    </row>
    <row r="104" spans="3:15" s="63" customFormat="1" ht="15.95" hidden="1" customHeight="1" x14ac:dyDescent="0.25">
      <c r="C104" s="113"/>
      <c r="D104" s="113"/>
      <c r="E104" s="113"/>
      <c r="F104" s="113"/>
      <c r="G104" s="113"/>
      <c r="H104" s="113"/>
      <c r="J104" s="113"/>
      <c r="K104" s="113"/>
      <c r="L104" s="113"/>
      <c r="M104" s="113"/>
      <c r="N104" s="113"/>
      <c r="O104" s="113"/>
    </row>
    <row r="105" spans="3:15" s="63" customFormat="1" ht="15.95" hidden="1" customHeight="1" x14ac:dyDescent="0.25">
      <c r="C105" s="113"/>
      <c r="D105" s="113"/>
      <c r="E105" s="113"/>
      <c r="F105" s="113"/>
      <c r="G105" s="113"/>
      <c r="H105" s="113"/>
      <c r="J105" s="113"/>
      <c r="K105" s="113"/>
      <c r="L105" s="113"/>
      <c r="M105" s="113"/>
      <c r="N105" s="113"/>
      <c r="O105" s="113"/>
    </row>
    <row r="106" spans="3:15" s="63" customFormat="1" ht="15.95" hidden="1" customHeight="1" x14ac:dyDescent="0.25">
      <c r="C106" s="113"/>
      <c r="D106" s="113"/>
      <c r="E106" s="113"/>
      <c r="F106" s="113"/>
      <c r="G106" s="113"/>
      <c r="H106" s="113"/>
      <c r="J106" s="113"/>
      <c r="K106" s="113"/>
      <c r="L106" s="113"/>
      <c r="M106" s="113"/>
      <c r="N106" s="113"/>
      <c r="O106" s="113"/>
    </row>
    <row r="107" spans="3:15" s="63" customFormat="1" ht="15.95" hidden="1" customHeight="1" x14ac:dyDescent="0.25">
      <c r="C107" s="113"/>
      <c r="D107" s="113"/>
      <c r="E107" s="113"/>
      <c r="F107" s="113"/>
      <c r="G107" s="113"/>
      <c r="H107" s="113"/>
      <c r="J107" s="113"/>
      <c r="K107" s="113"/>
      <c r="L107" s="113"/>
      <c r="M107" s="113"/>
      <c r="N107" s="113"/>
      <c r="O107" s="113"/>
    </row>
    <row r="108" spans="3:15" s="63" customFormat="1" ht="15.95" hidden="1" customHeight="1" x14ac:dyDescent="0.25">
      <c r="C108" s="113"/>
      <c r="D108" s="113"/>
      <c r="E108" s="113"/>
      <c r="F108" s="113"/>
      <c r="G108" s="113"/>
      <c r="H108" s="113"/>
      <c r="J108" s="113"/>
      <c r="K108" s="113"/>
      <c r="L108" s="113"/>
      <c r="M108" s="113"/>
      <c r="N108" s="113"/>
      <c r="O108" s="113"/>
    </row>
    <row r="109" spans="3:15" s="63" customFormat="1" ht="15.95" hidden="1" customHeight="1" x14ac:dyDescent="0.25">
      <c r="C109" s="113"/>
      <c r="D109" s="113"/>
      <c r="E109" s="113"/>
      <c r="F109" s="113"/>
      <c r="G109" s="113"/>
      <c r="H109" s="113"/>
      <c r="J109" s="113"/>
      <c r="K109" s="113"/>
      <c r="L109" s="113"/>
      <c r="M109" s="113"/>
      <c r="N109" s="113"/>
      <c r="O109" s="113"/>
    </row>
    <row r="110" spans="3:15" s="63" customFormat="1" ht="15.95" hidden="1" customHeight="1" x14ac:dyDescent="0.25">
      <c r="C110" s="113"/>
      <c r="D110" s="113"/>
      <c r="E110" s="113"/>
      <c r="F110" s="113"/>
      <c r="G110" s="113"/>
      <c r="H110" s="113"/>
      <c r="J110" s="113"/>
      <c r="K110" s="113"/>
      <c r="L110" s="113"/>
      <c r="M110" s="113"/>
      <c r="N110" s="113"/>
      <c r="O110" s="113"/>
    </row>
    <row r="111" spans="3:15" s="63" customFormat="1" ht="15.95" hidden="1" customHeight="1" x14ac:dyDescent="0.25">
      <c r="C111" s="113"/>
      <c r="D111" s="113"/>
      <c r="E111" s="113"/>
      <c r="F111" s="113"/>
      <c r="G111" s="113"/>
      <c r="H111" s="113"/>
      <c r="J111" s="113"/>
      <c r="K111" s="113"/>
      <c r="L111" s="113"/>
      <c r="M111" s="113"/>
      <c r="N111" s="113"/>
      <c r="O111" s="113"/>
    </row>
    <row r="112" spans="3:15" s="63" customFormat="1" ht="15.95" hidden="1" customHeight="1" x14ac:dyDescent="0.25">
      <c r="C112" s="113"/>
      <c r="D112" s="113"/>
      <c r="E112" s="113"/>
      <c r="F112" s="113"/>
      <c r="G112" s="113"/>
      <c r="H112" s="113"/>
      <c r="J112" s="113"/>
      <c r="K112" s="113"/>
      <c r="L112" s="113"/>
      <c r="M112" s="113"/>
      <c r="N112" s="113"/>
      <c r="O112" s="113"/>
    </row>
    <row r="113" spans="3:15" s="63" customFormat="1" ht="15.95" hidden="1" customHeight="1" x14ac:dyDescent="0.25">
      <c r="C113" s="113"/>
      <c r="D113" s="113"/>
      <c r="E113" s="113"/>
      <c r="F113" s="113"/>
      <c r="G113" s="113"/>
      <c r="H113" s="113"/>
      <c r="J113" s="113"/>
      <c r="K113" s="113"/>
      <c r="L113" s="113"/>
      <c r="M113" s="113"/>
      <c r="N113" s="113"/>
      <c r="O113" s="113"/>
    </row>
    <row r="114" spans="3:15" s="63" customFormat="1" ht="15.95" hidden="1" customHeight="1" x14ac:dyDescent="0.25">
      <c r="C114" s="113"/>
      <c r="D114" s="113"/>
      <c r="E114" s="113"/>
      <c r="F114" s="113"/>
      <c r="G114" s="113"/>
      <c r="H114" s="113"/>
      <c r="J114" s="113"/>
      <c r="K114" s="113"/>
      <c r="L114" s="113"/>
      <c r="M114" s="113"/>
      <c r="N114" s="113"/>
      <c r="O114" s="113"/>
    </row>
    <row r="115" spans="3:15" s="63" customFormat="1" ht="15.95" hidden="1" customHeight="1" x14ac:dyDescent="0.25">
      <c r="C115" s="113"/>
      <c r="D115" s="113"/>
      <c r="E115" s="113"/>
      <c r="F115" s="113"/>
      <c r="G115" s="113"/>
      <c r="H115" s="113"/>
      <c r="J115" s="113"/>
      <c r="K115" s="113"/>
      <c r="L115" s="113"/>
      <c r="M115" s="113"/>
      <c r="N115" s="113"/>
      <c r="O115" s="113"/>
    </row>
    <row r="116" spans="3:15" s="63" customFormat="1" ht="15.95" hidden="1" customHeight="1" x14ac:dyDescent="0.25">
      <c r="C116" s="113"/>
      <c r="D116" s="113"/>
      <c r="E116" s="113"/>
      <c r="F116" s="113"/>
      <c r="G116" s="113"/>
      <c r="H116" s="113"/>
      <c r="J116" s="113"/>
      <c r="K116" s="113"/>
      <c r="L116" s="113"/>
      <c r="M116" s="113"/>
      <c r="N116" s="113"/>
      <c r="O116" s="113"/>
    </row>
    <row r="117" spans="3:15" s="63" customFormat="1" ht="15.95" hidden="1" customHeight="1" x14ac:dyDescent="0.25">
      <c r="C117" s="113"/>
      <c r="D117" s="113"/>
      <c r="E117" s="113"/>
      <c r="F117" s="113"/>
      <c r="G117" s="113"/>
      <c r="H117" s="113"/>
      <c r="J117" s="113"/>
      <c r="K117" s="113"/>
      <c r="L117" s="113"/>
      <c r="M117" s="113"/>
      <c r="N117" s="113"/>
      <c r="O117" s="113"/>
    </row>
    <row r="118" spans="3:15" s="63" customFormat="1" ht="15.95" hidden="1" customHeight="1" x14ac:dyDescent="0.25">
      <c r="C118" s="113"/>
      <c r="D118" s="113"/>
      <c r="E118" s="113"/>
      <c r="F118" s="113"/>
      <c r="G118" s="113"/>
      <c r="H118" s="113"/>
      <c r="J118" s="113"/>
      <c r="K118" s="113"/>
      <c r="L118" s="113"/>
      <c r="M118" s="113"/>
      <c r="N118" s="113"/>
      <c r="O118" s="113"/>
    </row>
    <row r="119" spans="3:15" s="63" customFormat="1" ht="15.95" hidden="1" customHeight="1" x14ac:dyDescent="0.25">
      <c r="C119" s="113"/>
      <c r="D119" s="113"/>
      <c r="E119" s="113"/>
      <c r="F119" s="113"/>
      <c r="G119" s="113"/>
      <c r="H119" s="113"/>
      <c r="J119" s="113"/>
      <c r="K119" s="113"/>
      <c r="L119" s="113"/>
      <c r="M119" s="113"/>
      <c r="N119" s="113"/>
      <c r="O119" s="113"/>
    </row>
    <row r="120" spans="3:15" s="63" customFormat="1" ht="15.95" hidden="1" customHeight="1" x14ac:dyDescent="0.25">
      <c r="C120" s="113"/>
      <c r="D120" s="113"/>
      <c r="E120" s="113"/>
      <c r="F120" s="113"/>
      <c r="G120" s="113"/>
      <c r="H120" s="113"/>
      <c r="J120" s="113"/>
      <c r="K120" s="113"/>
      <c r="L120" s="113"/>
      <c r="M120" s="113"/>
      <c r="N120" s="113"/>
      <c r="O120" s="113"/>
    </row>
    <row r="121" spans="3:15" s="63" customFormat="1" ht="15.95" hidden="1" customHeight="1" x14ac:dyDescent="0.25">
      <c r="C121" s="113"/>
      <c r="D121" s="113"/>
      <c r="E121" s="113"/>
      <c r="F121" s="113"/>
      <c r="G121" s="113"/>
      <c r="H121" s="113"/>
      <c r="J121" s="113"/>
      <c r="K121" s="113"/>
      <c r="L121" s="113"/>
      <c r="M121" s="113"/>
      <c r="N121" s="113"/>
      <c r="O121" s="113"/>
    </row>
    <row r="122" spans="3:15" s="63" customFormat="1" ht="15.95" hidden="1" customHeight="1" x14ac:dyDescent="0.25">
      <c r="C122" s="113"/>
      <c r="D122" s="113"/>
      <c r="E122" s="113"/>
      <c r="F122" s="113"/>
      <c r="G122" s="113"/>
      <c r="H122" s="113"/>
      <c r="J122" s="113"/>
      <c r="K122" s="113"/>
      <c r="L122" s="113"/>
      <c r="M122" s="113"/>
      <c r="N122" s="113"/>
      <c r="O122" s="113"/>
    </row>
    <row r="123" spans="3:15" s="63" customFormat="1" ht="15.95" hidden="1" customHeight="1" x14ac:dyDescent="0.25">
      <c r="C123" s="113"/>
      <c r="D123" s="113"/>
      <c r="E123" s="113"/>
      <c r="F123" s="113"/>
      <c r="G123" s="113"/>
      <c r="H123" s="113"/>
      <c r="J123" s="113"/>
      <c r="K123" s="113"/>
      <c r="L123" s="113"/>
      <c r="M123" s="113"/>
      <c r="N123" s="113"/>
      <c r="O123" s="113"/>
    </row>
    <row r="124" spans="3:15" s="63" customFormat="1" ht="15.95" hidden="1" customHeight="1" x14ac:dyDescent="0.25">
      <c r="C124" s="113"/>
      <c r="D124" s="113"/>
      <c r="E124" s="113"/>
      <c r="F124" s="113"/>
      <c r="G124" s="113"/>
      <c r="H124" s="113"/>
      <c r="J124" s="113"/>
      <c r="K124" s="113"/>
      <c r="L124" s="113"/>
      <c r="M124" s="113"/>
      <c r="N124" s="113"/>
      <c r="O124" s="113"/>
    </row>
    <row r="125" spans="3:15" s="63" customFormat="1" ht="15.95" hidden="1" customHeight="1" x14ac:dyDescent="0.25">
      <c r="C125" s="113"/>
      <c r="D125" s="113"/>
      <c r="E125" s="113"/>
      <c r="F125" s="113"/>
      <c r="G125" s="113"/>
      <c r="H125" s="113"/>
      <c r="J125" s="113"/>
      <c r="K125" s="113"/>
      <c r="L125" s="113"/>
      <c r="M125" s="113"/>
      <c r="N125" s="113"/>
      <c r="O125" s="113"/>
    </row>
    <row r="126" spans="3:15" s="63" customFormat="1" ht="15.95" hidden="1" customHeight="1" x14ac:dyDescent="0.25">
      <c r="C126" s="113"/>
      <c r="D126" s="113"/>
      <c r="E126" s="113"/>
      <c r="F126" s="113"/>
      <c r="G126" s="113"/>
      <c r="H126" s="113"/>
      <c r="J126" s="113"/>
      <c r="K126" s="113"/>
      <c r="L126" s="113"/>
      <c r="M126" s="113"/>
      <c r="N126" s="113"/>
      <c r="O126" s="113"/>
    </row>
    <row r="127" spans="3:15" s="63" customFormat="1" ht="15.95" hidden="1" customHeight="1" x14ac:dyDescent="0.25">
      <c r="C127" s="113"/>
      <c r="D127" s="113"/>
      <c r="E127" s="113"/>
      <c r="F127" s="113"/>
      <c r="G127" s="113"/>
      <c r="H127" s="113"/>
      <c r="J127" s="113"/>
      <c r="K127" s="113"/>
      <c r="L127" s="113"/>
      <c r="M127" s="113"/>
      <c r="N127" s="113"/>
      <c r="O127" s="113"/>
    </row>
    <row r="128" spans="3:15" s="63" customFormat="1" ht="15.95" hidden="1" customHeight="1" x14ac:dyDescent="0.25">
      <c r="C128" s="113"/>
      <c r="D128" s="113"/>
      <c r="E128" s="113"/>
      <c r="F128" s="113"/>
      <c r="G128" s="113"/>
      <c r="H128" s="113"/>
      <c r="J128" s="113"/>
      <c r="K128" s="113"/>
      <c r="L128" s="113"/>
      <c r="M128" s="113"/>
      <c r="N128" s="113"/>
      <c r="O128" s="113"/>
    </row>
    <row r="129" spans="3:15" s="63" customFormat="1" ht="15.95" hidden="1" customHeight="1" x14ac:dyDescent="0.25">
      <c r="C129" s="113"/>
      <c r="D129" s="113"/>
      <c r="E129" s="113"/>
      <c r="F129" s="113"/>
      <c r="G129" s="113"/>
      <c r="H129" s="113"/>
      <c r="J129" s="113"/>
      <c r="K129" s="113"/>
      <c r="L129" s="113"/>
      <c r="M129" s="113"/>
      <c r="N129" s="113"/>
      <c r="O129" s="113"/>
    </row>
    <row r="130" spans="3:15" s="63" customFormat="1" ht="15.95" hidden="1" customHeight="1" x14ac:dyDescent="0.25">
      <c r="C130" s="113"/>
      <c r="D130" s="113"/>
      <c r="E130" s="113"/>
      <c r="F130" s="113"/>
      <c r="G130" s="113"/>
      <c r="H130" s="113"/>
      <c r="J130" s="113"/>
      <c r="K130" s="113"/>
      <c r="L130" s="113"/>
      <c r="M130" s="113"/>
      <c r="N130" s="113"/>
      <c r="O130" s="113"/>
    </row>
    <row r="131" spans="3:15" s="63" customFormat="1" ht="15.95" hidden="1" customHeight="1" x14ac:dyDescent="0.25">
      <c r="C131" s="113"/>
      <c r="D131" s="113"/>
      <c r="E131" s="113"/>
      <c r="F131" s="113"/>
      <c r="G131" s="113"/>
      <c r="H131" s="113"/>
      <c r="J131" s="113"/>
      <c r="K131" s="113"/>
      <c r="L131" s="113"/>
      <c r="M131" s="113"/>
      <c r="N131" s="113"/>
      <c r="O131" s="113"/>
    </row>
    <row r="132" spans="3:15" s="63" customFormat="1" ht="15.95" hidden="1" customHeight="1" x14ac:dyDescent="0.25">
      <c r="C132" s="113"/>
      <c r="D132" s="113"/>
      <c r="E132" s="113"/>
      <c r="F132" s="113"/>
      <c r="G132" s="113"/>
      <c r="H132" s="113"/>
      <c r="J132" s="113"/>
      <c r="K132" s="113"/>
      <c r="L132" s="113"/>
      <c r="M132" s="113"/>
      <c r="N132" s="113"/>
      <c r="O132" s="113"/>
    </row>
    <row r="133" spans="3:15" s="63" customFormat="1" ht="15.95" hidden="1" customHeight="1" x14ac:dyDescent="0.25">
      <c r="C133" s="113"/>
      <c r="D133" s="113"/>
      <c r="E133" s="113"/>
      <c r="F133" s="113"/>
      <c r="G133" s="113"/>
      <c r="H133" s="113"/>
      <c r="J133" s="113"/>
      <c r="K133" s="113"/>
      <c r="L133" s="113"/>
      <c r="M133" s="113"/>
      <c r="N133" s="113"/>
      <c r="O133" s="113"/>
    </row>
    <row r="134" spans="3:15" s="63" customFormat="1" ht="15.95" hidden="1" customHeight="1" x14ac:dyDescent="0.25">
      <c r="C134" s="113"/>
      <c r="D134" s="113"/>
      <c r="E134" s="113"/>
      <c r="F134" s="113"/>
      <c r="G134" s="113"/>
      <c r="H134" s="113"/>
      <c r="J134" s="113"/>
      <c r="K134" s="113"/>
      <c r="L134" s="113"/>
      <c r="M134" s="113"/>
      <c r="N134" s="113"/>
      <c r="O134" s="113"/>
    </row>
    <row r="135" spans="3:15" s="63" customFormat="1" ht="15.95" hidden="1" customHeight="1" x14ac:dyDescent="0.25">
      <c r="C135" s="113"/>
      <c r="D135" s="113"/>
      <c r="E135" s="113"/>
      <c r="F135" s="113"/>
      <c r="G135" s="113"/>
      <c r="H135" s="113"/>
      <c r="J135" s="113"/>
      <c r="K135" s="113"/>
      <c r="L135" s="113"/>
      <c r="M135" s="113"/>
      <c r="N135" s="113"/>
      <c r="O135" s="113"/>
    </row>
    <row r="136" spans="3:15" s="63" customFormat="1" ht="15.95" hidden="1" customHeight="1" x14ac:dyDescent="0.25">
      <c r="C136" s="113"/>
      <c r="D136" s="113"/>
      <c r="E136" s="113"/>
      <c r="F136" s="113"/>
      <c r="G136" s="113"/>
      <c r="H136" s="113"/>
      <c r="J136" s="113"/>
      <c r="K136" s="113"/>
      <c r="L136" s="113"/>
      <c r="M136" s="113"/>
      <c r="N136" s="113"/>
      <c r="O136" s="113"/>
    </row>
    <row r="137" spans="3:15" s="63" customFormat="1" ht="15.95" hidden="1" customHeight="1" x14ac:dyDescent="0.25">
      <c r="C137" s="113"/>
      <c r="D137" s="113"/>
      <c r="E137" s="113"/>
      <c r="F137" s="113"/>
      <c r="G137" s="113"/>
      <c r="H137" s="113"/>
      <c r="J137" s="113"/>
      <c r="K137" s="113"/>
      <c r="L137" s="113"/>
      <c r="M137" s="113"/>
      <c r="N137" s="113"/>
      <c r="O137" s="113"/>
    </row>
    <row r="138" spans="3:15" s="63" customFormat="1" ht="15.95" hidden="1" customHeight="1" x14ac:dyDescent="0.25">
      <c r="C138" s="113"/>
      <c r="D138" s="113"/>
      <c r="E138" s="113"/>
      <c r="F138" s="113"/>
      <c r="G138" s="113"/>
      <c r="H138" s="113"/>
      <c r="J138" s="113"/>
      <c r="K138" s="113"/>
      <c r="L138" s="113"/>
      <c r="M138" s="113"/>
      <c r="N138" s="113"/>
      <c r="O138" s="113"/>
    </row>
    <row r="139" spans="3:15" s="63" customFormat="1" ht="15.95" hidden="1" customHeight="1" x14ac:dyDescent="0.25">
      <c r="C139" s="113"/>
      <c r="D139" s="113"/>
      <c r="E139" s="113"/>
      <c r="F139" s="113"/>
      <c r="G139" s="113"/>
      <c r="H139" s="113"/>
      <c r="J139" s="113"/>
      <c r="K139" s="113"/>
      <c r="L139" s="113"/>
      <c r="M139" s="113"/>
      <c r="N139" s="113"/>
      <c r="O139" s="113"/>
    </row>
    <row r="140" spans="3:15" s="63" customFormat="1" ht="15.95" hidden="1" customHeight="1" x14ac:dyDescent="0.25">
      <c r="C140" s="113"/>
      <c r="D140" s="113"/>
      <c r="E140" s="113"/>
      <c r="F140" s="113"/>
      <c r="G140" s="113"/>
      <c r="H140" s="113"/>
      <c r="J140" s="113"/>
      <c r="K140" s="113"/>
      <c r="L140" s="113"/>
      <c r="M140" s="113"/>
      <c r="N140" s="113"/>
      <c r="O140" s="113"/>
    </row>
    <row r="141" spans="3:15" s="63" customFormat="1" ht="15.95" hidden="1" customHeight="1" x14ac:dyDescent="0.25">
      <c r="C141" s="113"/>
      <c r="D141" s="113"/>
      <c r="E141" s="113"/>
      <c r="F141" s="113"/>
      <c r="G141" s="113"/>
      <c r="H141" s="113"/>
      <c r="J141" s="113"/>
      <c r="K141" s="113"/>
      <c r="L141" s="113"/>
      <c r="M141" s="113"/>
      <c r="N141" s="113"/>
      <c r="O141" s="113"/>
    </row>
    <row r="142" spans="3:15" s="63" customFormat="1" ht="15.95" hidden="1" customHeight="1" x14ac:dyDescent="0.25">
      <c r="C142" s="113"/>
      <c r="D142" s="113"/>
      <c r="E142" s="113"/>
      <c r="F142" s="113"/>
      <c r="G142" s="113"/>
      <c r="H142" s="113"/>
      <c r="J142" s="113"/>
      <c r="K142" s="113"/>
      <c r="L142" s="113"/>
      <c r="M142" s="113"/>
      <c r="N142" s="113"/>
      <c r="O142" s="113"/>
    </row>
    <row r="143" spans="3:15" s="63" customFormat="1" ht="15.95" hidden="1" customHeight="1" x14ac:dyDescent="0.25">
      <c r="C143" s="113"/>
      <c r="D143" s="113"/>
      <c r="E143" s="113"/>
      <c r="F143" s="113"/>
      <c r="G143" s="113"/>
      <c r="H143" s="113"/>
      <c r="J143" s="113"/>
      <c r="K143" s="113"/>
      <c r="L143" s="113"/>
      <c r="M143" s="113"/>
      <c r="N143" s="113"/>
      <c r="O143" s="113"/>
    </row>
    <row r="144" spans="3:15" s="63" customFormat="1" ht="15.95" hidden="1" customHeight="1" x14ac:dyDescent="0.25">
      <c r="C144" s="113"/>
      <c r="D144" s="113"/>
      <c r="E144" s="113"/>
      <c r="F144" s="113"/>
      <c r="G144" s="113"/>
      <c r="H144" s="113"/>
      <c r="J144" s="113"/>
      <c r="K144" s="113"/>
      <c r="L144" s="113"/>
      <c r="M144" s="113"/>
      <c r="N144" s="113"/>
      <c r="O144" s="113"/>
    </row>
    <row r="145" spans="3:15" s="63" customFormat="1" ht="15.95" hidden="1" customHeight="1" x14ac:dyDescent="0.25">
      <c r="C145" s="113"/>
      <c r="D145" s="113"/>
      <c r="E145" s="113"/>
      <c r="F145" s="113"/>
      <c r="G145" s="113"/>
      <c r="H145" s="113"/>
      <c r="J145" s="113"/>
      <c r="K145" s="113"/>
      <c r="L145" s="113"/>
      <c r="M145" s="113"/>
      <c r="N145" s="113"/>
      <c r="O145" s="113"/>
    </row>
    <row r="146" spans="3:15" s="63" customFormat="1" ht="15.95" hidden="1" customHeight="1" x14ac:dyDescent="0.25">
      <c r="C146" s="113"/>
      <c r="D146" s="113"/>
      <c r="E146" s="113"/>
      <c r="F146" s="113"/>
      <c r="G146" s="113"/>
      <c r="H146" s="113"/>
      <c r="J146" s="113"/>
      <c r="K146" s="113"/>
      <c r="L146" s="113"/>
      <c r="M146" s="113"/>
      <c r="N146" s="113"/>
      <c r="O146" s="113"/>
    </row>
    <row r="147" spans="3:15" s="63" customFormat="1" ht="15.95" hidden="1" customHeight="1" x14ac:dyDescent="0.25">
      <c r="C147" s="113"/>
      <c r="D147" s="113"/>
      <c r="E147" s="113"/>
      <c r="F147" s="113"/>
      <c r="G147" s="113"/>
      <c r="H147" s="113"/>
      <c r="J147" s="113"/>
      <c r="K147" s="113"/>
      <c r="L147" s="113"/>
      <c r="M147" s="113"/>
      <c r="N147" s="113"/>
      <c r="O147" s="113"/>
    </row>
    <row r="148" spans="3:15" s="63" customFormat="1" ht="15.95" hidden="1" customHeight="1" x14ac:dyDescent="0.25">
      <c r="C148" s="113"/>
      <c r="D148" s="113"/>
      <c r="E148" s="113"/>
      <c r="F148" s="113"/>
      <c r="G148" s="113"/>
      <c r="H148" s="113"/>
      <c r="J148" s="113"/>
      <c r="K148" s="113"/>
      <c r="L148" s="113"/>
      <c r="M148" s="113"/>
      <c r="N148" s="113"/>
      <c r="O148" s="113"/>
    </row>
    <row r="149" spans="3:15" s="63" customFormat="1" ht="15.95" hidden="1" customHeight="1" x14ac:dyDescent="0.25">
      <c r="C149" s="113"/>
      <c r="D149" s="113"/>
      <c r="E149" s="113"/>
      <c r="F149" s="113"/>
      <c r="G149" s="113"/>
      <c r="H149" s="113"/>
      <c r="J149" s="113"/>
      <c r="K149" s="113"/>
      <c r="L149" s="113"/>
      <c r="M149" s="113"/>
      <c r="N149" s="113"/>
      <c r="O149" s="113"/>
    </row>
    <row r="150" spans="3:15" s="63" customFormat="1" ht="15.95" hidden="1" customHeight="1" x14ac:dyDescent="0.25">
      <c r="C150" s="113"/>
      <c r="D150" s="113"/>
      <c r="E150" s="113"/>
      <c r="F150" s="113"/>
      <c r="G150" s="113"/>
      <c r="H150" s="113"/>
      <c r="J150" s="113"/>
      <c r="K150" s="113"/>
      <c r="L150" s="113"/>
      <c r="M150" s="113"/>
      <c r="N150" s="113"/>
      <c r="O150" s="113"/>
    </row>
    <row r="151" spans="3:15" s="63" customFormat="1" ht="15.95" hidden="1" customHeight="1" x14ac:dyDescent="0.25">
      <c r="C151" s="113"/>
      <c r="D151" s="113"/>
      <c r="E151" s="113"/>
      <c r="F151" s="113"/>
      <c r="G151" s="113"/>
      <c r="H151" s="113"/>
      <c r="J151" s="113"/>
      <c r="K151" s="113"/>
      <c r="L151" s="113"/>
      <c r="M151" s="113"/>
      <c r="N151" s="113"/>
      <c r="O151" s="113"/>
    </row>
    <row r="152" spans="3:15" s="63" customFormat="1" ht="15.95" hidden="1" customHeight="1" x14ac:dyDescent="0.25">
      <c r="C152" s="113"/>
      <c r="D152" s="113"/>
      <c r="E152" s="113"/>
      <c r="F152" s="113"/>
      <c r="G152" s="113"/>
      <c r="H152" s="113"/>
      <c r="J152" s="113"/>
      <c r="K152" s="113"/>
      <c r="L152" s="113"/>
      <c r="M152" s="113"/>
      <c r="N152" s="113"/>
      <c r="O152" s="113"/>
    </row>
    <row r="153" spans="3:15" s="63" customFormat="1" ht="15.95" hidden="1" customHeight="1" x14ac:dyDescent="0.25">
      <c r="C153" s="113"/>
      <c r="D153" s="113"/>
      <c r="E153" s="113"/>
      <c r="F153" s="113"/>
      <c r="G153" s="113"/>
      <c r="H153" s="113"/>
      <c r="J153" s="113"/>
      <c r="K153" s="113"/>
      <c r="L153" s="113"/>
      <c r="M153" s="113"/>
      <c r="N153" s="113"/>
      <c r="O153" s="113"/>
    </row>
    <row r="154" spans="3:15" s="63" customFormat="1" ht="15.95" hidden="1" customHeight="1" x14ac:dyDescent="0.25">
      <c r="C154" s="113"/>
      <c r="D154" s="113"/>
      <c r="E154" s="113"/>
      <c r="F154" s="113"/>
      <c r="G154" s="113"/>
      <c r="H154" s="113"/>
      <c r="J154" s="113"/>
      <c r="K154" s="113"/>
      <c r="L154" s="113"/>
      <c r="M154" s="113"/>
      <c r="N154" s="113"/>
      <c r="O154" s="113"/>
    </row>
    <row r="155" spans="3:15" s="63" customFormat="1" ht="15.95" hidden="1" customHeight="1" x14ac:dyDescent="0.25">
      <c r="C155" s="113"/>
      <c r="D155" s="113"/>
      <c r="E155" s="113"/>
      <c r="F155" s="113"/>
      <c r="G155" s="113"/>
      <c r="H155" s="113"/>
      <c r="J155" s="113"/>
      <c r="K155" s="113"/>
      <c r="L155" s="113"/>
      <c r="M155" s="113"/>
      <c r="N155" s="113"/>
      <c r="O155" s="113"/>
    </row>
    <row r="156" spans="3:15" s="63" customFormat="1" ht="15.95" hidden="1" customHeight="1" x14ac:dyDescent="0.25">
      <c r="C156" s="113"/>
      <c r="D156" s="113"/>
      <c r="E156" s="113"/>
      <c r="F156" s="113"/>
      <c r="G156" s="113"/>
      <c r="H156" s="113"/>
      <c r="J156" s="113"/>
      <c r="K156" s="113"/>
      <c r="L156" s="113"/>
      <c r="M156" s="113"/>
      <c r="N156" s="113"/>
      <c r="O156" s="113"/>
    </row>
    <row r="157" spans="3:15" s="63" customFormat="1" ht="15.95" hidden="1" customHeight="1" x14ac:dyDescent="0.25">
      <c r="C157" s="113"/>
      <c r="D157" s="113"/>
      <c r="E157" s="113"/>
      <c r="F157" s="113"/>
      <c r="G157" s="113"/>
      <c r="H157" s="113"/>
      <c r="J157" s="113"/>
      <c r="K157" s="113"/>
      <c r="L157" s="113"/>
      <c r="M157" s="113"/>
      <c r="N157" s="113"/>
      <c r="O157" s="113"/>
    </row>
    <row r="158" spans="3:15" s="63" customFormat="1" ht="15.95" hidden="1" customHeight="1" x14ac:dyDescent="0.25">
      <c r="C158" s="113"/>
      <c r="D158" s="113"/>
      <c r="E158" s="113"/>
      <c r="F158" s="113"/>
      <c r="G158" s="113"/>
      <c r="H158" s="113"/>
      <c r="J158" s="113"/>
      <c r="K158" s="113"/>
      <c r="L158" s="113"/>
      <c r="M158" s="113"/>
      <c r="N158" s="113"/>
      <c r="O158" s="113"/>
    </row>
    <row r="159" spans="3:15" s="63" customFormat="1" ht="15.95" hidden="1" customHeight="1" x14ac:dyDescent="0.25">
      <c r="C159" s="113"/>
      <c r="D159" s="113"/>
      <c r="E159" s="113"/>
      <c r="F159" s="113"/>
      <c r="G159" s="113"/>
      <c r="H159" s="113"/>
      <c r="J159" s="113"/>
      <c r="K159" s="113"/>
      <c r="L159" s="113"/>
      <c r="M159" s="113"/>
      <c r="N159" s="113"/>
      <c r="O159" s="113"/>
    </row>
    <row r="160" spans="3:15" s="63" customFormat="1" ht="15.95" hidden="1" customHeight="1" x14ac:dyDescent="0.25">
      <c r="C160" s="113"/>
      <c r="D160" s="113"/>
      <c r="E160" s="113"/>
      <c r="F160" s="113"/>
      <c r="G160" s="113"/>
      <c r="H160" s="113"/>
      <c r="J160" s="113"/>
      <c r="K160" s="113"/>
      <c r="L160" s="113"/>
      <c r="M160" s="113"/>
      <c r="N160" s="113"/>
      <c r="O160" s="113"/>
    </row>
    <row r="161" spans="3:15" s="63" customFormat="1" ht="15.95" hidden="1" customHeight="1" x14ac:dyDescent="0.25">
      <c r="C161" s="113"/>
      <c r="D161" s="113"/>
      <c r="E161" s="113"/>
      <c r="F161" s="113"/>
      <c r="G161" s="113"/>
      <c r="H161" s="113"/>
      <c r="J161" s="113"/>
      <c r="K161" s="113"/>
      <c r="L161" s="113"/>
      <c r="M161" s="113"/>
      <c r="N161" s="113"/>
      <c r="O161" s="113"/>
    </row>
    <row r="162" spans="3:15" s="63" customFormat="1" ht="15.95" hidden="1" customHeight="1" x14ac:dyDescent="0.25">
      <c r="C162" s="113"/>
      <c r="D162" s="113"/>
      <c r="E162" s="113"/>
      <c r="F162" s="113"/>
      <c r="G162" s="113"/>
      <c r="H162" s="113"/>
      <c r="J162" s="113"/>
      <c r="K162" s="113"/>
      <c r="L162" s="113"/>
      <c r="M162" s="113"/>
      <c r="N162" s="113"/>
      <c r="O162" s="113"/>
    </row>
    <row r="163" spans="3:15" s="63" customFormat="1" ht="15.95" hidden="1" customHeight="1" x14ac:dyDescent="0.25">
      <c r="C163" s="113"/>
      <c r="D163" s="113"/>
      <c r="E163" s="113"/>
      <c r="F163" s="113"/>
      <c r="G163" s="113"/>
      <c r="H163" s="113"/>
      <c r="J163" s="113"/>
      <c r="K163" s="113"/>
      <c r="L163" s="113"/>
      <c r="M163" s="113"/>
      <c r="N163" s="113"/>
      <c r="O163" s="113"/>
    </row>
    <row r="164" spans="3:15" s="63" customFormat="1" ht="15.95" hidden="1" customHeight="1" x14ac:dyDescent="0.25">
      <c r="C164" s="113"/>
      <c r="D164" s="113"/>
      <c r="E164" s="113"/>
      <c r="F164" s="113"/>
      <c r="G164" s="113"/>
      <c r="H164" s="113"/>
      <c r="J164" s="113"/>
      <c r="K164" s="113"/>
      <c r="L164" s="113"/>
      <c r="M164" s="113"/>
      <c r="N164" s="113"/>
      <c r="O164" s="113"/>
    </row>
    <row r="165" spans="3:15" s="63" customFormat="1" ht="15.95" hidden="1" customHeight="1" x14ac:dyDescent="0.25">
      <c r="C165" s="113"/>
      <c r="D165" s="113"/>
      <c r="E165" s="113"/>
      <c r="F165" s="113"/>
      <c r="G165" s="113"/>
      <c r="H165" s="113"/>
      <c r="J165" s="113"/>
      <c r="K165" s="113"/>
      <c r="L165" s="113"/>
      <c r="M165" s="113"/>
      <c r="N165" s="113"/>
      <c r="O165" s="113"/>
    </row>
    <row r="166" spans="3:15" s="63" customFormat="1" ht="15.95" hidden="1" customHeight="1" x14ac:dyDescent="0.25">
      <c r="C166" s="113"/>
      <c r="D166" s="113"/>
      <c r="E166" s="113"/>
      <c r="F166" s="113"/>
      <c r="G166" s="113"/>
      <c r="H166" s="113"/>
      <c r="J166" s="113"/>
      <c r="K166" s="113"/>
      <c r="L166" s="113"/>
      <c r="M166" s="113"/>
      <c r="N166" s="113"/>
      <c r="O166" s="113"/>
    </row>
    <row r="167" spans="3:15" s="63" customFormat="1" ht="15.95" hidden="1" customHeight="1" x14ac:dyDescent="0.25">
      <c r="C167" s="113"/>
      <c r="D167" s="113"/>
      <c r="E167" s="113"/>
      <c r="F167" s="113"/>
      <c r="G167" s="113"/>
      <c r="H167" s="113"/>
      <c r="J167" s="113"/>
      <c r="K167" s="113"/>
      <c r="L167" s="113"/>
      <c r="M167" s="113"/>
      <c r="N167" s="113"/>
      <c r="O167" s="113"/>
    </row>
    <row r="168" spans="3:15" s="63" customFormat="1" ht="15.95" hidden="1" customHeight="1" x14ac:dyDescent="0.25">
      <c r="C168" s="113"/>
      <c r="D168" s="113"/>
      <c r="E168" s="113"/>
      <c r="F168" s="113"/>
      <c r="G168" s="113"/>
      <c r="H168" s="113"/>
      <c r="J168" s="113"/>
      <c r="K168" s="113"/>
      <c r="L168" s="113"/>
      <c r="M168" s="113"/>
      <c r="N168" s="113"/>
      <c r="O168" s="113"/>
    </row>
    <row r="169" spans="3:15" s="63" customFormat="1" ht="15.95" hidden="1" customHeight="1" x14ac:dyDescent="0.25">
      <c r="C169" s="113"/>
      <c r="D169" s="113"/>
      <c r="E169" s="113"/>
      <c r="F169" s="113"/>
      <c r="G169" s="113"/>
      <c r="H169" s="113"/>
      <c r="J169" s="113"/>
      <c r="K169" s="113"/>
      <c r="L169" s="113"/>
      <c r="M169" s="113"/>
      <c r="N169" s="113"/>
      <c r="O169" s="113"/>
    </row>
    <row r="170" spans="3:15" s="63" customFormat="1" ht="15.95" hidden="1" customHeight="1" x14ac:dyDescent="0.25">
      <c r="C170" s="113"/>
      <c r="D170" s="113"/>
      <c r="E170" s="113"/>
      <c r="F170" s="113"/>
      <c r="G170" s="113"/>
      <c r="H170" s="113"/>
      <c r="J170" s="113"/>
      <c r="K170" s="113"/>
      <c r="L170" s="113"/>
      <c r="M170" s="113"/>
      <c r="N170" s="113"/>
      <c r="O170" s="113"/>
    </row>
    <row r="171" spans="3:15" s="63" customFormat="1" ht="15.95" hidden="1" customHeight="1" x14ac:dyDescent="0.25">
      <c r="C171" s="113"/>
      <c r="D171" s="113"/>
      <c r="E171" s="113"/>
      <c r="F171" s="113"/>
      <c r="G171" s="113"/>
      <c r="H171" s="113"/>
      <c r="J171" s="113"/>
      <c r="K171" s="113"/>
      <c r="L171" s="113"/>
      <c r="M171" s="113"/>
      <c r="N171" s="113"/>
      <c r="O171" s="113"/>
    </row>
    <row r="172" spans="3:15" s="63" customFormat="1" ht="15.95" hidden="1" customHeight="1" x14ac:dyDescent="0.25">
      <c r="C172" s="113"/>
      <c r="D172" s="113"/>
      <c r="E172" s="113"/>
      <c r="F172" s="113"/>
      <c r="G172" s="113"/>
      <c r="H172" s="113"/>
      <c r="J172" s="113"/>
      <c r="K172" s="113"/>
      <c r="L172" s="113"/>
      <c r="M172" s="113"/>
      <c r="N172" s="113"/>
      <c r="O172" s="113"/>
    </row>
    <row r="173" spans="3:15" s="63" customFormat="1" ht="15.95" hidden="1" customHeight="1" x14ac:dyDescent="0.25">
      <c r="C173" s="113"/>
      <c r="D173" s="113"/>
      <c r="E173" s="113"/>
      <c r="F173" s="113"/>
      <c r="G173" s="113"/>
      <c r="H173" s="113"/>
      <c r="J173" s="113"/>
      <c r="K173" s="113"/>
      <c r="L173" s="113"/>
      <c r="M173" s="113"/>
      <c r="N173" s="113"/>
      <c r="O173" s="113"/>
    </row>
    <row r="174" spans="3:15" s="63" customFormat="1" ht="15.95" hidden="1" customHeight="1" x14ac:dyDescent="0.25">
      <c r="C174" s="113"/>
      <c r="D174" s="113"/>
      <c r="E174" s="113"/>
      <c r="F174" s="113"/>
      <c r="G174" s="113"/>
      <c r="H174" s="113"/>
      <c r="J174" s="113"/>
      <c r="K174" s="113"/>
      <c r="L174" s="113"/>
      <c r="M174" s="113"/>
      <c r="N174" s="113"/>
      <c r="O174" s="113"/>
    </row>
    <row r="175" spans="3:15" s="63" customFormat="1" ht="15.95" hidden="1" customHeight="1" x14ac:dyDescent="0.25">
      <c r="C175" s="113"/>
      <c r="D175" s="113"/>
      <c r="E175" s="113"/>
      <c r="F175" s="113"/>
      <c r="G175" s="113"/>
      <c r="H175" s="113"/>
      <c r="J175" s="113"/>
      <c r="K175" s="113"/>
      <c r="L175" s="113"/>
      <c r="M175" s="113"/>
      <c r="N175" s="113"/>
      <c r="O175" s="113"/>
    </row>
    <row r="176" spans="3:15" s="63" customFormat="1" ht="15.95" hidden="1" customHeight="1" x14ac:dyDescent="0.25">
      <c r="C176" s="113"/>
      <c r="D176" s="113"/>
      <c r="E176" s="113"/>
      <c r="F176" s="113"/>
      <c r="G176" s="113"/>
      <c r="H176" s="113"/>
      <c r="J176" s="113"/>
      <c r="K176" s="113"/>
      <c r="L176" s="113"/>
      <c r="M176" s="113"/>
      <c r="N176" s="113"/>
      <c r="O176" s="113"/>
    </row>
    <row r="177" spans="3:15" s="63" customFormat="1" ht="15.95" hidden="1" customHeight="1" x14ac:dyDescent="0.25">
      <c r="C177" s="113"/>
      <c r="D177" s="113"/>
      <c r="E177" s="113"/>
      <c r="F177" s="113"/>
      <c r="G177" s="113"/>
      <c r="H177" s="113"/>
      <c r="J177" s="113"/>
      <c r="K177" s="113"/>
      <c r="L177" s="113"/>
      <c r="M177" s="113"/>
      <c r="N177" s="113"/>
      <c r="O177" s="113"/>
    </row>
    <row r="178" spans="3:15" s="63" customFormat="1" ht="15.95" hidden="1" customHeight="1" x14ac:dyDescent="0.25">
      <c r="C178" s="113"/>
      <c r="D178" s="113"/>
      <c r="E178" s="113"/>
      <c r="F178" s="113"/>
      <c r="G178" s="113"/>
      <c r="H178" s="113"/>
      <c r="J178" s="113"/>
      <c r="K178" s="113"/>
      <c r="L178" s="113"/>
      <c r="M178" s="113"/>
      <c r="N178" s="113"/>
      <c r="O178" s="113"/>
    </row>
    <row r="179" spans="3:15" s="63" customFormat="1" ht="15.95" hidden="1" customHeight="1" x14ac:dyDescent="0.25">
      <c r="C179" s="113"/>
      <c r="D179" s="113"/>
      <c r="E179" s="113"/>
      <c r="F179" s="113"/>
      <c r="G179" s="113"/>
      <c r="H179" s="113"/>
      <c r="J179" s="113"/>
      <c r="K179" s="113"/>
      <c r="L179" s="113"/>
      <c r="M179" s="113"/>
      <c r="N179" s="113"/>
      <c r="O179" s="113"/>
    </row>
    <row r="180" spans="3:15" s="63" customFormat="1" ht="15.95" hidden="1" customHeight="1" x14ac:dyDescent="0.25">
      <c r="C180" s="113"/>
      <c r="D180" s="113"/>
      <c r="E180" s="113"/>
      <c r="F180" s="113"/>
      <c r="G180" s="113"/>
      <c r="H180" s="113"/>
      <c r="J180" s="113"/>
      <c r="K180" s="113"/>
      <c r="L180" s="113"/>
      <c r="M180" s="113"/>
      <c r="N180" s="113"/>
      <c r="O180" s="113"/>
    </row>
    <row r="181" spans="3:15" s="63" customFormat="1" ht="15.95" hidden="1" customHeight="1" x14ac:dyDescent="0.25">
      <c r="C181" s="113"/>
      <c r="D181" s="113"/>
      <c r="E181" s="113"/>
      <c r="F181" s="113"/>
      <c r="G181" s="113"/>
      <c r="H181" s="113"/>
      <c r="J181" s="113"/>
      <c r="K181" s="113"/>
      <c r="L181" s="113"/>
      <c r="M181" s="113"/>
      <c r="N181" s="113"/>
      <c r="O181" s="113"/>
    </row>
    <row r="182" spans="3:15" s="63" customFormat="1" ht="15.95" hidden="1" customHeight="1" x14ac:dyDescent="0.25">
      <c r="C182" s="113"/>
      <c r="D182" s="113"/>
      <c r="E182" s="113"/>
      <c r="F182" s="113"/>
      <c r="G182" s="113"/>
      <c r="H182" s="113"/>
      <c r="J182" s="113"/>
      <c r="K182" s="113"/>
      <c r="L182" s="113"/>
      <c r="M182" s="113"/>
      <c r="N182" s="113"/>
      <c r="O182" s="113"/>
    </row>
    <row r="183" spans="3:15" s="63" customFormat="1" ht="15.95" hidden="1" customHeight="1" x14ac:dyDescent="0.25">
      <c r="C183" s="113"/>
      <c r="D183" s="113"/>
      <c r="E183" s="113"/>
      <c r="F183" s="113"/>
      <c r="G183" s="113"/>
      <c r="H183" s="113"/>
      <c r="J183" s="113"/>
      <c r="K183" s="113"/>
      <c r="L183" s="113"/>
      <c r="M183" s="113"/>
      <c r="N183" s="113"/>
      <c r="O183" s="113"/>
    </row>
    <row r="184" spans="3:15" s="63" customFormat="1" ht="15.95" hidden="1" customHeight="1" x14ac:dyDescent="0.25">
      <c r="C184" s="113"/>
      <c r="D184" s="113"/>
      <c r="E184" s="113"/>
      <c r="F184" s="113"/>
      <c r="G184" s="113"/>
      <c r="H184" s="113"/>
      <c r="J184" s="113"/>
      <c r="K184" s="113"/>
      <c r="L184" s="113"/>
      <c r="M184" s="113"/>
      <c r="N184" s="113"/>
      <c r="O184" s="113"/>
    </row>
    <row r="185" spans="3:15" s="63" customFormat="1" ht="15.95" hidden="1" customHeight="1" x14ac:dyDescent="0.25">
      <c r="C185" s="113"/>
      <c r="D185" s="113"/>
      <c r="E185" s="113"/>
      <c r="F185" s="113"/>
      <c r="G185" s="113"/>
      <c r="H185" s="113"/>
      <c r="J185" s="113"/>
      <c r="K185" s="113"/>
      <c r="L185" s="113"/>
      <c r="M185" s="113"/>
      <c r="N185" s="113"/>
      <c r="O185" s="113"/>
    </row>
    <row r="186" spans="3:15" s="63" customFormat="1" ht="15.95" hidden="1" customHeight="1" x14ac:dyDescent="0.25">
      <c r="C186" s="113"/>
      <c r="D186" s="113"/>
      <c r="E186" s="113"/>
      <c r="F186" s="113"/>
      <c r="G186" s="113"/>
      <c r="H186" s="113"/>
      <c r="J186" s="113"/>
      <c r="K186" s="113"/>
      <c r="L186" s="113"/>
      <c r="M186" s="113"/>
      <c r="N186" s="113"/>
      <c r="O186" s="113"/>
    </row>
    <row r="187" spans="3:15" s="63" customFormat="1" ht="15.95" hidden="1" customHeight="1" x14ac:dyDescent="0.25">
      <c r="C187" s="113"/>
      <c r="D187" s="113"/>
      <c r="E187" s="113"/>
      <c r="F187" s="113"/>
      <c r="G187" s="113"/>
      <c r="H187" s="113"/>
      <c r="J187" s="113"/>
      <c r="K187" s="113"/>
      <c r="L187" s="113"/>
      <c r="M187" s="113"/>
      <c r="N187" s="113"/>
      <c r="O187" s="113"/>
    </row>
    <row r="188" spans="3:15" s="63" customFormat="1" ht="15.95" hidden="1" customHeight="1" x14ac:dyDescent="0.25">
      <c r="C188" s="113"/>
      <c r="D188" s="113"/>
      <c r="E188" s="113"/>
      <c r="F188" s="113"/>
      <c r="G188" s="113"/>
      <c r="H188" s="113"/>
      <c r="J188" s="113"/>
      <c r="K188" s="113"/>
      <c r="L188" s="113"/>
      <c r="M188" s="113"/>
      <c r="N188" s="113"/>
      <c r="O188" s="113"/>
    </row>
    <row r="189" spans="3:15" s="63" customFormat="1" ht="15.95" hidden="1" customHeight="1" x14ac:dyDescent="0.25">
      <c r="C189" s="113"/>
      <c r="D189" s="113"/>
      <c r="E189" s="113"/>
      <c r="F189" s="113"/>
      <c r="G189" s="113"/>
      <c r="H189" s="113"/>
      <c r="J189" s="113"/>
      <c r="K189" s="113"/>
      <c r="L189" s="113"/>
      <c r="M189" s="113"/>
      <c r="N189" s="113"/>
      <c r="O189" s="113"/>
    </row>
    <row r="190" spans="3:15" s="63" customFormat="1" ht="15.95" hidden="1" customHeight="1" x14ac:dyDescent="0.25">
      <c r="C190" s="113"/>
      <c r="D190" s="113"/>
      <c r="E190" s="113"/>
      <c r="F190" s="113"/>
      <c r="G190" s="113"/>
      <c r="H190" s="113"/>
      <c r="J190" s="113"/>
      <c r="K190" s="113"/>
      <c r="L190" s="113"/>
      <c r="M190" s="113"/>
      <c r="N190" s="113"/>
      <c r="O190" s="113"/>
    </row>
    <row r="191" spans="3:15" s="63" customFormat="1" ht="15.95" hidden="1" customHeight="1" x14ac:dyDescent="0.25">
      <c r="C191" s="113"/>
      <c r="D191" s="113"/>
      <c r="E191" s="113"/>
      <c r="F191" s="113"/>
      <c r="G191" s="113"/>
      <c r="H191" s="113"/>
      <c r="J191" s="113"/>
      <c r="K191" s="113"/>
      <c r="L191" s="113"/>
      <c r="M191" s="113"/>
      <c r="N191" s="113"/>
      <c r="O191" s="113"/>
    </row>
    <row r="192" spans="3:15" s="63" customFormat="1" ht="15.95" hidden="1" customHeight="1" x14ac:dyDescent="0.25">
      <c r="C192" s="113"/>
      <c r="D192" s="113"/>
      <c r="E192" s="113"/>
      <c r="F192" s="113"/>
      <c r="G192" s="113"/>
      <c r="H192" s="113"/>
      <c r="J192" s="113"/>
      <c r="K192" s="113"/>
      <c r="L192" s="113"/>
      <c r="M192" s="113"/>
      <c r="N192" s="113"/>
      <c r="O192" s="113"/>
    </row>
    <row r="193" spans="2:44" s="63" customFormat="1" ht="15.95" hidden="1" customHeight="1" x14ac:dyDescent="0.25">
      <c r="C193" s="113"/>
      <c r="D193" s="113"/>
      <c r="E193" s="113"/>
      <c r="F193" s="113"/>
      <c r="G193" s="113"/>
      <c r="H193" s="113"/>
      <c r="J193" s="113"/>
      <c r="K193" s="113"/>
      <c r="L193" s="113"/>
      <c r="M193" s="113"/>
      <c r="N193" s="113"/>
      <c r="O193" s="113"/>
    </row>
    <row r="194" spans="2:44" s="63" customFormat="1" ht="15.95" hidden="1" customHeight="1" x14ac:dyDescent="0.25">
      <c r="C194" s="113"/>
      <c r="D194" s="113"/>
      <c r="E194" s="113"/>
      <c r="F194" s="113"/>
      <c r="G194" s="113"/>
      <c r="H194" s="113"/>
      <c r="J194" s="113"/>
      <c r="K194" s="113"/>
      <c r="L194" s="113"/>
      <c r="M194" s="113"/>
      <c r="N194" s="113"/>
      <c r="O194" s="113"/>
    </row>
    <row r="195" spans="2:44" s="63" customFormat="1" ht="15.95" hidden="1" customHeight="1" x14ac:dyDescent="0.25">
      <c r="C195" s="128"/>
      <c r="D195" s="128"/>
      <c r="E195" s="128"/>
      <c r="F195" s="128"/>
      <c r="G195" s="128"/>
      <c r="H195" s="128"/>
      <c r="J195" s="128"/>
      <c r="K195" s="128"/>
      <c r="L195" s="128"/>
      <c r="M195" s="128"/>
      <c r="N195" s="128"/>
      <c r="O195" s="128"/>
    </row>
    <row r="196" spans="2:44" s="63" customFormat="1" ht="15.95" hidden="1" customHeight="1" x14ac:dyDescent="0.25">
      <c r="C196" s="113"/>
      <c r="D196" s="113"/>
      <c r="E196" s="113"/>
      <c r="F196" s="113"/>
      <c r="G196" s="113"/>
      <c r="H196" s="113"/>
      <c r="J196" s="113"/>
      <c r="K196" s="113"/>
      <c r="L196" s="113"/>
      <c r="M196" s="113"/>
      <c r="N196" s="113"/>
      <c r="O196" s="113"/>
    </row>
    <row r="197" spans="2:44" s="63" customFormat="1" ht="15.95" hidden="1" customHeight="1" x14ac:dyDescent="0.25">
      <c r="C197" s="113"/>
      <c r="D197" s="113"/>
      <c r="E197" s="113"/>
      <c r="F197" s="113"/>
      <c r="G197" s="113"/>
      <c r="H197" s="113"/>
      <c r="J197" s="113"/>
      <c r="K197" s="113"/>
      <c r="L197" s="113"/>
      <c r="M197" s="113"/>
      <c r="N197" s="113"/>
      <c r="O197" s="113"/>
    </row>
    <row r="198" spans="2:44" s="63" customFormat="1" ht="15.95" hidden="1" customHeight="1" x14ac:dyDescent="0.25">
      <c r="C198" s="113"/>
      <c r="D198" s="113"/>
      <c r="E198" s="113"/>
      <c r="F198" s="113"/>
      <c r="G198" s="113"/>
      <c r="H198" s="113"/>
      <c r="J198" s="113"/>
      <c r="K198" s="113"/>
      <c r="L198" s="113"/>
      <c r="M198" s="113"/>
      <c r="N198" s="113"/>
      <c r="O198" s="113"/>
    </row>
    <row r="199" spans="2:44" ht="15.95" hidden="1" customHeight="1" x14ac:dyDescent="0.25"/>
    <row r="200" spans="2:44" ht="15.95" customHeight="1" x14ac:dyDescent="0.25">
      <c r="B200" s="136" t="str">
        <f>FOOT1</f>
        <v>Ameren Missouri BizSavers program</v>
      </c>
      <c r="C200" s="136"/>
      <c r="D200" s="136"/>
      <c r="E200" s="136"/>
      <c r="F200" s="136"/>
      <c r="G200" s="136"/>
      <c r="H200" s="136"/>
      <c r="I200" s="136"/>
      <c r="J200" s="136"/>
      <c r="K200" s="136"/>
      <c r="L200" s="136"/>
      <c r="M200" s="729" t="str">
        <f>FOOTDISCLAIM</f>
        <v/>
      </c>
      <c r="N200" s="729"/>
      <c r="O200" s="729"/>
      <c r="P200" s="729"/>
      <c r="Q200" s="729"/>
      <c r="R200" s="729"/>
      <c r="S200" s="729"/>
      <c r="T200" s="729"/>
      <c r="U200" s="729"/>
      <c r="V200" s="729"/>
      <c r="W200" s="729"/>
      <c r="X200" s="729"/>
      <c r="Y200" s="729"/>
      <c r="Z200" s="729"/>
      <c r="AA200" s="729"/>
      <c r="AB200" s="729"/>
      <c r="AC200" s="729"/>
      <c r="AD200" s="729"/>
      <c r="AE200" s="729"/>
      <c r="AF200" s="729"/>
      <c r="AG200" s="729"/>
      <c r="AH200" s="136"/>
      <c r="AI200" s="136"/>
      <c r="AJ200" s="136"/>
      <c r="AK200" s="136"/>
      <c r="AL200" s="136"/>
      <c r="AM200" s="136"/>
      <c r="AN200" s="136"/>
      <c r="AO200" s="136"/>
      <c r="AP200" s="136"/>
      <c r="AQ200" s="136"/>
      <c r="AR200" s="300" t="str">
        <f>FOOT4</f>
        <v/>
      </c>
    </row>
    <row r="201" spans="2:44" ht="15.95" customHeight="1" x14ac:dyDescent="0.25">
      <c r="B201" s="136" t="str">
        <f>FOOT2</f>
        <v>Toll-Free 866-941-7299</v>
      </c>
      <c r="C201" s="136"/>
      <c r="D201" s="136"/>
      <c r="E201" s="136"/>
      <c r="F201" s="136"/>
      <c r="G201" s="136"/>
      <c r="H201" s="136"/>
      <c r="I201" s="136"/>
      <c r="J201" s="136"/>
      <c r="K201" s="136"/>
      <c r="L201" s="136"/>
      <c r="M201" s="729"/>
      <c r="N201" s="729"/>
      <c r="O201" s="729"/>
      <c r="P201" s="729"/>
      <c r="Q201" s="729"/>
      <c r="R201" s="729"/>
      <c r="S201" s="729"/>
      <c r="T201" s="729"/>
      <c r="U201" s="729"/>
      <c r="V201" s="729"/>
      <c r="W201" s="729"/>
      <c r="X201" s="729"/>
      <c r="Y201" s="729"/>
      <c r="Z201" s="729"/>
      <c r="AA201" s="729"/>
      <c r="AB201" s="729"/>
      <c r="AC201" s="729"/>
      <c r="AD201" s="729"/>
      <c r="AE201" s="729"/>
      <c r="AF201" s="729"/>
      <c r="AG201" s="729"/>
      <c r="AH201" s="136"/>
      <c r="AI201" s="136"/>
      <c r="AJ201" s="136"/>
      <c r="AK201" s="136"/>
      <c r="AL201" s="136"/>
      <c r="AM201" s="136"/>
      <c r="AN201" s="136"/>
      <c r="AO201" s="136"/>
      <c r="AP201" s="136"/>
      <c r="AQ201" s="136"/>
      <c r="AR201" s="300" t="str">
        <f>FOOT5</f>
        <v/>
      </c>
    </row>
    <row r="202" spans="2:44" ht="15.95" customHeight="1" x14ac:dyDescent="0.25">
      <c r="B202" s="138" t="str">
        <f>FOOT3</f>
        <v>BizSavers@ameren.com</v>
      </c>
      <c r="C202" s="136"/>
      <c r="D202" s="136"/>
      <c r="E202" s="136"/>
      <c r="F202" s="136"/>
      <c r="G202" s="136"/>
      <c r="H202" s="136"/>
      <c r="I202" s="136"/>
      <c r="J202" s="136"/>
      <c r="K202" s="136"/>
      <c r="L202" s="136"/>
      <c r="M202" s="139"/>
      <c r="N202" s="136"/>
      <c r="O202" s="136"/>
      <c r="P202" s="139"/>
      <c r="Q202" s="139"/>
      <c r="R202" s="139"/>
      <c r="S202" s="139"/>
      <c r="T202" s="139"/>
      <c r="U202" s="139"/>
      <c r="V202" s="139"/>
      <c r="W202" s="140" t="str">
        <f>VERSION</f>
        <v>New Construction v3.8.0</v>
      </c>
      <c r="X202" s="139"/>
      <c r="Y202" s="139"/>
      <c r="Z202" s="139"/>
      <c r="AA202" s="139"/>
      <c r="AB202" s="139"/>
      <c r="AC202" s="139"/>
      <c r="AD202" s="139"/>
      <c r="AE202" s="136"/>
      <c r="AF202" s="136"/>
      <c r="AG202" s="136"/>
      <c r="AH202" s="136"/>
      <c r="AI202" s="136"/>
      <c r="AJ202" s="136"/>
      <c r="AK202" s="136"/>
      <c r="AL202" s="136"/>
      <c r="AM202" s="136"/>
      <c r="AN202" s="136"/>
      <c r="AO202" s="136"/>
      <c r="AP202" s="136"/>
      <c r="AQ202" s="136"/>
      <c r="AR202" s="300" t="str">
        <f>FOOT6</f>
        <v>Product of TRC Companies</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sheetData>
  <sheetProtection algorithmName="SHA-512" hashValue="OCUxZ48Ry/S9qOe0EZgmDkOKtxCcDCHLKvTbJBiE6u59/o7rIMUseGXJXCVxmJHTGjy1xaNrS6xxDhYUTsnqeQ==" saltValue="7+XdgSHlc53sg/eu1IK+6Q==" spinCount="100000" sheet="1" objects="1" scenarios="1" selectLockedCells="1"/>
  <mergeCells count="124">
    <mergeCell ref="C23:H23"/>
    <mergeCell ref="J23:O23"/>
    <mergeCell ref="C22:H22"/>
    <mergeCell ref="J22:O22"/>
    <mergeCell ref="C28:H28"/>
    <mergeCell ref="Q28:V28"/>
    <mergeCell ref="Q27:V27"/>
    <mergeCell ref="F13:V13"/>
    <mergeCell ref="Q15:V15"/>
    <mergeCell ref="C18:H18"/>
    <mergeCell ref="J18:O18"/>
    <mergeCell ref="Q21:V21"/>
    <mergeCell ref="C19:H19"/>
    <mergeCell ref="J19:O19"/>
    <mergeCell ref="Q22:V22"/>
    <mergeCell ref="C17:H17"/>
    <mergeCell ref="J17:O17"/>
    <mergeCell ref="C26:H26"/>
    <mergeCell ref="J26:O26"/>
    <mergeCell ref="C25:H25"/>
    <mergeCell ref="J25:O25"/>
    <mergeCell ref="C24:H24"/>
    <mergeCell ref="C27:H27"/>
    <mergeCell ref="C30:H30"/>
    <mergeCell ref="J30:O30"/>
    <mergeCell ref="Q26:V26"/>
    <mergeCell ref="M200:AG201"/>
    <mergeCell ref="J24:O24"/>
    <mergeCell ref="J21:O21"/>
    <mergeCell ref="Q25:V25"/>
    <mergeCell ref="C15:H15"/>
    <mergeCell ref="J15:O15"/>
    <mergeCell ref="J20:O20"/>
    <mergeCell ref="X15:AC15"/>
    <mergeCell ref="AE15:AJ15"/>
    <mergeCell ref="Q24:V24"/>
    <mergeCell ref="Q23:V23"/>
    <mergeCell ref="Q19:V19"/>
    <mergeCell ref="C21:H21"/>
    <mergeCell ref="C20:H20"/>
    <mergeCell ref="Q18:V18"/>
    <mergeCell ref="C16:H16"/>
    <mergeCell ref="X25:AC25"/>
    <mergeCell ref="AE25:AJ25"/>
    <mergeCell ref="C29:H29"/>
    <mergeCell ref="C31:H31"/>
    <mergeCell ref="J31:O31"/>
    <mergeCell ref="AL15:AQ15"/>
    <mergeCell ref="X16:AC16"/>
    <mergeCell ref="AE16:AJ16"/>
    <mergeCell ref="AL16:AQ16"/>
    <mergeCell ref="X21:AC21"/>
    <mergeCell ref="AE21:AJ21"/>
    <mergeCell ref="AL21:AQ21"/>
    <mergeCell ref="X22:AC22"/>
    <mergeCell ref="AE22:AJ22"/>
    <mergeCell ref="AL22:AQ22"/>
    <mergeCell ref="AQ1:AR1"/>
    <mergeCell ref="AQ2:AR3"/>
    <mergeCell ref="AH1:AK1"/>
    <mergeCell ref="AL1:AP1"/>
    <mergeCell ref="AH2:AK3"/>
    <mergeCell ref="AL2:AP3"/>
    <mergeCell ref="Q20:V20"/>
    <mergeCell ref="X20:AC20"/>
    <mergeCell ref="AE20:AJ20"/>
    <mergeCell ref="AL20:AQ20"/>
    <mergeCell ref="X17:AC17"/>
    <mergeCell ref="AE17:AJ17"/>
    <mergeCell ref="AL17:AQ17"/>
    <mergeCell ref="X18:AC18"/>
    <mergeCell ref="AE18:AJ18"/>
    <mergeCell ref="AL18:AQ18"/>
    <mergeCell ref="Q17:V17"/>
    <mergeCell ref="X19:AC19"/>
    <mergeCell ref="AE19:AJ19"/>
    <mergeCell ref="AL19:AQ19"/>
    <mergeCell ref="Q16:V16"/>
    <mergeCell ref="F10:AN10"/>
    <mergeCell ref="F11:AN11"/>
    <mergeCell ref="J16:O16"/>
    <mergeCell ref="AL25:AQ25"/>
    <mergeCell ref="X26:AC26"/>
    <mergeCell ref="AE26:AJ26"/>
    <mergeCell ref="AL26:AQ26"/>
    <mergeCell ref="X23:AC23"/>
    <mergeCell ref="AE23:AJ23"/>
    <mergeCell ref="AL23:AQ23"/>
    <mergeCell ref="X24:AC24"/>
    <mergeCell ref="AE24:AJ24"/>
    <mergeCell ref="AL24:AQ24"/>
    <mergeCell ref="J29:O29"/>
    <mergeCell ref="Q31:V31"/>
    <mergeCell ref="X27:AC27"/>
    <mergeCell ref="AE27:AJ27"/>
    <mergeCell ref="AL27:AQ27"/>
    <mergeCell ref="X28:AC28"/>
    <mergeCell ref="AE28:AJ28"/>
    <mergeCell ref="AL28:AQ28"/>
    <mergeCell ref="J28:O28"/>
    <mergeCell ref="J27:O27"/>
    <mergeCell ref="Q29:V29"/>
    <mergeCell ref="X29:AC29"/>
    <mergeCell ref="AE29:AJ29"/>
    <mergeCell ref="AL29:AQ29"/>
    <mergeCell ref="Q30:V30"/>
    <mergeCell ref="X30:AC30"/>
    <mergeCell ref="AE30:AJ30"/>
    <mergeCell ref="AL30:AQ30"/>
    <mergeCell ref="X31:AC31"/>
    <mergeCell ref="AE31:AJ31"/>
    <mergeCell ref="AL31:AQ31"/>
    <mergeCell ref="F33:AN33"/>
    <mergeCell ref="F34:AN34"/>
    <mergeCell ref="X35:AD35"/>
    <mergeCell ref="X36:AD36"/>
    <mergeCell ref="AB38:AH38"/>
    <mergeCell ref="AB39:AH39"/>
    <mergeCell ref="T38:Z38"/>
    <mergeCell ref="T39:Z39"/>
    <mergeCell ref="P35:V35"/>
    <mergeCell ref="P36:V36"/>
    <mergeCell ref="L38:R38"/>
    <mergeCell ref="L39:R39"/>
  </mergeCells>
  <conditionalFormatting sqref="AQ2:AR3">
    <cfRule type="cellIs" dxfId="62" priority="3" operator="equal">
      <formula>1</formula>
    </cfRule>
    <cfRule type="cellIs" dxfId="61" priority="4" operator="between">
      <formula>0.51</formula>
      <formula>0.99</formula>
    </cfRule>
    <cfRule type="cellIs" dxfId="60" priority="5" operator="lessThanOrEqual">
      <formula>0.5</formula>
    </cfRule>
  </conditionalFormatting>
  <conditionalFormatting sqref="AH2 AL2">
    <cfRule type="expression" dxfId="59" priority="1">
      <formula>OR(PROJSTATUS=PROJSTATELI,PROJSTATUS=PROJSTATEXP,PROJSTATUS=PROJSTATUNDER)</formula>
    </cfRule>
    <cfRule type="expression" dxfId="58" priority="2">
      <formula>PROJSTATUS=PROJSTATFILLINITIAL</formula>
    </cfRule>
    <cfRule type="expression" dxfId="57" priority="6">
      <formula>PROJSTATUS=PROJSTATPREAPPROVE</formula>
    </cfRule>
    <cfRule type="expression" dxfId="56" priority="7">
      <formula>OR(PROJSTATUS=PROJSTATSSUBMITINITIAL,PROJSTATUS=PROJSTATREVIEW)</formula>
    </cfRule>
  </conditionalFormatting>
  <hyperlinks>
    <hyperlink ref="B202" r:id="rId1" display="NIPSCO.Savings@LMCO.com" xr:uid="{00000000-0004-0000-2600-000000000000}"/>
  </hyperlinks>
  <pageMargins left="0.7" right="0.7" top="0.75" bottom="0.75" header="0.3" footer="0.3"/>
  <pageSetup scale="57" fitToHeight="0" orientation="landscape" r:id="rId2"/>
  <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1">
    <pageSetUpPr fitToPage="1"/>
  </sheetPr>
  <dimension ref="A1:AU390"/>
  <sheetViews>
    <sheetView showGridLines="0" showRowColHeaders="0" zoomScale="85" zoomScaleNormal="85" workbookViewId="0">
      <selection activeCell="C6" sqref="C6"/>
    </sheetView>
  </sheetViews>
  <sheetFormatPr defaultColWidth="0" defaultRowHeight="15" customHeight="1" zeroHeight="1" x14ac:dyDescent="0.25"/>
  <cols>
    <col min="1" max="45" width="4.7109375" customWidth="1"/>
    <col min="46" max="16384" width="9.140625" hidden="1"/>
  </cols>
  <sheetData>
    <row r="1" spans="1:47" ht="15.95" customHeight="1" x14ac:dyDescent="0.3">
      <c r="A1" s="65"/>
      <c r="AH1" s="711" t="s">
        <v>494</v>
      </c>
      <c r="AI1" s="712"/>
      <c r="AJ1" s="712"/>
      <c r="AK1" s="712"/>
      <c r="AL1" s="723" t="s">
        <v>911</v>
      </c>
      <c r="AM1" s="723"/>
      <c r="AN1" s="723"/>
      <c r="AO1" s="723"/>
      <c r="AP1" s="723"/>
      <c r="AQ1" s="717" t="s">
        <v>499</v>
      </c>
      <c r="AR1" s="718"/>
    </row>
    <row r="2" spans="1:47" ht="15.95" customHeight="1" x14ac:dyDescent="0.25">
      <c r="AH2" s="713" t="str">
        <f ca="1">INCENSTATUS</f>
        <v>---</v>
      </c>
      <c r="AI2" s="714"/>
      <c r="AJ2" s="714"/>
      <c r="AK2" s="714"/>
      <c r="AL2" s="724" t="str">
        <f ca="1">PROJSTATUS</f>
        <v>Please Complete Initial Application</v>
      </c>
      <c r="AM2" s="724"/>
      <c r="AN2" s="724"/>
      <c r="AO2" s="724"/>
      <c r="AP2" s="724"/>
      <c r="AQ2" s="719">
        <f ca="1">PROGRESSSTATUS</f>
        <v>0</v>
      </c>
      <c r="AR2" s="720"/>
    </row>
    <row r="3" spans="1:47" ht="15.95" customHeight="1" x14ac:dyDescent="0.25">
      <c r="AH3" s="715"/>
      <c r="AI3" s="716"/>
      <c r="AJ3" s="716"/>
      <c r="AK3" s="716"/>
      <c r="AL3" s="725"/>
      <c r="AM3" s="725"/>
      <c r="AN3" s="725"/>
      <c r="AO3" s="725"/>
      <c r="AP3" s="725"/>
      <c r="AQ3" s="721"/>
      <c r="AR3" s="722"/>
    </row>
    <row r="4" spans="1:47" ht="15.95" customHeight="1" x14ac:dyDescent="0.25">
      <c r="AG4" s="63"/>
    </row>
    <row r="5" spans="1:47" ht="15.95" customHeight="1" x14ac:dyDescent="0.25"/>
    <row r="6" spans="1:47" ht="15.95" customHeight="1" x14ac:dyDescent="0.25">
      <c r="C6" s="64"/>
    </row>
    <row r="7" spans="1:47" ht="15.95" customHeight="1" x14ac:dyDescent="0.25"/>
    <row r="8" spans="1:47" ht="15.95" customHeight="1" x14ac:dyDescent="0.25"/>
    <row r="9" spans="1:47" ht="15.95" customHeight="1" x14ac:dyDescent="0.25">
      <c r="B9" s="135"/>
      <c r="C9" s="135"/>
      <c r="D9" s="135"/>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row>
    <row r="10" spans="1:47" ht="15.95" customHeight="1" x14ac:dyDescent="0.3">
      <c r="B10" s="135"/>
      <c r="C10" s="135"/>
      <c r="D10" s="135"/>
      <c r="E10" s="135"/>
      <c r="F10" s="732" t="s">
        <v>1746</v>
      </c>
      <c r="G10" s="732"/>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c r="AO10" s="135"/>
      <c r="AP10" s="135"/>
      <c r="AQ10" s="135"/>
      <c r="AR10" s="135"/>
    </row>
    <row r="11" spans="1:47" ht="15.95" customHeight="1" x14ac:dyDescent="0.25">
      <c r="F11" s="1404" t="s">
        <v>1893</v>
      </c>
      <c r="G11" s="1404"/>
      <c r="H11" s="1404"/>
      <c r="I11" s="1404"/>
      <c r="J11" s="1404"/>
      <c r="K11" s="1404"/>
      <c r="L11" s="1404"/>
      <c r="M11" s="1404"/>
      <c r="N11" s="1404"/>
      <c r="O11" s="1404"/>
      <c r="P11" s="1404"/>
      <c r="Q11" s="1404"/>
      <c r="R11" s="1404"/>
      <c r="S11" s="1404"/>
      <c r="T11" s="1404"/>
      <c r="U11" s="1404"/>
      <c r="V11" s="1404"/>
      <c r="W11" s="1404"/>
      <c r="X11" s="1404"/>
      <c r="Y11" s="1404"/>
      <c r="Z11" s="1404"/>
      <c r="AA11" s="1404"/>
      <c r="AB11" s="1404"/>
      <c r="AC11" s="1404"/>
      <c r="AD11" s="1404"/>
      <c r="AE11" s="1404"/>
      <c r="AF11" s="1404"/>
      <c r="AG11" s="1404"/>
      <c r="AH11" s="1404"/>
      <c r="AI11" s="1404"/>
      <c r="AJ11" s="1404"/>
      <c r="AK11" s="1404"/>
      <c r="AL11" s="1404"/>
      <c r="AM11" s="1404"/>
      <c r="AN11" s="1404"/>
    </row>
    <row r="12" spans="1:47" ht="15.95" customHeight="1" x14ac:dyDescent="0.25">
      <c r="F12" s="1404"/>
      <c r="G12" s="1404"/>
      <c r="H12" s="1404"/>
      <c r="I12" s="1404"/>
      <c r="J12" s="1404"/>
      <c r="K12" s="1404"/>
      <c r="L12" s="1404"/>
      <c r="M12" s="1404"/>
      <c r="N12" s="1404"/>
      <c r="O12" s="1404"/>
      <c r="P12" s="1404"/>
      <c r="Q12" s="1404"/>
      <c r="R12" s="1404"/>
      <c r="S12" s="1404"/>
      <c r="T12" s="1404"/>
      <c r="U12" s="1404"/>
      <c r="V12" s="1404"/>
      <c r="W12" s="1404"/>
      <c r="X12" s="1404"/>
      <c r="Y12" s="1404"/>
      <c r="Z12" s="1404"/>
      <c r="AA12" s="1404"/>
      <c r="AB12" s="1404"/>
      <c r="AC12" s="1404"/>
      <c r="AD12" s="1404"/>
      <c r="AE12" s="1404"/>
      <c r="AF12" s="1404"/>
      <c r="AG12" s="1404"/>
      <c r="AH12" s="1404"/>
      <c r="AI12" s="1404"/>
      <c r="AJ12" s="1404"/>
      <c r="AK12" s="1404"/>
      <c r="AL12" s="1404"/>
      <c r="AM12" s="1404"/>
      <c r="AN12" s="1404"/>
    </row>
    <row r="13" spans="1:47" ht="15.95" customHeight="1" x14ac:dyDescent="0.25">
      <c r="AU13" s="498"/>
    </row>
    <row r="14" spans="1:47" ht="15.95" customHeight="1" x14ac:dyDescent="0.25">
      <c r="I14" s="273"/>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5"/>
      <c r="AU14" s="498"/>
    </row>
    <row r="15" spans="1:47" ht="15.95" customHeight="1" x14ac:dyDescent="0.25">
      <c r="I15" s="264"/>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265"/>
      <c r="AU15" s="498"/>
    </row>
    <row r="16" spans="1:47" ht="15.95" customHeight="1" x14ac:dyDescent="0.25">
      <c r="I16" s="264"/>
      <c r="J16" s="541"/>
      <c r="K16" s="541"/>
      <c r="L16" s="541"/>
      <c r="M16" s="541"/>
      <c r="N16" s="541"/>
      <c r="O16" s="541"/>
      <c r="P16" s="541"/>
      <c r="Q16" s="541"/>
      <c r="R16" s="541"/>
      <c r="S16" s="541"/>
      <c r="T16" s="541"/>
      <c r="U16" s="541"/>
      <c r="V16" s="541"/>
      <c r="W16" s="541"/>
      <c r="X16" s="541"/>
      <c r="Y16" s="541"/>
      <c r="Z16" s="541"/>
      <c r="AA16" s="541"/>
      <c r="AB16" s="541"/>
      <c r="AC16" s="541"/>
      <c r="AD16" s="541"/>
      <c r="AE16" s="541"/>
      <c r="AF16" s="541"/>
      <c r="AG16" s="541"/>
      <c r="AH16" s="541"/>
      <c r="AI16" s="541"/>
      <c r="AJ16" s="541"/>
      <c r="AK16" s="265"/>
      <c r="AU16" s="498"/>
    </row>
    <row r="17" spans="2:47" ht="15.95" customHeight="1" x14ac:dyDescent="0.25">
      <c r="I17" s="264"/>
      <c r="J17" s="541"/>
      <c r="K17" s="541"/>
      <c r="L17" s="541"/>
      <c r="M17" s="541"/>
      <c r="N17" s="541"/>
      <c r="O17" s="541"/>
      <c r="P17" s="541"/>
      <c r="Q17" s="541"/>
      <c r="R17" s="541"/>
      <c r="S17" s="541"/>
      <c r="T17" s="541"/>
      <c r="U17" s="541"/>
      <c r="V17" s="541"/>
      <c r="W17" s="541"/>
      <c r="X17" s="541"/>
      <c r="Y17" s="541"/>
      <c r="Z17" s="541"/>
      <c r="AA17" s="541"/>
      <c r="AB17" s="541"/>
      <c r="AC17" s="541"/>
      <c r="AD17" s="541"/>
      <c r="AE17" s="541"/>
      <c r="AF17" s="541"/>
      <c r="AG17" s="541"/>
      <c r="AH17" s="541"/>
      <c r="AI17" s="541"/>
      <c r="AJ17" s="541"/>
      <c r="AK17" s="265"/>
      <c r="AU17" s="498"/>
    </row>
    <row r="18" spans="2:47" ht="15.95" customHeight="1" x14ac:dyDescent="0.25">
      <c r="I18" s="264"/>
      <c r="J18" s="541"/>
      <c r="K18" s="541"/>
      <c r="L18" s="541"/>
      <c r="M18" s="541"/>
      <c r="N18" s="541"/>
      <c r="O18" s="541"/>
      <c r="P18" s="541"/>
      <c r="Q18" s="541"/>
      <c r="R18" s="541"/>
      <c r="S18" s="541"/>
      <c r="T18" s="541"/>
      <c r="U18" s="541"/>
      <c r="V18" s="541"/>
      <c r="W18" s="541"/>
      <c r="X18" s="541"/>
      <c r="Y18" s="541"/>
      <c r="Z18" s="541"/>
      <c r="AA18" s="541"/>
      <c r="AB18" s="541"/>
      <c r="AC18" s="541"/>
      <c r="AD18" s="541"/>
      <c r="AE18" s="541"/>
      <c r="AF18" s="541"/>
      <c r="AG18" s="541"/>
      <c r="AH18" s="541"/>
      <c r="AI18" s="541"/>
      <c r="AJ18" s="541"/>
      <c r="AK18" s="265"/>
      <c r="AU18" s="498"/>
    </row>
    <row r="19" spans="2:47" ht="15.95" customHeight="1" x14ac:dyDescent="0.25">
      <c r="I19" s="264"/>
      <c r="J19" s="541"/>
      <c r="K19" s="1405" t="s">
        <v>1746</v>
      </c>
      <c r="L19" s="1405"/>
      <c r="M19" s="1405"/>
      <c r="N19" s="1405"/>
      <c r="O19" s="1405"/>
      <c r="P19" s="1405"/>
      <c r="Q19" s="1405"/>
      <c r="R19" s="1405"/>
      <c r="S19" s="1405"/>
      <c r="T19" s="1405"/>
      <c r="U19" s="1405"/>
      <c r="V19" s="1405"/>
      <c r="W19" s="1405"/>
      <c r="X19" s="1405"/>
      <c r="Y19" s="1405"/>
      <c r="Z19" s="1405"/>
      <c r="AA19" s="1405"/>
      <c r="AB19" s="1405"/>
      <c r="AC19" s="1405"/>
      <c r="AD19" s="1405"/>
      <c r="AE19" s="1405"/>
      <c r="AF19" s="1405"/>
      <c r="AG19" s="1405"/>
      <c r="AH19" s="1405"/>
      <c r="AI19" s="1405"/>
      <c r="AJ19" s="541"/>
      <c r="AK19" s="265"/>
      <c r="AU19" s="498"/>
    </row>
    <row r="20" spans="2:47" ht="15.95" customHeight="1" x14ac:dyDescent="0.25">
      <c r="I20" s="264"/>
      <c r="J20" s="541"/>
      <c r="K20" s="1405"/>
      <c r="L20" s="1405"/>
      <c r="M20" s="1405"/>
      <c r="N20" s="1405"/>
      <c r="O20" s="1405"/>
      <c r="P20" s="1405"/>
      <c r="Q20" s="1405"/>
      <c r="R20" s="1405"/>
      <c r="S20" s="1405"/>
      <c r="T20" s="1405"/>
      <c r="U20" s="1405"/>
      <c r="V20" s="1405"/>
      <c r="W20" s="1405"/>
      <c r="X20" s="1405"/>
      <c r="Y20" s="1405"/>
      <c r="Z20" s="1405"/>
      <c r="AA20" s="1405"/>
      <c r="AB20" s="1405"/>
      <c r="AC20" s="1405"/>
      <c r="AD20" s="1405"/>
      <c r="AE20" s="1405"/>
      <c r="AF20" s="1405"/>
      <c r="AG20" s="1405"/>
      <c r="AH20" s="1405"/>
      <c r="AI20" s="1405"/>
      <c r="AJ20" s="541"/>
      <c r="AK20" s="265"/>
      <c r="AU20" s="498"/>
    </row>
    <row r="21" spans="2:47" ht="15.95" customHeight="1" x14ac:dyDescent="0.25">
      <c r="I21" s="264"/>
      <c r="J21" s="542"/>
      <c r="K21" s="1406"/>
      <c r="L21" s="1406"/>
      <c r="M21" s="1406"/>
      <c r="N21" s="1406"/>
      <c r="O21" s="1406"/>
      <c r="P21" s="1406"/>
      <c r="Q21" s="1406"/>
      <c r="R21" s="1406"/>
      <c r="S21" s="1406"/>
      <c r="T21" s="1406"/>
      <c r="U21" s="1406"/>
      <c r="V21" s="1406"/>
      <c r="W21" s="1406"/>
      <c r="X21" s="1406"/>
      <c r="Y21" s="1406"/>
      <c r="Z21" s="1406"/>
      <c r="AA21" s="1406"/>
      <c r="AB21" s="1406"/>
      <c r="AC21" s="1406"/>
      <c r="AD21" s="1406"/>
      <c r="AE21" s="1406"/>
      <c r="AF21" s="1406"/>
      <c r="AG21" s="1406"/>
      <c r="AH21" s="1406"/>
      <c r="AI21" s="1406"/>
      <c r="AJ21" s="542"/>
      <c r="AK21" s="265"/>
      <c r="AU21" s="498"/>
    </row>
    <row r="22" spans="2:47" ht="15.95" customHeight="1" x14ac:dyDescent="0.25">
      <c r="I22" s="264"/>
      <c r="J22" s="542"/>
      <c r="K22" s="1406"/>
      <c r="L22" s="1406"/>
      <c r="M22" s="1406"/>
      <c r="N22" s="1406"/>
      <c r="O22" s="1406"/>
      <c r="P22" s="1406"/>
      <c r="Q22" s="1406"/>
      <c r="R22" s="1406"/>
      <c r="S22" s="1406"/>
      <c r="T22" s="1406"/>
      <c r="U22" s="1406"/>
      <c r="V22" s="1406"/>
      <c r="W22" s="1406"/>
      <c r="X22" s="1406"/>
      <c r="Y22" s="1406"/>
      <c r="Z22" s="1406"/>
      <c r="AA22" s="1406"/>
      <c r="AB22" s="1406"/>
      <c r="AC22" s="1406"/>
      <c r="AD22" s="1406"/>
      <c r="AE22" s="1406"/>
      <c r="AF22" s="1406"/>
      <c r="AG22" s="1406"/>
      <c r="AH22" s="1406"/>
      <c r="AI22" s="1406"/>
      <c r="AJ22" s="542"/>
      <c r="AK22" s="265"/>
      <c r="AU22" s="498"/>
    </row>
    <row r="23" spans="2:47" s="63" customFormat="1" ht="15.95" customHeight="1" x14ac:dyDescent="0.25">
      <c r="B23"/>
      <c r="C23"/>
      <c r="D23"/>
      <c r="E23"/>
      <c r="F23"/>
      <c r="G23"/>
      <c r="H23"/>
      <c r="I23" s="264"/>
      <c r="J23" s="152"/>
      <c r="K23" s="152"/>
      <c r="L23" s="152"/>
      <c r="M23" s="152"/>
      <c r="N23" s="152"/>
      <c r="O23" s="152"/>
      <c r="P23" s="152"/>
      <c r="Q23" s="152"/>
      <c r="R23" s="152"/>
      <c r="S23" s="152"/>
      <c r="T23" s="152"/>
      <c r="U23" s="152"/>
      <c r="V23" s="152"/>
      <c r="W23" s="152"/>
      <c r="X23" s="152"/>
      <c r="Y23" s="152"/>
      <c r="Z23" s="152"/>
      <c r="AA23" s="152"/>
      <c r="AB23" s="152"/>
      <c r="AC23" s="152"/>
      <c r="AD23" s="152"/>
      <c r="AE23" s="152"/>
      <c r="AF23" s="152"/>
      <c r="AG23" s="152"/>
      <c r="AH23" s="152"/>
      <c r="AI23" s="152"/>
      <c r="AJ23" s="152"/>
      <c r="AK23" s="265"/>
      <c r="AL23"/>
      <c r="AM23"/>
      <c r="AN23"/>
      <c r="AO23"/>
      <c r="AP23"/>
      <c r="AQ23"/>
      <c r="AR23"/>
      <c r="AU23" s="498"/>
    </row>
    <row r="24" spans="2:47" s="63" customFormat="1" ht="15.95" customHeight="1" x14ac:dyDescent="0.3">
      <c r="B24"/>
      <c r="C24"/>
      <c r="D24"/>
      <c r="E24"/>
      <c r="F24"/>
      <c r="G24"/>
      <c r="H24"/>
      <c r="I24" s="286"/>
      <c r="J24" s="499"/>
      <c r="K24" s="1408" t="s">
        <v>1974</v>
      </c>
      <c r="L24" s="1408"/>
      <c r="M24" s="1408"/>
      <c r="N24" s="1408"/>
      <c r="O24" s="1408"/>
      <c r="P24" s="1408"/>
      <c r="Q24" s="1408"/>
      <c r="R24" s="1408"/>
      <c r="S24" s="1408"/>
      <c r="T24" s="1408"/>
      <c r="U24" s="1408"/>
      <c r="V24" s="1408"/>
      <c r="W24" s="1408"/>
      <c r="X24" s="1408"/>
      <c r="Y24" s="1408"/>
      <c r="Z24" s="1408"/>
      <c r="AA24" s="1408"/>
      <c r="AB24" s="1408"/>
      <c r="AC24" s="1408"/>
      <c r="AD24" s="1408"/>
      <c r="AE24" s="1408"/>
      <c r="AF24" s="1408"/>
      <c r="AG24" s="1408"/>
      <c r="AH24" s="1408"/>
      <c r="AI24" s="1408"/>
      <c r="AJ24" s="543"/>
      <c r="AK24" s="544"/>
      <c r="AL24" s="539"/>
      <c r="AM24" s="539"/>
      <c r="AN24" s="539"/>
      <c r="AO24" s="539"/>
      <c r="AP24" s="539"/>
      <c r="AQ24" s="539"/>
      <c r="AR24" s="539"/>
      <c r="AS24" s="539"/>
      <c r="AT24" s="498"/>
      <c r="AU24" s="498"/>
    </row>
    <row r="25" spans="2:47" s="63" customFormat="1" ht="15.95" customHeight="1" x14ac:dyDescent="0.25">
      <c r="B25"/>
      <c r="C25"/>
      <c r="D25"/>
      <c r="E25"/>
      <c r="F25"/>
      <c r="G25"/>
      <c r="H25"/>
      <c r="I25" s="286"/>
      <c r="J25" s="499"/>
      <c r="K25" s="498"/>
      <c r="L25" s="498"/>
      <c r="M25" s="498"/>
      <c r="N25" s="498"/>
      <c r="O25" s="498"/>
      <c r="P25" s="498"/>
      <c r="Q25" s="498"/>
      <c r="R25" s="498"/>
      <c r="S25" s="498"/>
      <c r="T25" s="498"/>
      <c r="U25" s="498"/>
      <c r="V25" s="498"/>
      <c r="W25" s="498"/>
      <c r="X25" s="498"/>
      <c r="Y25" s="498"/>
      <c r="Z25" s="498"/>
      <c r="AA25" s="498"/>
      <c r="AB25" s="498"/>
      <c r="AC25" s="498"/>
      <c r="AD25" s="498"/>
      <c r="AE25" s="498"/>
      <c r="AF25" s="498"/>
      <c r="AG25" s="498"/>
      <c r="AH25" s="498"/>
      <c r="AI25" s="498"/>
      <c r="AJ25" s="498"/>
      <c r="AK25" s="545"/>
      <c r="AU25" s="498"/>
    </row>
    <row r="26" spans="2:47" s="63" customFormat="1" ht="15.95" customHeight="1" x14ac:dyDescent="0.25">
      <c r="B26"/>
      <c r="C26"/>
      <c r="D26"/>
      <c r="E26"/>
      <c r="F26"/>
      <c r="G26"/>
      <c r="H26"/>
      <c r="I26" s="286"/>
      <c r="J26" s="499" t="b">
        <f ca="1">IF(TEMPLATE!$C$123=1,TRUE,FALSE)</f>
        <v>0</v>
      </c>
      <c r="K26" s="498"/>
      <c r="L26" s="500" t="s">
        <v>1747</v>
      </c>
      <c r="M26" s="501"/>
      <c r="N26" s="501"/>
      <c r="O26" s="501"/>
      <c r="P26" s="501"/>
      <c r="Q26" s="501"/>
      <c r="R26" s="501"/>
      <c r="S26" s="501"/>
      <c r="T26" s="501"/>
      <c r="U26" s="501"/>
      <c r="V26" s="501"/>
      <c r="W26" s="501"/>
      <c r="X26" s="501"/>
      <c r="Y26" s="501"/>
      <c r="Z26" s="501"/>
      <c r="AA26" s="502"/>
      <c r="AB26" s="498"/>
      <c r="AC26" s="498"/>
      <c r="AD26" s="498"/>
      <c r="AE26" s="503"/>
      <c r="AF26" s="498"/>
      <c r="AG26" s="498"/>
      <c r="AH26" s="498"/>
      <c r="AI26" s="498"/>
      <c r="AJ26" s="498"/>
      <c r="AK26" s="545"/>
      <c r="AU26" s="498"/>
    </row>
    <row r="27" spans="2:47" s="63" customFormat="1" ht="15.95" customHeight="1" x14ac:dyDescent="0.25">
      <c r="B27"/>
      <c r="C27"/>
      <c r="D27"/>
      <c r="E27"/>
      <c r="F27"/>
      <c r="G27"/>
      <c r="H27"/>
      <c r="I27" s="286"/>
      <c r="J27" s="499"/>
      <c r="K27" s="498"/>
      <c r="L27" s="501"/>
      <c r="M27" s="501"/>
      <c r="N27" s="501"/>
      <c r="O27" s="501"/>
      <c r="P27" s="501"/>
      <c r="Q27" s="501"/>
      <c r="R27" s="501"/>
      <c r="S27" s="501"/>
      <c r="T27" s="501"/>
      <c r="U27" s="501"/>
      <c r="V27" s="501"/>
      <c r="W27" s="501"/>
      <c r="X27" s="501"/>
      <c r="Y27" s="501"/>
      <c r="Z27" s="501"/>
      <c r="AA27" s="502"/>
      <c r="AB27" s="498"/>
      <c r="AC27" s="498"/>
      <c r="AD27" s="498"/>
      <c r="AE27" s="498"/>
      <c r="AF27" s="498"/>
      <c r="AG27" s="498"/>
      <c r="AH27" s="498"/>
      <c r="AI27" s="498"/>
      <c r="AJ27" s="498"/>
      <c r="AK27" s="545"/>
      <c r="AU27" s="498"/>
    </row>
    <row r="28" spans="2:47" s="63" customFormat="1" ht="15.95" customHeight="1" x14ac:dyDescent="0.25">
      <c r="B28"/>
      <c r="C28"/>
      <c r="D28"/>
      <c r="E28"/>
      <c r="F28"/>
      <c r="G28"/>
      <c r="H28"/>
      <c r="I28" s="286"/>
      <c r="J28" s="499" t="b">
        <f>IF(AND(J29=TRUE,J30=TRUE,J31=TRUE),TRUE,FALSE)</f>
        <v>0</v>
      </c>
      <c r="K28" s="498"/>
      <c r="L28" s="500" t="s">
        <v>1748</v>
      </c>
      <c r="M28" s="501"/>
      <c r="N28" s="501"/>
      <c r="O28" s="501"/>
      <c r="P28" s="501"/>
      <c r="Q28" s="501"/>
      <c r="R28" s="501"/>
      <c r="S28" s="501"/>
      <c r="T28" s="501"/>
      <c r="U28" s="501"/>
      <c r="V28" s="501"/>
      <c r="W28" s="501"/>
      <c r="X28" s="501"/>
      <c r="Y28" s="501"/>
      <c r="Z28" s="501"/>
      <c r="AA28" s="504"/>
      <c r="AB28" s="498"/>
      <c r="AC28" s="498"/>
      <c r="AD28" s="498"/>
      <c r="AE28" s="498"/>
      <c r="AF28" s="498"/>
      <c r="AG28" s="498"/>
      <c r="AH28" s="498"/>
      <c r="AI28" s="498"/>
      <c r="AJ28" s="498"/>
      <c r="AK28" s="545"/>
      <c r="AU28" s="498"/>
    </row>
    <row r="29" spans="2:47" s="63" customFormat="1" ht="15.95" customHeight="1" x14ac:dyDescent="0.25">
      <c r="B29"/>
      <c r="C29"/>
      <c r="D29"/>
      <c r="E29"/>
      <c r="F29"/>
      <c r="G29"/>
      <c r="H29"/>
      <c r="I29" s="286"/>
      <c r="J29" s="499" t="b">
        <f>IF(M02S04F11="",FALSE,TRUE)</f>
        <v>0</v>
      </c>
      <c r="K29" s="501"/>
      <c r="L29" s="498"/>
      <c r="M29" s="505" t="s">
        <v>1749</v>
      </c>
      <c r="N29" s="501"/>
      <c r="O29" s="501"/>
      <c r="P29" s="501"/>
      <c r="Q29" s="501"/>
      <c r="R29" s="501"/>
      <c r="S29" s="501"/>
      <c r="T29" s="501"/>
      <c r="U29" s="501"/>
      <c r="V29" s="501"/>
      <c r="W29" s="501"/>
      <c r="X29" s="501"/>
      <c r="Y29" s="501"/>
      <c r="Z29" s="501"/>
      <c r="AA29" s="502"/>
      <c r="AB29" s="498"/>
      <c r="AC29" s="498"/>
      <c r="AD29" s="498"/>
      <c r="AE29" s="498"/>
      <c r="AF29" s="498"/>
      <c r="AG29" s="498"/>
      <c r="AH29" s="498"/>
      <c r="AI29" s="498"/>
      <c r="AJ29" s="498"/>
      <c r="AK29" s="545"/>
      <c r="AU29" s="498"/>
    </row>
    <row r="30" spans="2:47" s="63" customFormat="1" ht="15.95" customHeight="1" x14ac:dyDescent="0.25">
      <c r="B30"/>
      <c r="C30"/>
      <c r="D30"/>
      <c r="E30"/>
      <c r="F30"/>
      <c r="G30"/>
      <c r="H30"/>
      <c r="I30" s="286"/>
      <c r="J30" s="499" t="b">
        <f>IF(M02S04F01="",FALSE,TRUE)</f>
        <v>0</v>
      </c>
      <c r="K30" s="501"/>
      <c r="L30" s="498"/>
      <c r="M30" s="505" t="s">
        <v>1970</v>
      </c>
      <c r="N30" s="501"/>
      <c r="O30" s="501"/>
      <c r="P30" s="501"/>
      <c r="Q30" s="501"/>
      <c r="R30" s="501"/>
      <c r="S30" s="501"/>
      <c r="T30" s="501"/>
      <c r="U30" s="501"/>
      <c r="V30" s="501"/>
      <c r="W30" s="501"/>
      <c r="X30" s="501"/>
      <c r="Y30" s="501"/>
      <c r="Z30" s="501"/>
      <c r="AA30" s="504"/>
      <c r="AB30" s="498"/>
      <c r="AC30" s="498"/>
      <c r="AD30" s="498"/>
      <c r="AE30" s="498"/>
      <c r="AF30" s="498"/>
      <c r="AG30" s="498"/>
      <c r="AH30" s="498"/>
      <c r="AI30" s="498"/>
      <c r="AJ30" s="498"/>
      <c r="AK30" s="545"/>
      <c r="AL30" s="470"/>
      <c r="AM30" s="470"/>
      <c r="AN30" s="470"/>
      <c r="AO30" s="470"/>
      <c r="AP30" s="470"/>
      <c r="AQ30" s="498"/>
      <c r="AR30" s="498"/>
      <c r="AS30" s="498"/>
      <c r="AT30" s="498"/>
      <c r="AU30" s="498"/>
    </row>
    <row r="31" spans="2:47" s="63" customFormat="1" ht="15.95" customHeight="1" x14ac:dyDescent="0.25">
      <c r="B31"/>
      <c r="C31"/>
      <c r="D31"/>
      <c r="E31"/>
      <c r="F31"/>
      <c r="G31"/>
      <c r="H31"/>
      <c r="I31" s="286"/>
      <c r="J31" s="499" t="b">
        <f>TEMPLATE!$C$170</f>
        <v>0</v>
      </c>
      <c r="K31" s="501"/>
      <c r="L31" s="498"/>
      <c r="M31" s="505" t="s">
        <v>1750</v>
      </c>
      <c r="N31" s="501"/>
      <c r="O31" s="501"/>
      <c r="P31" s="506"/>
      <c r="Q31" s="501"/>
      <c r="R31" s="501"/>
      <c r="S31" s="501"/>
      <c r="T31" s="501"/>
      <c r="U31" s="501"/>
      <c r="V31" s="501"/>
      <c r="W31" s="501"/>
      <c r="X31" s="501"/>
      <c r="Y31" s="501"/>
      <c r="Z31" s="501"/>
      <c r="AA31" s="504"/>
      <c r="AB31" s="498"/>
      <c r="AC31" s="498"/>
      <c r="AD31" s="498"/>
      <c r="AE31" s="498"/>
      <c r="AF31" s="498"/>
      <c r="AG31" s="498"/>
      <c r="AH31" s="498"/>
      <c r="AI31" s="498"/>
      <c r="AJ31" s="498"/>
      <c r="AK31" s="545"/>
      <c r="AL31" s="498"/>
      <c r="AM31" s="498"/>
      <c r="AN31" s="498"/>
      <c r="AO31" s="498"/>
      <c r="AP31" s="498"/>
      <c r="AQ31" s="498"/>
      <c r="AR31" s="498"/>
      <c r="AS31" s="498"/>
      <c r="AT31" s="498"/>
      <c r="AU31" s="498"/>
    </row>
    <row r="32" spans="2:47" s="63" customFormat="1" ht="15.95" customHeight="1" x14ac:dyDescent="0.25">
      <c r="B32"/>
      <c r="C32"/>
      <c r="D32"/>
      <c r="E32"/>
      <c r="F32"/>
      <c r="G32"/>
      <c r="H32"/>
      <c r="I32" s="286"/>
      <c r="J32" s="499"/>
      <c r="K32" s="501"/>
      <c r="L32" s="501"/>
      <c r="M32" s="508"/>
      <c r="N32" s="501"/>
      <c r="O32" s="501"/>
      <c r="P32" s="501"/>
      <c r="Q32" s="501"/>
      <c r="R32" s="501"/>
      <c r="S32" s="501"/>
      <c r="T32" s="501"/>
      <c r="U32" s="501"/>
      <c r="V32" s="501"/>
      <c r="W32" s="501"/>
      <c r="X32" s="501"/>
      <c r="Y32" s="501"/>
      <c r="Z32" s="501"/>
      <c r="AA32" s="498"/>
      <c r="AB32" s="498"/>
      <c r="AC32" s="498"/>
      <c r="AD32" s="498"/>
      <c r="AE32" s="504"/>
      <c r="AF32" s="498"/>
      <c r="AG32" s="498"/>
      <c r="AH32" s="498"/>
      <c r="AI32" s="498"/>
      <c r="AJ32" s="498"/>
      <c r="AK32" s="545"/>
      <c r="AL32" s="470"/>
      <c r="AM32" s="470"/>
      <c r="AN32" s="470"/>
      <c r="AO32" s="470"/>
      <c r="AP32" s="470"/>
      <c r="AQ32" s="470"/>
      <c r="AR32" s="470"/>
      <c r="AS32" s="498"/>
      <c r="AT32" s="498"/>
      <c r="AU32" s="498"/>
    </row>
    <row r="33" spans="2:47" s="63" customFormat="1" ht="15.95" customHeight="1" x14ac:dyDescent="0.25">
      <c r="B33"/>
      <c r="C33"/>
      <c r="D33"/>
      <c r="E33"/>
      <c r="F33"/>
      <c r="G33"/>
      <c r="H33"/>
      <c r="I33" s="286"/>
      <c r="J33" s="499" t="b">
        <f>IF(OR('M05-S05'!$Y$51="",'M05-S05'!$Y$51="Sign Here"),FALSE,TRUE)</f>
        <v>0</v>
      </c>
      <c r="K33" s="498"/>
      <c r="L33" s="500" t="s">
        <v>1922</v>
      </c>
      <c r="M33" s="498"/>
      <c r="N33" s="498"/>
      <c r="O33" s="498"/>
      <c r="P33" s="498"/>
      <c r="Q33" s="498"/>
      <c r="R33" s="498"/>
      <c r="S33" s="498"/>
      <c r="T33" s="498"/>
      <c r="U33" s="498"/>
      <c r="V33" s="498"/>
      <c r="W33" s="498"/>
      <c r="X33" s="498"/>
      <c r="Y33" s="498"/>
      <c r="Z33" s="498"/>
      <c r="AA33" s="502"/>
      <c r="AB33" s="498"/>
      <c r="AC33" s="498"/>
      <c r="AD33" s="498"/>
      <c r="AE33" s="504"/>
      <c r="AF33" s="498"/>
      <c r="AG33" s="498"/>
      <c r="AH33" s="498"/>
      <c r="AI33" s="498"/>
      <c r="AJ33" s="498"/>
      <c r="AK33" s="545"/>
      <c r="AL33" s="470"/>
      <c r="AM33" s="470"/>
      <c r="AN33" s="470"/>
      <c r="AO33" s="470"/>
      <c r="AP33" s="470"/>
      <c r="AQ33" s="470"/>
      <c r="AR33" s="470"/>
      <c r="AS33" s="498"/>
      <c r="AT33" s="498"/>
      <c r="AU33" s="498"/>
    </row>
    <row r="34" spans="2:47" s="63" customFormat="1" ht="15.95" customHeight="1" x14ac:dyDescent="0.25">
      <c r="B34"/>
      <c r="C34"/>
      <c r="D34"/>
      <c r="E34"/>
      <c r="F34"/>
      <c r="G34"/>
      <c r="H34"/>
      <c r="I34" s="286"/>
      <c r="J34" s="499"/>
      <c r="K34" s="504"/>
      <c r="L34" s="498"/>
      <c r="M34" s="498"/>
      <c r="N34" s="504"/>
      <c r="O34" s="504"/>
      <c r="P34" s="504"/>
      <c r="Q34" s="504"/>
      <c r="R34" s="504"/>
      <c r="S34" s="504"/>
      <c r="T34" s="504"/>
      <c r="U34" s="504"/>
      <c r="V34" s="498"/>
      <c r="W34" s="498"/>
      <c r="X34" s="498"/>
      <c r="Y34" s="498"/>
      <c r="Z34" s="498"/>
      <c r="AA34" s="498"/>
      <c r="AB34" s="498"/>
      <c r="AC34" s="498"/>
      <c r="AD34" s="498"/>
      <c r="AE34" s="504"/>
      <c r="AF34" s="498"/>
      <c r="AG34" s="498"/>
      <c r="AH34" s="498"/>
      <c r="AI34" s="498"/>
      <c r="AJ34" s="498"/>
      <c r="AK34" s="545"/>
      <c r="AL34" s="470"/>
      <c r="AM34" s="470"/>
      <c r="AN34" s="470"/>
      <c r="AO34" s="470"/>
      <c r="AP34" s="470"/>
      <c r="AQ34" s="470"/>
      <c r="AR34" s="470"/>
      <c r="AS34" s="498"/>
      <c r="AT34" s="498"/>
      <c r="AU34" s="498"/>
    </row>
    <row r="35" spans="2:47" s="63" customFormat="1" ht="15.95" customHeight="1" x14ac:dyDescent="0.3">
      <c r="C35"/>
      <c r="D35"/>
      <c r="E35"/>
      <c r="F35"/>
      <c r="G35"/>
      <c r="H35"/>
      <c r="I35" s="286"/>
      <c r="J35" s="499"/>
      <c r="K35" s="1408" t="s">
        <v>1724</v>
      </c>
      <c r="L35" s="1408"/>
      <c r="M35" s="1408"/>
      <c r="N35" s="1408"/>
      <c r="O35" s="1408"/>
      <c r="P35" s="1408"/>
      <c r="Q35" s="1408"/>
      <c r="R35" s="1408"/>
      <c r="S35" s="1408"/>
      <c r="T35" s="1408"/>
      <c r="U35" s="1408"/>
      <c r="V35" s="1408"/>
      <c r="W35" s="1408"/>
      <c r="X35" s="1408"/>
      <c r="Y35" s="1408"/>
      <c r="Z35" s="1408"/>
      <c r="AA35" s="1408"/>
      <c r="AB35" s="1408"/>
      <c r="AC35" s="1408"/>
      <c r="AD35" s="1408"/>
      <c r="AE35" s="1408"/>
      <c r="AF35" s="1408"/>
      <c r="AG35" s="1408"/>
      <c r="AH35" s="1408"/>
      <c r="AI35" s="1408"/>
      <c r="AJ35" s="543"/>
      <c r="AK35" s="544"/>
      <c r="AL35" s="539"/>
      <c r="AM35" s="539"/>
      <c r="AN35" s="539"/>
      <c r="AO35" s="539"/>
      <c r="AP35" s="539"/>
      <c r="AQ35" s="539"/>
      <c r="AR35" s="539"/>
      <c r="AS35" s="539"/>
      <c r="AT35" s="498"/>
      <c r="AU35" s="498"/>
    </row>
    <row r="36" spans="2:47" s="63" customFormat="1" ht="15.95" customHeight="1" x14ac:dyDescent="0.25">
      <c r="C36"/>
      <c r="D36"/>
      <c r="E36"/>
      <c r="F36"/>
      <c r="G36"/>
      <c r="H36"/>
      <c r="I36" s="286"/>
      <c r="J36" s="499"/>
      <c r="K36" s="504"/>
      <c r="L36" s="498"/>
      <c r="M36" s="498"/>
      <c r="N36" s="498"/>
      <c r="O36" s="498"/>
      <c r="P36" s="509"/>
      <c r="Q36" s="498"/>
      <c r="R36" s="498"/>
      <c r="S36" s="498"/>
      <c r="T36" s="498"/>
      <c r="U36" s="498"/>
      <c r="V36" s="498"/>
      <c r="W36" s="498"/>
      <c r="X36" s="498"/>
      <c r="Y36" s="498"/>
      <c r="Z36" s="498"/>
      <c r="AA36" s="498"/>
      <c r="AB36" s="498"/>
      <c r="AC36" s="498"/>
      <c r="AD36" s="498"/>
      <c r="AE36" s="504"/>
      <c r="AF36" s="498"/>
      <c r="AG36" s="498"/>
      <c r="AH36" s="498"/>
      <c r="AI36" s="498"/>
      <c r="AJ36" s="498"/>
      <c r="AK36" s="545"/>
      <c r="AL36" s="470"/>
      <c r="AM36" s="470"/>
      <c r="AN36" s="470"/>
      <c r="AO36" s="470"/>
      <c r="AP36" s="470"/>
      <c r="AQ36" s="470"/>
      <c r="AR36" s="470"/>
      <c r="AS36" s="498"/>
      <c r="AT36" s="498"/>
      <c r="AU36" s="498"/>
    </row>
    <row r="37" spans="2:47" s="63" customFormat="1" ht="15.95" customHeight="1" x14ac:dyDescent="0.25">
      <c r="C37"/>
      <c r="D37"/>
      <c r="E37"/>
      <c r="F37"/>
      <c r="G37"/>
      <c r="H37"/>
      <c r="I37" s="286"/>
      <c r="J37" s="510" t="b">
        <f>IF('M03-S01'!$R$12=0,FALSE,TRUE)</f>
        <v>0</v>
      </c>
      <c r="K37" s="498"/>
      <c r="L37" s="500" t="s">
        <v>1751</v>
      </c>
      <c r="M37" s="501"/>
      <c r="N37" s="501"/>
      <c r="O37" s="501"/>
      <c r="P37" s="501"/>
      <c r="Q37" s="501"/>
      <c r="R37" s="501"/>
      <c r="S37" s="501"/>
      <c r="T37" s="501"/>
      <c r="U37" s="501"/>
      <c r="V37" s="501"/>
      <c r="W37" s="501"/>
      <c r="X37" s="501"/>
      <c r="Y37" s="501"/>
      <c r="Z37" s="501"/>
      <c r="AA37" s="501"/>
      <c r="AB37" s="501"/>
      <c r="AC37" s="501"/>
      <c r="AD37" s="501"/>
      <c r="AE37" s="501"/>
      <c r="AF37" s="501"/>
      <c r="AG37" s="501"/>
      <c r="AH37" s="501"/>
      <c r="AI37" s="501"/>
      <c r="AJ37" s="501"/>
      <c r="AK37" s="546"/>
      <c r="AL37" s="507"/>
      <c r="AM37" s="507"/>
      <c r="AN37" s="507"/>
      <c r="AO37" s="507"/>
      <c r="AP37" s="507"/>
      <c r="AQ37" s="507"/>
      <c r="AR37" s="507"/>
      <c r="AS37" s="507"/>
      <c r="AT37" s="470"/>
      <c r="AU37" s="498"/>
    </row>
    <row r="38" spans="2:47" s="63" customFormat="1" ht="15.95" customHeight="1" x14ac:dyDescent="0.25">
      <c r="C38"/>
      <c r="D38"/>
      <c r="E38"/>
      <c r="F38"/>
      <c r="G38"/>
      <c r="H38"/>
      <c r="I38" s="286"/>
      <c r="J38" s="510"/>
      <c r="K38" s="498"/>
      <c r="L38" s="501"/>
      <c r="M38" s="508"/>
      <c r="N38" s="501"/>
      <c r="O38" s="501"/>
      <c r="P38" s="501"/>
      <c r="Q38" s="501"/>
      <c r="R38" s="501"/>
      <c r="S38" s="501"/>
      <c r="T38" s="501"/>
      <c r="U38" s="501"/>
      <c r="V38" s="501"/>
      <c r="W38" s="501"/>
      <c r="X38" s="501"/>
      <c r="Y38" s="501"/>
      <c r="Z38" s="501"/>
      <c r="AA38" s="501"/>
      <c r="AB38" s="501"/>
      <c r="AC38" s="501"/>
      <c r="AD38" s="501"/>
      <c r="AE38" s="501"/>
      <c r="AF38" s="501"/>
      <c r="AG38" s="501"/>
      <c r="AH38" s="501"/>
      <c r="AI38" s="501"/>
      <c r="AJ38" s="501"/>
      <c r="AK38" s="546"/>
      <c r="AL38" s="507"/>
      <c r="AM38" s="507"/>
      <c r="AN38" s="507"/>
      <c r="AO38" s="507"/>
      <c r="AP38" s="507"/>
      <c r="AQ38" s="507"/>
      <c r="AR38" s="507"/>
      <c r="AS38" s="507"/>
      <c r="AT38" s="470"/>
      <c r="AU38" s="498"/>
    </row>
    <row r="39" spans="2:47" s="63" customFormat="1" ht="15.95" customHeight="1" x14ac:dyDescent="0.25">
      <c r="C39"/>
      <c r="D39"/>
      <c r="E39"/>
      <c r="F39"/>
      <c r="G39"/>
      <c r="H39"/>
      <c r="I39" s="286"/>
      <c r="J39" s="510"/>
      <c r="K39" s="498"/>
      <c r="L39" s="511" t="s">
        <v>1965</v>
      </c>
      <c r="M39" s="501"/>
      <c r="N39" s="501"/>
      <c r="O39" s="501"/>
      <c r="P39" s="501"/>
      <c r="Q39" s="501"/>
      <c r="R39" s="501"/>
      <c r="S39" s="501"/>
      <c r="T39" s="501"/>
      <c r="U39" s="501"/>
      <c r="V39" s="501"/>
      <c r="W39" s="501"/>
      <c r="X39" s="501"/>
      <c r="Y39" s="501"/>
      <c r="Z39" s="501"/>
      <c r="AA39" s="501"/>
      <c r="AB39" s="501"/>
      <c r="AC39" s="501"/>
      <c r="AD39" s="501"/>
      <c r="AE39" s="501"/>
      <c r="AF39" s="501"/>
      <c r="AG39" s="501"/>
      <c r="AH39" s="501"/>
      <c r="AI39" s="501"/>
      <c r="AJ39" s="501"/>
      <c r="AK39" s="546"/>
      <c r="AL39" s="507"/>
      <c r="AM39" s="507"/>
      <c r="AN39" s="507"/>
      <c r="AO39" s="507"/>
      <c r="AP39" s="507"/>
      <c r="AQ39" s="507"/>
      <c r="AR39" s="507"/>
      <c r="AS39" s="507"/>
      <c r="AT39" s="470"/>
      <c r="AU39" s="498"/>
    </row>
    <row r="40" spans="2:47" s="63" customFormat="1" ht="15.95" customHeight="1" x14ac:dyDescent="0.25">
      <c r="C40"/>
      <c r="D40"/>
      <c r="E40"/>
      <c r="F40"/>
      <c r="G40"/>
      <c r="H40"/>
      <c r="I40" s="286"/>
      <c r="J40" s="510"/>
      <c r="K40" s="498"/>
      <c r="L40" s="501"/>
      <c r="M40" s="1409" t="s">
        <v>1752</v>
      </c>
      <c r="N40" s="1409"/>
      <c r="O40" s="1409"/>
      <c r="P40" s="1409"/>
      <c r="Q40" s="1409"/>
      <c r="R40" s="1409"/>
      <c r="S40" s="1409"/>
      <c r="T40" s="1409"/>
      <c r="U40" s="1409"/>
      <c r="V40" s="1409"/>
      <c r="W40" s="1409"/>
      <c r="X40" s="1409"/>
      <c r="Y40" s="1409"/>
      <c r="Z40" s="1409"/>
      <c r="AA40" s="1409"/>
      <c r="AB40" s="1409"/>
      <c r="AC40" s="1409"/>
      <c r="AD40" s="1409"/>
      <c r="AE40" s="1409"/>
      <c r="AF40" s="1409"/>
      <c r="AG40" s="1409"/>
      <c r="AH40" s="1409"/>
      <c r="AI40" s="1409"/>
      <c r="AJ40" s="511"/>
      <c r="AK40" s="547"/>
      <c r="AL40" s="513"/>
      <c r="AM40" s="513"/>
      <c r="AN40" s="513"/>
      <c r="AO40" s="513"/>
      <c r="AP40" s="513"/>
      <c r="AQ40" s="513"/>
      <c r="AR40" s="513"/>
      <c r="AS40" s="513"/>
      <c r="AT40" s="514"/>
      <c r="AU40" s="498"/>
    </row>
    <row r="41" spans="2:47" s="63" customFormat="1" ht="15.95" customHeight="1" x14ac:dyDescent="0.25">
      <c r="I41" s="286"/>
      <c r="J41" s="510"/>
      <c r="K41" s="498"/>
      <c r="L41" s="501"/>
      <c r="M41" s="1409"/>
      <c r="N41" s="1409"/>
      <c r="O41" s="1409"/>
      <c r="P41" s="1409"/>
      <c r="Q41" s="1409"/>
      <c r="R41" s="1409"/>
      <c r="S41" s="1409"/>
      <c r="T41" s="1409"/>
      <c r="U41" s="1409"/>
      <c r="V41" s="1409"/>
      <c r="W41" s="1409"/>
      <c r="X41" s="1409"/>
      <c r="Y41" s="1409"/>
      <c r="Z41" s="1409"/>
      <c r="AA41" s="1409"/>
      <c r="AB41" s="1409"/>
      <c r="AC41" s="1409"/>
      <c r="AD41" s="1409"/>
      <c r="AE41" s="1409"/>
      <c r="AF41" s="1409"/>
      <c r="AG41" s="1409"/>
      <c r="AH41" s="1409"/>
      <c r="AI41" s="1409"/>
      <c r="AJ41" s="511"/>
      <c r="AK41" s="547"/>
      <c r="AL41" s="513"/>
      <c r="AM41" s="513"/>
      <c r="AN41" s="513"/>
      <c r="AO41" s="513"/>
      <c r="AP41" s="513"/>
      <c r="AQ41" s="513"/>
      <c r="AR41" s="513"/>
      <c r="AS41" s="513"/>
      <c r="AT41" s="514"/>
      <c r="AU41" s="498"/>
    </row>
    <row r="42" spans="2:47" s="63" customFormat="1" ht="15.95" customHeight="1" x14ac:dyDescent="0.25">
      <c r="C42"/>
      <c r="D42"/>
      <c r="E42"/>
      <c r="F42"/>
      <c r="G42"/>
      <c r="H42"/>
      <c r="I42" s="286"/>
      <c r="J42" s="510"/>
      <c r="K42" s="498"/>
      <c r="L42" s="501"/>
      <c r="M42" s="1409" t="s">
        <v>1753</v>
      </c>
      <c r="N42" s="1409"/>
      <c r="O42" s="1409"/>
      <c r="P42" s="1409"/>
      <c r="Q42" s="1409"/>
      <c r="R42" s="1409"/>
      <c r="S42" s="1409"/>
      <c r="T42" s="1409"/>
      <c r="U42" s="1409"/>
      <c r="V42" s="1409"/>
      <c r="W42" s="1409"/>
      <c r="X42" s="1409"/>
      <c r="Y42" s="1409"/>
      <c r="Z42" s="1409"/>
      <c r="AA42" s="1409"/>
      <c r="AB42" s="1409"/>
      <c r="AC42" s="1409"/>
      <c r="AD42" s="1409"/>
      <c r="AE42" s="1409"/>
      <c r="AF42" s="1409"/>
      <c r="AG42" s="1409"/>
      <c r="AH42" s="1409"/>
      <c r="AI42" s="1409"/>
      <c r="AJ42" s="540"/>
      <c r="AK42" s="548"/>
      <c r="AL42" s="540"/>
      <c r="AM42" s="540"/>
      <c r="AN42" s="540"/>
      <c r="AO42" s="540"/>
      <c r="AP42" s="540"/>
      <c r="AQ42" s="540"/>
      <c r="AR42" s="540"/>
      <c r="AS42" s="540"/>
      <c r="AT42" s="540"/>
      <c r="AU42" s="498"/>
    </row>
    <row r="43" spans="2:47" s="63" customFormat="1" ht="15.95" customHeight="1" x14ac:dyDescent="0.25">
      <c r="C43"/>
      <c r="D43"/>
      <c r="E43"/>
      <c r="F43"/>
      <c r="G43"/>
      <c r="H43"/>
      <c r="I43" s="286"/>
      <c r="J43" s="510"/>
      <c r="K43" s="498"/>
      <c r="L43" s="501"/>
      <c r="M43" s="1409"/>
      <c r="N43" s="1409"/>
      <c r="O43" s="1409"/>
      <c r="P43" s="1409"/>
      <c r="Q43" s="1409"/>
      <c r="R43" s="1409"/>
      <c r="S43" s="1409"/>
      <c r="T43" s="1409"/>
      <c r="U43" s="1409"/>
      <c r="V43" s="1409"/>
      <c r="W43" s="1409"/>
      <c r="X43" s="1409"/>
      <c r="Y43" s="1409"/>
      <c r="Z43" s="1409"/>
      <c r="AA43" s="1409"/>
      <c r="AB43" s="1409"/>
      <c r="AC43" s="1409"/>
      <c r="AD43" s="1409"/>
      <c r="AE43" s="1409"/>
      <c r="AF43" s="1409"/>
      <c r="AG43" s="1409"/>
      <c r="AH43" s="1409"/>
      <c r="AI43" s="1409"/>
      <c r="AJ43" s="540"/>
      <c r="AK43" s="548"/>
      <c r="AL43" s="540"/>
      <c r="AM43" s="540"/>
      <c r="AN43" s="540"/>
      <c r="AO43" s="540"/>
      <c r="AP43" s="540"/>
      <c r="AQ43" s="540"/>
      <c r="AR43" s="540"/>
      <c r="AS43" s="540"/>
      <c r="AT43" s="540"/>
      <c r="AU43" s="498"/>
    </row>
    <row r="44" spans="2:47" s="63" customFormat="1" ht="15.95" customHeight="1" x14ac:dyDescent="0.25">
      <c r="C44"/>
      <c r="D44"/>
      <c r="E44"/>
      <c r="F44"/>
      <c r="G44"/>
      <c r="H44"/>
      <c r="I44" s="286"/>
      <c r="J44" s="510"/>
      <c r="K44" s="498"/>
      <c r="L44" s="501"/>
      <c r="M44" s="501"/>
      <c r="N44" s="515"/>
      <c r="O44" s="515"/>
      <c r="P44" s="515"/>
      <c r="Q44" s="515"/>
      <c r="R44" s="515"/>
      <c r="S44" s="515"/>
      <c r="T44" s="515"/>
      <c r="U44" s="501"/>
      <c r="V44" s="501"/>
      <c r="W44" s="501"/>
      <c r="X44" s="501"/>
      <c r="Y44" s="501"/>
      <c r="Z44" s="501"/>
      <c r="AA44" s="501"/>
      <c r="AB44" s="501"/>
      <c r="AC44" s="501"/>
      <c r="AD44" s="501"/>
      <c r="AE44" s="501"/>
      <c r="AF44" s="501"/>
      <c r="AG44" s="501"/>
      <c r="AH44" s="501"/>
      <c r="AI44" s="501"/>
      <c r="AJ44" s="501"/>
      <c r="AK44" s="546"/>
      <c r="AL44" s="507"/>
      <c r="AM44" s="507"/>
      <c r="AN44" s="507"/>
      <c r="AO44" s="507"/>
      <c r="AP44" s="507"/>
      <c r="AQ44" s="507"/>
      <c r="AR44" s="507"/>
      <c r="AS44" s="507"/>
      <c r="AT44" s="470"/>
      <c r="AU44" s="498"/>
    </row>
    <row r="45" spans="2:47" s="63" customFormat="1" ht="15.95" customHeight="1" x14ac:dyDescent="0.25">
      <c r="C45"/>
      <c r="D45"/>
      <c r="E45"/>
      <c r="F45"/>
      <c r="G45"/>
      <c r="H45"/>
      <c r="I45" s="286"/>
      <c r="J45" s="510"/>
      <c r="K45" s="498"/>
      <c r="L45" s="511" t="s">
        <v>1966</v>
      </c>
      <c r="M45" s="501"/>
      <c r="N45" s="515"/>
      <c r="O45" s="515"/>
      <c r="P45" s="515"/>
      <c r="Q45" s="515"/>
      <c r="R45" s="515"/>
      <c r="S45" s="515"/>
      <c r="T45" s="515"/>
      <c r="U45" s="501"/>
      <c r="V45" s="501"/>
      <c r="W45" s="501"/>
      <c r="X45" s="501"/>
      <c r="Y45" s="501"/>
      <c r="Z45" s="501"/>
      <c r="AA45" s="501"/>
      <c r="AB45" s="501"/>
      <c r="AC45" s="501"/>
      <c r="AD45" s="501"/>
      <c r="AE45" s="501"/>
      <c r="AF45" s="501"/>
      <c r="AG45" s="501"/>
      <c r="AH45" s="501"/>
      <c r="AI45" s="501"/>
      <c r="AJ45" s="501"/>
      <c r="AK45" s="546"/>
      <c r="AL45" s="507"/>
      <c r="AM45" s="507"/>
      <c r="AN45" s="507"/>
      <c r="AO45" s="507"/>
      <c r="AP45" s="507"/>
      <c r="AQ45" s="507"/>
      <c r="AR45" s="507"/>
      <c r="AS45" s="507"/>
      <c r="AT45" s="470"/>
      <c r="AU45" s="498"/>
    </row>
    <row r="46" spans="2:47" s="63" customFormat="1" ht="15.95" customHeight="1" x14ac:dyDescent="0.25">
      <c r="C46"/>
      <c r="D46"/>
      <c r="E46"/>
      <c r="F46"/>
      <c r="G46"/>
      <c r="H46"/>
      <c r="I46" s="286"/>
      <c r="J46" s="510"/>
      <c r="K46" s="498"/>
      <c r="L46" s="501"/>
      <c r="M46" s="512" t="s">
        <v>1754</v>
      </c>
      <c r="N46" s="501"/>
      <c r="O46" s="501"/>
      <c r="P46" s="501"/>
      <c r="Q46" s="501"/>
      <c r="R46" s="501"/>
      <c r="S46" s="501"/>
      <c r="T46" s="501"/>
      <c r="U46" s="501"/>
      <c r="V46" s="501"/>
      <c r="W46" s="501"/>
      <c r="X46" s="501"/>
      <c r="Y46" s="501"/>
      <c r="Z46" s="501"/>
      <c r="AA46" s="501"/>
      <c r="AB46" s="501"/>
      <c r="AC46" s="501"/>
      <c r="AD46" s="501"/>
      <c r="AE46" s="501"/>
      <c r="AF46" s="501"/>
      <c r="AG46" s="501"/>
      <c r="AH46" s="501"/>
      <c r="AI46" s="501"/>
      <c r="AJ46" s="501"/>
      <c r="AK46" s="546"/>
      <c r="AL46" s="501"/>
      <c r="AM46" s="501"/>
      <c r="AN46" s="501"/>
      <c r="AO46" s="501"/>
      <c r="AP46" s="501"/>
      <c r="AQ46" s="501"/>
      <c r="AR46" s="501"/>
      <c r="AS46" s="501"/>
      <c r="AT46" s="498"/>
      <c r="AU46" s="498"/>
    </row>
    <row r="47" spans="2:47" s="63" customFormat="1" ht="15.95" customHeight="1" x14ac:dyDescent="0.25">
      <c r="C47"/>
      <c r="D47"/>
      <c r="E47"/>
      <c r="F47"/>
      <c r="G47"/>
      <c r="H47"/>
      <c r="I47" s="286"/>
      <c r="J47" s="510"/>
      <c r="K47" s="498"/>
      <c r="L47" s="501"/>
      <c r="M47" s="512" t="s">
        <v>1755</v>
      </c>
      <c r="N47" s="501"/>
      <c r="O47" s="501"/>
      <c r="P47" s="501"/>
      <c r="Q47" s="501"/>
      <c r="R47" s="501"/>
      <c r="S47" s="501"/>
      <c r="T47" s="501"/>
      <c r="U47" s="501"/>
      <c r="V47" s="501"/>
      <c r="W47" s="501"/>
      <c r="X47" s="501"/>
      <c r="Y47" s="501"/>
      <c r="Z47" s="501"/>
      <c r="AA47" s="501"/>
      <c r="AB47" s="501"/>
      <c r="AC47" s="501"/>
      <c r="AD47" s="501"/>
      <c r="AE47" s="501"/>
      <c r="AF47" s="501"/>
      <c r="AG47" s="501"/>
      <c r="AH47" s="501"/>
      <c r="AI47" s="501"/>
      <c r="AJ47" s="501"/>
      <c r="AK47" s="546"/>
      <c r="AL47" s="507"/>
      <c r="AM47" s="507"/>
      <c r="AN47" s="507"/>
      <c r="AO47" s="507"/>
      <c r="AP47" s="507"/>
      <c r="AQ47" s="507"/>
      <c r="AR47" s="507"/>
      <c r="AS47" s="507"/>
      <c r="AT47" s="470"/>
      <c r="AU47" s="498"/>
    </row>
    <row r="48" spans="2:47" s="63" customFormat="1" ht="15.95" customHeight="1" x14ac:dyDescent="0.25">
      <c r="C48"/>
      <c r="D48"/>
      <c r="E48"/>
      <c r="F48"/>
      <c r="G48"/>
      <c r="H48"/>
      <c r="I48" s="286"/>
      <c r="J48" s="510"/>
      <c r="K48" s="498"/>
      <c r="L48" s="501"/>
      <c r="M48" s="512" t="s">
        <v>1756</v>
      </c>
      <c r="N48" s="501"/>
      <c r="O48" s="501"/>
      <c r="P48" s="501"/>
      <c r="Q48" s="501"/>
      <c r="R48" s="501"/>
      <c r="S48" s="501"/>
      <c r="T48" s="501"/>
      <c r="U48" s="501"/>
      <c r="V48" s="501"/>
      <c r="W48" s="501"/>
      <c r="X48" s="501"/>
      <c r="Y48" s="501"/>
      <c r="Z48" s="501"/>
      <c r="AA48" s="501"/>
      <c r="AB48" s="501"/>
      <c r="AC48" s="501"/>
      <c r="AD48" s="501"/>
      <c r="AE48" s="501"/>
      <c r="AF48" s="501"/>
      <c r="AG48" s="501"/>
      <c r="AH48" s="501"/>
      <c r="AI48" s="501"/>
      <c r="AJ48" s="501"/>
      <c r="AK48" s="546"/>
      <c r="AL48" s="507"/>
      <c r="AM48" s="507"/>
      <c r="AN48" s="507"/>
      <c r="AO48" s="507"/>
      <c r="AP48" s="507"/>
      <c r="AQ48" s="507"/>
      <c r="AR48" s="507"/>
      <c r="AS48" s="507"/>
      <c r="AT48" s="470"/>
      <c r="AU48" s="498"/>
    </row>
    <row r="49" spans="3:47" s="63" customFormat="1" ht="15.95" customHeight="1" x14ac:dyDescent="0.25">
      <c r="C49"/>
      <c r="D49"/>
      <c r="E49"/>
      <c r="F49"/>
      <c r="G49"/>
      <c r="H49"/>
      <c r="I49" s="286"/>
      <c r="J49" s="510"/>
      <c r="K49" s="504"/>
      <c r="L49" s="501"/>
      <c r="M49" s="501"/>
      <c r="N49" s="501"/>
      <c r="O49" s="501"/>
      <c r="P49" s="501"/>
      <c r="Q49" s="501"/>
      <c r="R49" s="501"/>
      <c r="S49" s="501"/>
      <c r="T49" s="501"/>
      <c r="U49" s="501"/>
      <c r="V49" s="501"/>
      <c r="W49" s="501"/>
      <c r="X49" s="501"/>
      <c r="Y49" s="501"/>
      <c r="Z49" s="501"/>
      <c r="AA49" s="501"/>
      <c r="AB49" s="501"/>
      <c r="AC49" s="501"/>
      <c r="AD49" s="501"/>
      <c r="AE49" s="501"/>
      <c r="AF49" s="501"/>
      <c r="AG49" s="501"/>
      <c r="AH49" s="501"/>
      <c r="AI49" s="501"/>
      <c r="AJ49" s="501"/>
      <c r="AK49" s="546"/>
      <c r="AL49" s="507"/>
      <c r="AM49" s="507"/>
      <c r="AN49" s="507"/>
      <c r="AO49" s="507"/>
      <c r="AP49" s="507"/>
      <c r="AQ49" s="507"/>
      <c r="AR49" s="507"/>
      <c r="AS49" s="507"/>
      <c r="AT49" s="470"/>
      <c r="AU49" s="498"/>
    </row>
    <row r="50" spans="3:47" s="63" customFormat="1" ht="15.95" customHeight="1" x14ac:dyDescent="0.3">
      <c r="C50"/>
      <c r="D50"/>
      <c r="E50"/>
      <c r="F50"/>
      <c r="G50"/>
      <c r="H50"/>
      <c r="I50" s="286"/>
      <c r="J50" s="499"/>
      <c r="K50" s="1408" t="s">
        <v>1975</v>
      </c>
      <c r="L50" s="1408"/>
      <c r="M50" s="1408"/>
      <c r="N50" s="1408"/>
      <c r="O50" s="1408"/>
      <c r="P50" s="1408"/>
      <c r="Q50" s="1408"/>
      <c r="R50" s="1408"/>
      <c r="S50" s="1408"/>
      <c r="T50" s="1408"/>
      <c r="U50" s="1408"/>
      <c r="V50" s="1408"/>
      <c r="W50" s="1408"/>
      <c r="X50" s="1408"/>
      <c r="Y50" s="1408"/>
      <c r="Z50" s="1408"/>
      <c r="AA50" s="1408"/>
      <c r="AB50" s="1408"/>
      <c r="AC50" s="1408"/>
      <c r="AD50" s="1408"/>
      <c r="AE50" s="1408"/>
      <c r="AF50" s="1408"/>
      <c r="AG50" s="1408"/>
      <c r="AH50" s="1408"/>
      <c r="AI50" s="1408"/>
      <c r="AJ50" s="543"/>
      <c r="AK50" s="544"/>
      <c r="AL50" s="539"/>
      <c r="AM50" s="539"/>
      <c r="AN50" s="539"/>
      <c r="AO50" s="539"/>
      <c r="AP50" s="539"/>
      <c r="AQ50" s="539"/>
      <c r="AR50" s="539"/>
      <c r="AS50" s="539"/>
      <c r="AT50" s="470"/>
      <c r="AU50" s="498"/>
    </row>
    <row r="51" spans="3:47" s="63" customFormat="1" ht="15.95" customHeight="1" x14ac:dyDescent="0.25">
      <c r="C51"/>
      <c r="D51"/>
      <c r="E51"/>
      <c r="F51"/>
      <c r="G51"/>
      <c r="H51"/>
      <c r="I51" s="286"/>
      <c r="J51" s="499"/>
      <c r="K51" s="498"/>
      <c r="L51" s="498"/>
      <c r="M51" s="498"/>
      <c r="N51" s="498"/>
      <c r="O51" s="498"/>
      <c r="P51" s="498"/>
      <c r="Q51" s="498"/>
      <c r="R51" s="498"/>
      <c r="S51" s="498"/>
      <c r="T51" s="498"/>
      <c r="U51" s="498"/>
      <c r="V51" s="498"/>
      <c r="W51" s="498"/>
      <c r="X51" s="498"/>
      <c r="Y51" s="498"/>
      <c r="Z51" s="498"/>
      <c r="AA51" s="498"/>
      <c r="AB51" s="498"/>
      <c r="AC51" s="498"/>
      <c r="AD51" s="498"/>
      <c r="AE51" s="498"/>
      <c r="AF51" s="498"/>
      <c r="AG51" s="498"/>
      <c r="AH51" s="498"/>
      <c r="AI51" s="498"/>
      <c r="AJ51" s="498"/>
      <c r="AK51" s="545"/>
      <c r="AL51" s="470"/>
      <c r="AM51" s="470"/>
      <c r="AN51" s="504"/>
      <c r="AO51" s="504"/>
      <c r="AP51" s="498"/>
      <c r="AQ51" s="498"/>
      <c r="AR51" s="498"/>
      <c r="AS51" s="498"/>
      <c r="AT51" s="498"/>
      <c r="AU51" s="498"/>
    </row>
    <row r="52" spans="3:47" s="63" customFormat="1" ht="15.95" customHeight="1" x14ac:dyDescent="0.25">
      <c r="C52"/>
      <c r="D52"/>
      <c r="E52"/>
      <c r="F52"/>
      <c r="G52"/>
      <c r="H52"/>
      <c r="I52" s="286"/>
      <c r="J52" s="499" t="b">
        <f>IF('M03-S02'!$R$12=0,FALSE,TRUE)</f>
        <v>0</v>
      </c>
      <c r="K52" s="498"/>
      <c r="L52" s="500" t="s">
        <v>1757</v>
      </c>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c r="AJ52" s="501"/>
      <c r="AK52" s="546"/>
      <c r="AL52" s="507"/>
      <c r="AM52" s="507"/>
      <c r="AN52" s="501"/>
      <c r="AO52" s="501"/>
      <c r="AP52" s="501"/>
      <c r="AQ52" s="501"/>
      <c r="AR52" s="501"/>
      <c r="AS52" s="501"/>
      <c r="AT52" s="501"/>
      <c r="AU52" s="498"/>
    </row>
    <row r="53" spans="3:47" s="63" customFormat="1" ht="15.95" customHeight="1" x14ac:dyDescent="0.25">
      <c r="C53"/>
      <c r="D53"/>
      <c r="E53"/>
      <c r="F53"/>
      <c r="G53"/>
      <c r="H53"/>
      <c r="I53" s="286"/>
      <c r="J53" s="499" t="b">
        <f>IF(AND(M03S02F01="",M03S02F07="",M03S02F13="",M03S02F19=""),FALSE,TRUE)</f>
        <v>0</v>
      </c>
      <c r="K53" s="498"/>
      <c r="L53" s="516"/>
      <c r="M53" s="505" t="s">
        <v>1971</v>
      </c>
      <c r="N53" s="516"/>
      <c r="O53" s="517"/>
      <c r="P53" s="516"/>
      <c r="Q53" s="516"/>
      <c r="R53" s="501"/>
      <c r="S53" s="501"/>
      <c r="T53" s="501"/>
      <c r="U53" s="501"/>
      <c r="V53" s="501"/>
      <c r="W53" s="501"/>
      <c r="X53" s="501"/>
      <c r="Y53" s="501"/>
      <c r="Z53" s="501"/>
      <c r="AA53" s="501"/>
      <c r="AB53" s="501"/>
      <c r="AC53" s="501"/>
      <c r="AD53" s="501"/>
      <c r="AE53" s="501"/>
      <c r="AF53" s="501"/>
      <c r="AG53" s="501"/>
      <c r="AH53" s="501"/>
      <c r="AI53" s="501"/>
      <c r="AJ53" s="501"/>
      <c r="AK53" s="546"/>
      <c r="AL53" s="507"/>
      <c r="AM53" s="507"/>
      <c r="AN53" s="501"/>
      <c r="AO53" s="501"/>
      <c r="AP53" s="501"/>
      <c r="AQ53" s="501"/>
      <c r="AR53" s="501"/>
      <c r="AS53" s="501"/>
      <c r="AT53" s="501"/>
      <c r="AU53" s="498"/>
    </row>
    <row r="54" spans="3:47" s="63" customFormat="1" ht="15.95" customHeight="1" x14ac:dyDescent="0.25">
      <c r="C54"/>
      <c r="D54"/>
      <c r="E54"/>
      <c r="F54"/>
      <c r="G54"/>
      <c r="H54"/>
      <c r="I54" s="286"/>
      <c r="J54" s="499" t="b">
        <f>IF(AND('M03-S02'!$R$66=0,'M03-S02'!$AM$66=0,'M03-S02'!$R$118=0,'M03-S02'!$AM$118=0),FALSE,TRUE)</f>
        <v>0</v>
      </c>
      <c r="K54" s="498"/>
      <c r="L54" s="518"/>
      <c r="M54" s="505" t="s">
        <v>1972</v>
      </c>
      <c r="N54" s="516"/>
      <c r="O54" s="516"/>
      <c r="P54" s="516"/>
      <c r="Q54" s="516"/>
      <c r="R54" s="501"/>
      <c r="S54" s="501"/>
      <c r="T54" s="501"/>
      <c r="U54" s="501"/>
      <c r="V54" s="501"/>
      <c r="W54" s="501"/>
      <c r="X54" s="501"/>
      <c r="Y54" s="501"/>
      <c r="Z54" s="501"/>
      <c r="AA54" s="501"/>
      <c r="AB54" s="501"/>
      <c r="AC54" s="501"/>
      <c r="AD54" s="501"/>
      <c r="AE54" s="501"/>
      <c r="AF54" s="501"/>
      <c r="AG54" s="501"/>
      <c r="AH54" s="501"/>
      <c r="AI54" s="501"/>
      <c r="AJ54" s="501"/>
      <c r="AK54" s="546"/>
      <c r="AL54" s="507"/>
      <c r="AM54" s="507"/>
      <c r="AN54" s="501"/>
      <c r="AO54" s="501"/>
      <c r="AP54" s="501"/>
      <c r="AQ54" s="501"/>
      <c r="AR54" s="501"/>
      <c r="AS54" s="501"/>
      <c r="AT54" s="501"/>
      <c r="AU54" s="498"/>
    </row>
    <row r="55" spans="3:47" s="63" customFormat="1" ht="15.95" customHeight="1" x14ac:dyDescent="0.25">
      <c r="C55"/>
      <c r="D55"/>
      <c r="E55"/>
      <c r="F55"/>
      <c r="G55"/>
      <c r="H55"/>
      <c r="I55" s="286"/>
      <c r="J55" s="549"/>
      <c r="K55" s="519"/>
      <c r="L55" s="501"/>
      <c r="M55" s="516"/>
      <c r="N55" s="516"/>
      <c r="O55" s="516"/>
      <c r="P55" s="516"/>
      <c r="Q55" s="516"/>
      <c r="R55" s="501"/>
      <c r="S55" s="501"/>
      <c r="T55" s="501"/>
      <c r="U55" s="501"/>
      <c r="V55" s="501"/>
      <c r="W55" s="501"/>
      <c r="X55" s="501"/>
      <c r="Y55" s="501"/>
      <c r="Z55" s="501"/>
      <c r="AA55" s="501"/>
      <c r="AB55" s="501"/>
      <c r="AC55" s="501"/>
      <c r="AD55" s="501"/>
      <c r="AE55" s="501"/>
      <c r="AF55" s="501"/>
      <c r="AG55" s="501"/>
      <c r="AH55" s="501"/>
      <c r="AI55" s="501"/>
      <c r="AJ55" s="501"/>
      <c r="AK55" s="546"/>
      <c r="AL55" s="507"/>
      <c r="AM55" s="507"/>
      <c r="AN55" s="501"/>
      <c r="AO55" s="501"/>
      <c r="AP55" s="501"/>
      <c r="AQ55" s="501"/>
      <c r="AR55" s="501"/>
      <c r="AS55" s="501"/>
      <c r="AT55" s="501"/>
      <c r="AU55" s="498"/>
    </row>
    <row r="56" spans="3:47" s="63" customFormat="1" ht="15.95" customHeight="1" x14ac:dyDescent="0.25">
      <c r="C56"/>
      <c r="D56"/>
      <c r="E56"/>
      <c r="F56"/>
      <c r="G56"/>
      <c r="H56"/>
      <c r="I56" s="286"/>
      <c r="J56" s="499"/>
      <c r="K56" s="504"/>
      <c r="L56" s="511" t="s">
        <v>1967</v>
      </c>
      <c r="M56" s="501"/>
      <c r="N56" s="501"/>
      <c r="O56" s="501"/>
      <c r="P56" s="501"/>
      <c r="Q56" s="501"/>
      <c r="R56" s="501"/>
      <c r="S56" s="501"/>
      <c r="T56" s="501"/>
      <c r="U56" s="501"/>
      <c r="V56" s="501"/>
      <c r="W56" s="501"/>
      <c r="X56" s="501"/>
      <c r="Y56" s="501"/>
      <c r="Z56" s="501"/>
      <c r="AA56" s="501"/>
      <c r="AB56" s="501"/>
      <c r="AC56" s="501"/>
      <c r="AD56" s="501"/>
      <c r="AE56" s="501"/>
      <c r="AF56" s="501"/>
      <c r="AG56" s="501"/>
      <c r="AH56" s="501"/>
      <c r="AI56" s="501"/>
      <c r="AJ56" s="501"/>
      <c r="AK56" s="546"/>
      <c r="AL56" s="507"/>
      <c r="AM56" s="507"/>
      <c r="AN56" s="516"/>
      <c r="AO56" s="516"/>
      <c r="AP56" s="501"/>
      <c r="AQ56" s="501"/>
      <c r="AR56" s="501"/>
      <c r="AS56" s="501"/>
      <c r="AT56" s="501"/>
      <c r="AU56" s="498"/>
    </row>
    <row r="57" spans="3:47" s="63" customFormat="1" ht="15.95" customHeight="1" x14ac:dyDescent="0.25">
      <c r="C57"/>
      <c r="D57"/>
      <c r="E57"/>
      <c r="F57"/>
      <c r="G57"/>
      <c r="H57"/>
      <c r="I57" s="286"/>
      <c r="J57" s="499"/>
      <c r="K57" s="498"/>
      <c r="L57" s="501"/>
      <c r="M57" s="501"/>
      <c r="N57" s="501"/>
      <c r="O57" s="501"/>
      <c r="P57" s="501"/>
      <c r="Q57" s="501"/>
      <c r="R57" s="501"/>
      <c r="S57" s="501"/>
      <c r="T57" s="501"/>
      <c r="U57" s="501"/>
      <c r="V57" s="501"/>
      <c r="W57" s="501"/>
      <c r="X57" s="501"/>
      <c r="Y57" s="501"/>
      <c r="Z57" s="501"/>
      <c r="AA57" s="501"/>
      <c r="AB57" s="501"/>
      <c r="AC57" s="501"/>
      <c r="AD57" s="501"/>
      <c r="AE57" s="501"/>
      <c r="AF57" s="501"/>
      <c r="AG57" s="501"/>
      <c r="AH57" s="501"/>
      <c r="AI57" s="501"/>
      <c r="AJ57" s="501"/>
      <c r="AK57" s="546"/>
      <c r="AL57" s="507"/>
      <c r="AM57" s="507"/>
      <c r="AN57" s="516"/>
      <c r="AO57" s="516"/>
      <c r="AP57" s="501"/>
      <c r="AQ57" s="501"/>
      <c r="AR57" s="501"/>
      <c r="AS57" s="501"/>
      <c r="AT57" s="501"/>
      <c r="AU57" s="498"/>
    </row>
    <row r="58" spans="3:47" s="63" customFormat="1" ht="15.95" customHeight="1" x14ac:dyDescent="0.25">
      <c r="C58"/>
      <c r="D58"/>
      <c r="E58"/>
      <c r="F58"/>
      <c r="G58"/>
      <c r="H58"/>
      <c r="I58" s="286"/>
      <c r="J58" s="499"/>
      <c r="K58" s="498"/>
      <c r="L58" s="511" t="s">
        <v>1968</v>
      </c>
      <c r="M58" s="516"/>
      <c r="N58" s="516"/>
      <c r="O58" s="516"/>
      <c r="P58" s="516"/>
      <c r="Q58" s="516"/>
      <c r="R58" s="516"/>
      <c r="S58" s="516"/>
      <c r="T58" s="516"/>
      <c r="U58" s="501"/>
      <c r="V58" s="501"/>
      <c r="W58" s="501"/>
      <c r="X58" s="501"/>
      <c r="Y58" s="501"/>
      <c r="Z58" s="501"/>
      <c r="AA58" s="501"/>
      <c r="AB58" s="501"/>
      <c r="AC58" s="501"/>
      <c r="AD58" s="501"/>
      <c r="AE58" s="501"/>
      <c r="AF58" s="501"/>
      <c r="AG58" s="501"/>
      <c r="AH58" s="501"/>
      <c r="AI58" s="501"/>
      <c r="AJ58" s="501"/>
      <c r="AK58" s="546"/>
      <c r="AL58" s="507"/>
      <c r="AM58" s="507"/>
      <c r="AN58" s="507"/>
      <c r="AO58" s="507"/>
      <c r="AP58" s="507"/>
      <c r="AQ58" s="507"/>
      <c r="AR58" s="507"/>
      <c r="AS58" s="507"/>
      <c r="AT58" s="507"/>
      <c r="AU58" s="498"/>
    </row>
    <row r="59" spans="3:47" s="63" customFormat="1" ht="15.95" customHeight="1" x14ac:dyDescent="0.25">
      <c r="C59"/>
      <c r="D59"/>
      <c r="E59"/>
      <c r="F59"/>
      <c r="G59"/>
      <c r="H59"/>
      <c r="I59" s="286"/>
      <c r="J59" s="499"/>
      <c r="K59" s="498"/>
      <c r="L59" s="516"/>
      <c r="M59" s="516"/>
      <c r="N59" s="516"/>
      <c r="O59" s="516"/>
      <c r="P59" s="516"/>
      <c r="Q59" s="516"/>
      <c r="R59" s="516"/>
      <c r="S59" s="516"/>
      <c r="T59" s="516"/>
      <c r="U59" s="501"/>
      <c r="V59" s="501"/>
      <c r="W59" s="501"/>
      <c r="X59" s="501"/>
      <c r="Y59" s="501"/>
      <c r="Z59" s="501"/>
      <c r="AA59" s="501"/>
      <c r="AB59" s="501"/>
      <c r="AC59" s="501"/>
      <c r="AD59" s="501"/>
      <c r="AE59" s="501"/>
      <c r="AF59" s="501"/>
      <c r="AG59" s="501"/>
      <c r="AH59" s="501"/>
      <c r="AI59" s="501"/>
      <c r="AJ59" s="501"/>
      <c r="AK59" s="546"/>
      <c r="AL59" s="507"/>
      <c r="AM59" s="507"/>
      <c r="AN59" s="507"/>
      <c r="AO59" s="507"/>
      <c r="AP59" s="507"/>
      <c r="AQ59" s="507"/>
      <c r="AR59" s="507"/>
      <c r="AS59" s="507"/>
      <c r="AT59" s="507"/>
      <c r="AU59" s="498"/>
    </row>
    <row r="60" spans="3:47" s="63" customFormat="1" ht="15.95" customHeight="1" x14ac:dyDescent="0.25">
      <c r="C60"/>
      <c r="D60"/>
      <c r="E60"/>
      <c r="F60"/>
      <c r="G60"/>
      <c r="H60"/>
      <c r="I60" s="286"/>
      <c r="J60" s="499"/>
      <c r="K60" s="498"/>
      <c r="L60" s="511" t="s">
        <v>1969</v>
      </c>
      <c r="M60" s="501"/>
      <c r="N60" s="501"/>
      <c r="O60" s="501"/>
      <c r="P60" s="501"/>
      <c r="Q60" s="501"/>
      <c r="R60" s="501"/>
      <c r="S60" s="501"/>
      <c r="T60" s="501"/>
      <c r="U60" s="501"/>
      <c r="V60" s="501"/>
      <c r="W60" s="501"/>
      <c r="X60" s="501"/>
      <c r="Y60" s="501"/>
      <c r="Z60" s="501"/>
      <c r="AA60" s="501"/>
      <c r="AB60" s="501"/>
      <c r="AC60" s="501"/>
      <c r="AD60" s="501"/>
      <c r="AE60" s="501"/>
      <c r="AF60" s="501"/>
      <c r="AG60" s="501"/>
      <c r="AH60" s="501"/>
      <c r="AI60" s="501"/>
      <c r="AJ60" s="501"/>
      <c r="AK60" s="546"/>
      <c r="AL60" s="507"/>
      <c r="AM60" s="507"/>
      <c r="AN60" s="507"/>
      <c r="AO60" s="507"/>
      <c r="AP60" s="507"/>
      <c r="AQ60" s="507"/>
      <c r="AR60" s="507"/>
      <c r="AS60" s="507"/>
      <c r="AT60" s="507"/>
      <c r="AU60" s="498"/>
    </row>
    <row r="61" spans="3:47" s="63" customFormat="1" ht="15.95" customHeight="1" x14ac:dyDescent="0.25">
      <c r="C61"/>
      <c r="D61"/>
      <c r="E61"/>
      <c r="F61"/>
      <c r="G61"/>
      <c r="H61"/>
      <c r="I61" s="286"/>
      <c r="J61" s="499"/>
      <c r="K61" s="498"/>
      <c r="L61" s="501"/>
      <c r="M61" s="501"/>
      <c r="N61" s="501"/>
      <c r="O61" s="501"/>
      <c r="P61" s="501"/>
      <c r="Q61" s="501"/>
      <c r="R61" s="501"/>
      <c r="S61" s="501"/>
      <c r="T61" s="501"/>
      <c r="U61" s="501"/>
      <c r="V61" s="501"/>
      <c r="W61" s="501"/>
      <c r="X61" s="501"/>
      <c r="Y61" s="501"/>
      <c r="Z61" s="501"/>
      <c r="AA61" s="501"/>
      <c r="AB61" s="501"/>
      <c r="AC61" s="501"/>
      <c r="AD61" s="501"/>
      <c r="AE61" s="501"/>
      <c r="AF61" s="501"/>
      <c r="AG61" s="501"/>
      <c r="AH61" s="501"/>
      <c r="AI61" s="501"/>
      <c r="AJ61" s="501"/>
      <c r="AK61" s="546"/>
      <c r="AL61" s="507"/>
      <c r="AM61" s="501"/>
      <c r="AN61" s="501"/>
      <c r="AO61" s="501"/>
      <c r="AP61" s="501"/>
      <c r="AQ61" s="501"/>
      <c r="AR61" s="501"/>
      <c r="AS61" s="501"/>
      <c r="AT61" s="501"/>
      <c r="AU61" s="498"/>
    </row>
    <row r="62" spans="3:47" s="63" customFormat="1" ht="15.95" customHeight="1" x14ac:dyDescent="0.3">
      <c r="C62"/>
      <c r="D62"/>
      <c r="E62"/>
      <c r="F62"/>
      <c r="G62"/>
      <c r="H62"/>
      <c r="I62" s="286"/>
      <c r="J62" s="499"/>
      <c r="K62" s="1408" t="s">
        <v>2270</v>
      </c>
      <c r="L62" s="1408"/>
      <c r="M62" s="1408"/>
      <c r="N62" s="1408"/>
      <c r="O62" s="1408"/>
      <c r="P62" s="1408"/>
      <c r="Q62" s="1408"/>
      <c r="R62" s="1408"/>
      <c r="S62" s="1408"/>
      <c r="T62" s="1408"/>
      <c r="U62" s="1408"/>
      <c r="V62" s="1408"/>
      <c r="W62" s="1408"/>
      <c r="X62" s="1408"/>
      <c r="Y62" s="1408"/>
      <c r="Z62" s="1408"/>
      <c r="AA62" s="1408"/>
      <c r="AB62" s="1408"/>
      <c r="AC62" s="1408"/>
      <c r="AD62" s="1408"/>
      <c r="AE62" s="1408"/>
      <c r="AF62" s="1408"/>
      <c r="AG62" s="1408"/>
      <c r="AH62" s="1408"/>
      <c r="AI62" s="1408"/>
      <c r="AJ62" s="1408"/>
      <c r="AK62" s="544"/>
      <c r="AL62" s="539"/>
      <c r="AM62" s="539"/>
      <c r="AN62" s="539"/>
      <c r="AO62" s="539"/>
      <c r="AP62" s="539"/>
      <c r="AQ62" s="539"/>
      <c r="AR62" s="539"/>
      <c r="AS62" s="539"/>
      <c r="AT62" s="498"/>
    </row>
    <row r="63" spans="3:47" s="63" customFormat="1" ht="15.95" customHeight="1" x14ac:dyDescent="0.25">
      <c r="C63"/>
      <c r="D63"/>
      <c r="E63"/>
      <c r="F63"/>
      <c r="G63"/>
      <c r="H63"/>
      <c r="I63" s="286"/>
      <c r="J63" s="499"/>
      <c r="K63" s="498"/>
      <c r="L63" s="498"/>
      <c r="M63" s="498"/>
      <c r="N63" s="498"/>
      <c r="O63" s="498"/>
      <c r="P63" s="498"/>
      <c r="Q63" s="498"/>
      <c r="R63" s="498"/>
      <c r="S63" s="498"/>
      <c r="T63" s="498"/>
      <c r="U63" s="498"/>
      <c r="V63" s="498"/>
      <c r="W63" s="498"/>
      <c r="X63" s="498"/>
      <c r="Y63" s="498"/>
      <c r="Z63" s="498"/>
      <c r="AA63" s="498"/>
      <c r="AB63" s="498"/>
      <c r="AC63" s="498"/>
      <c r="AD63" s="498"/>
      <c r="AE63" s="504"/>
      <c r="AF63" s="498"/>
      <c r="AG63" s="498"/>
      <c r="AH63" s="498"/>
      <c r="AI63" s="498"/>
      <c r="AJ63" s="498"/>
      <c r="AK63" s="545"/>
      <c r="AL63" s="521"/>
      <c r="AM63" s="521"/>
      <c r="AN63" s="521"/>
      <c r="AO63" s="521"/>
      <c r="AP63" s="498"/>
      <c r="AQ63" s="498"/>
      <c r="AR63" s="498"/>
      <c r="AS63" s="498"/>
      <c r="AT63" s="498"/>
    </row>
    <row r="64" spans="3:47" s="63" customFormat="1" ht="15.95" customHeight="1" x14ac:dyDescent="0.25">
      <c r="C64"/>
      <c r="D64"/>
      <c r="E64"/>
      <c r="F64"/>
      <c r="G64"/>
      <c r="H64"/>
      <c r="I64" s="286"/>
      <c r="J64" s="499" t="b">
        <f>IF(INCENTOTALCUSE=0,FALSE,TRUE)</f>
        <v>0</v>
      </c>
      <c r="K64" s="498"/>
      <c r="L64" s="500" t="s">
        <v>2271</v>
      </c>
      <c r="M64" s="501"/>
      <c r="N64" s="501"/>
      <c r="O64" s="501"/>
      <c r="P64" s="501"/>
      <c r="Q64" s="501"/>
      <c r="R64" s="501"/>
      <c r="S64" s="501"/>
      <c r="T64" s="501"/>
      <c r="U64" s="501"/>
      <c r="V64" s="501"/>
      <c r="W64" s="501"/>
      <c r="X64" s="501"/>
      <c r="Y64" s="501"/>
      <c r="Z64" s="501"/>
      <c r="AA64" s="501"/>
      <c r="AB64" s="501"/>
      <c r="AC64" s="501"/>
      <c r="AD64" s="501"/>
      <c r="AE64" s="501"/>
      <c r="AF64" s="501"/>
      <c r="AG64" s="501"/>
      <c r="AH64" s="501"/>
      <c r="AI64" s="501"/>
      <c r="AJ64" s="501"/>
      <c r="AK64" s="546"/>
      <c r="AL64" s="516"/>
      <c r="AM64" s="516"/>
      <c r="AN64" s="516"/>
      <c r="AO64" s="516"/>
      <c r="AP64" s="501"/>
      <c r="AQ64" s="501"/>
      <c r="AR64" s="501"/>
      <c r="AS64" s="501"/>
      <c r="AT64" s="501"/>
    </row>
    <row r="65" spans="3:46" s="63" customFormat="1" ht="15.95" customHeight="1" x14ac:dyDescent="0.25">
      <c r="I65" s="286"/>
      <c r="J65" s="499"/>
      <c r="K65" s="498"/>
      <c r="L65" s="551" t="s">
        <v>1894</v>
      </c>
      <c r="M65" s="501"/>
      <c r="N65" s="501"/>
      <c r="O65" s="501"/>
      <c r="P65" s="501"/>
      <c r="Q65" s="501"/>
      <c r="R65" s="501"/>
      <c r="S65" s="501"/>
      <c r="T65" s="501"/>
      <c r="U65" s="501"/>
      <c r="V65" s="501"/>
      <c r="W65" s="501"/>
      <c r="X65" s="501"/>
      <c r="Y65" s="501"/>
      <c r="Z65" s="501"/>
      <c r="AA65" s="501"/>
      <c r="AB65" s="501"/>
      <c r="AC65" s="501"/>
      <c r="AD65" s="501"/>
      <c r="AE65" s="501"/>
      <c r="AF65" s="501"/>
      <c r="AG65" s="501"/>
      <c r="AH65" s="501"/>
      <c r="AI65" s="501"/>
      <c r="AJ65" s="501"/>
      <c r="AK65" s="546"/>
      <c r="AL65" s="516"/>
      <c r="AM65" s="516"/>
      <c r="AN65" s="516"/>
      <c r="AO65" s="516"/>
      <c r="AP65" s="501"/>
      <c r="AQ65" s="501"/>
      <c r="AR65" s="501"/>
      <c r="AS65" s="501"/>
      <c r="AT65" s="501"/>
    </row>
    <row r="66" spans="3:46" s="63" customFormat="1" ht="15.95" customHeight="1" x14ac:dyDescent="0.25">
      <c r="C66"/>
      <c r="D66"/>
      <c r="E66"/>
      <c r="F66"/>
      <c r="G66"/>
      <c r="H66"/>
      <c r="I66" s="286"/>
      <c r="J66" s="499"/>
      <c r="K66" s="498"/>
      <c r="L66" s="501"/>
      <c r="M66" s="508"/>
      <c r="N66" s="501"/>
      <c r="O66" s="501"/>
      <c r="P66" s="501"/>
      <c r="Q66" s="501"/>
      <c r="R66" s="501"/>
      <c r="S66" s="501"/>
      <c r="T66" s="501"/>
      <c r="U66" s="501"/>
      <c r="V66" s="501"/>
      <c r="W66" s="501"/>
      <c r="X66" s="501"/>
      <c r="Y66" s="501"/>
      <c r="Z66" s="501"/>
      <c r="AA66" s="501"/>
      <c r="AB66" s="501"/>
      <c r="AC66" s="501"/>
      <c r="AD66" s="501"/>
      <c r="AE66" s="501"/>
      <c r="AF66" s="501"/>
      <c r="AG66" s="501"/>
      <c r="AH66" s="501"/>
      <c r="AI66" s="501"/>
      <c r="AJ66" s="501"/>
      <c r="AK66" s="546"/>
      <c r="AL66" s="516"/>
      <c r="AM66" s="516"/>
      <c r="AN66" s="516"/>
      <c r="AO66" s="516"/>
      <c r="AP66" s="501"/>
      <c r="AQ66" s="501"/>
      <c r="AR66" s="501"/>
      <c r="AS66" s="501"/>
      <c r="AT66" s="501"/>
    </row>
    <row r="67" spans="3:46" s="63" customFormat="1" ht="15.95" customHeight="1" x14ac:dyDescent="0.25">
      <c r="I67" s="286"/>
      <c r="J67" s="499"/>
      <c r="K67" s="498"/>
      <c r="L67" s="511" t="s">
        <v>1966</v>
      </c>
      <c r="M67" s="501"/>
      <c r="N67" s="501"/>
      <c r="O67" s="501"/>
      <c r="P67" s="501"/>
      <c r="Q67" s="501"/>
      <c r="R67" s="501"/>
      <c r="S67" s="501"/>
      <c r="T67" s="501"/>
      <c r="U67" s="501"/>
      <c r="V67" s="501"/>
      <c r="W67" s="501"/>
      <c r="X67" s="501"/>
      <c r="Y67" s="501"/>
      <c r="Z67" s="501"/>
      <c r="AA67" s="501"/>
      <c r="AB67" s="501"/>
      <c r="AC67" s="501"/>
      <c r="AD67" s="501"/>
      <c r="AE67" s="501"/>
      <c r="AF67" s="520"/>
      <c r="AG67" s="501"/>
      <c r="AH67" s="501"/>
      <c r="AI67" s="501"/>
      <c r="AJ67" s="501"/>
      <c r="AK67" s="546"/>
      <c r="AL67" s="516"/>
      <c r="AM67" s="516"/>
      <c r="AN67" s="516"/>
      <c r="AO67" s="516"/>
      <c r="AP67" s="501"/>
      <c r="AQ67" s="501"/>
      <c r="AR67" s="501"/>
      <c r="AS67" s="501"/>
      <c r="AT67" s="501"/>
    </row>
    <row r="68" spans="3:46" s="63" customFormat="1" ht="15.95" customHeight="1" x14ac:dyDescent="0.25">
      <c r="I68" s="286"/>
      <c r="J68" s="499"/>
      <c r="K68" s="504"/>
      <c r="L68" s="501"/>
      <c r="M68" s="512" t="s">
        <v>1973</v>
      </c>
      <c r="N68" s="516"/>
      <c r="O68" s="516"/>
      <c r="P68" s="516"/>
      <c r="Q68" s="516"/>
      <c r="R68" s="516"/>
      <c r="S68" s="501"/>
      <c r="T68" s="501"/>
      <c r="U68" s="501"/>
      <c r="V68" s="501"/>
      <c r="W68" s="501"/>
      <c r="X68" s="501"/>
      <c r="Y68" s="501"/>
      <c r="Z68" s="501"/>
      <c r="AA68" s="501"/>
      <c r="AB68" s="501"/>
      <c r="AC68" s="501"/>
      <c r="AD68" s="501"/>
      <c r="AE68" s="501"/>
      <c r="AF68" s="520"/>
      <c r="AG68" s="501"/>
      <c r="AH68" s="501"/>
      <c r="AI68" s="501"/>
      <c r="AJ68" s="501"/>
      <c r="AK68" s="546"/>
      <c r="AL68" s="516"/>
      <c r="AM68" s="516"/>
      <c r="AN68" s="516"/>
      <c r="AO68" s="516"/>
      <c r="AP68" s="501"/>
      <c r="AQ68" s="501"/>
      <c r="AR68" s="501"/>
      <c r="AS68" s="501"/>
      <c r="AT68" s="501"/>
    </row>
    <row r="69" spans="3:46" s="63" customFormat="1" ht="15.95" customHeight="1" x14ac:dyDescent="0.25">
      <c r="I69" s="286"/>
      <c r="J69" s="499"/>
      <c r="K69" s="504"/>
      <c r="L69" s="516"/>
      <c r="M69" s="522"/>
      <c r="N69" s="516"/>
      <c r="O69" s="516"/>
      <c r="P69" s="516"/>
      <c r="Q69" s="516"/>
      <c r="R69" s="516"/>
      <c r="S69" s="501"/>
      <c r="T69" s="501"/>
      <c r="U69" s="501"/>
      <c r="V69" s="501"/>
      <c r="W69" s="501"/>
      <c r="X69" s="501"/>
      <c r="Y69" s="501"/>
      <c r="Z69" s="501"/>
      <c r="AA69" s="501"/>
      <c r="AB69" s="501"/>
      <c r="AC69" s="501"/>
      <c r="AD69" s="501"/>
      <c r="AE69" s="501"/>
      <c r="AF69" s="520"/>
      <c r="AG69" s="501"/>
      <c r="AH69" s="501"/>
      <c r="AI69" s="501"/>
      <c r="AJ69" s="501"/>
      <c r="AK69" s="546"/>
      <c r="AL69" s="516"/>
      <c r="AM69" s="516"/>
      <c r="AN69" s="516"/>
      <c r="AO69" s="516"/>
      <c r="AP69" s="501"/>
      <c r="AQ69" s="501"/>
      <c r="AR69" s="501"/>
      <c r="AS69" s="501"/>
      <c r="AT69" s="501"/>
    </row>
    <row r="70" spans="3:46" s="63" customFormat="1" ht="15.95" customHeight="1" x14ac:dyDescent="0.25">
      <c r="I70" s="286"/>
      <c r="J70" s="499"/>
      <c r="K70" s="504"/>
      <c r="L70" s="511" t="s">
        <v>1969</v>
      </c>
      <c r="M70" s="516"/>
      <c r="N70" s="516"/>
      <c r="O70" s="516"/>
      <c r="P70" s="516"/>
      <c r="Q70" s="516"/>
      <c r="R70" s="516"/>
      <c r="S70" s="501"/>
      <c r="T70" s="501"/>
      <c r="U70" s="501"/>
      <c r="V70" s="501"/>
      <c r="W70" s="501"/>
      <c r="X70" s="501"/>
      <c r="Y70" s="501"/>
      <c r="Z70" s="501"/>
      <c r="AA70" s="501"/>
      <c r="AB70" s="501"/>
      <c r="AC70" s="501"/>
      <c r="AD70" s="501"/>
      <c r="AE70" s="501"/>
      <c r="AF70" s="520"/>
      <c r="AG70" s="501"/>
      <c r="AH70" s="516"/>
      <c r="AI70" s="501"/>
      <c r="AJ70" s="516"/>
      <c r="AK70" s="550"/>
      <c r="AL70" s="516"/>
      <c r="AM70" s="516"/>
      <c r="AN70" s="516"/>
      <c r="AO70" s="516"/>
      <c r="AP70" s="501"/>
      <c r="AQ70" s="501"/>
      <c r="AR70" s="501"/>
      <c r="AS70" s="501"/>
      <c r="AT70" s="501"/>
    </row>
    <row r="71" spans="3:46" s="63" customFormat="1" ht="15.95" customHeight="1" x14ac:dyDescent="0.25">
      <c r="I71" s="286"/>
      <c r="J71" s="498"/>
      <c r="K71" s="504"/>
      <c r="L71" s="501"/>
      <c r="M71" s="516"/>
      <c r="N71" s="516"/>
      <c r="O71" s="516"/>
      <c r="P71" s="516"/>
      <c r="Q71" s="516"/>
      <c r="R71" s="516"/>
      <c r="S71" s="501"/>
      <c r="T71" s="501"/>
      <c r="U71" s="501"/>
      <c r="V71" s="501"/>
      <c r="W71" s="501"/>
      <c r="X71" s="501"/>
      <c r="Y71" s="501"/>
      <c r="Z71" s="501"/>
      <c r="AA71" s="501"/>
      <c r="AB71" s="501"/>
      <c r="AC71" s="501"/>
      <c r="AD71" s="501"/>
      <c r="AE71" s="501"/>
      <c r="AF71" s="520"/>
      <c r="AG71" s="501"/>
      <c r="AH71" s="501"/>
      <c r="AI71" s="522"/>
      <c r="AJ71" s="516"/>
      <c r="AK71" s="550"/>
      <c r="AL71" s="516"/>
      <c r="AM71" s="516"/>
      <c r="AN71" s="516"/>
      <c r="AO71" s="516"/>
      <c r="AP71" s="501"/>
      <c r="AQ71" s="501"/>
      <c r="AR71" s="501"/>
      <c r="AS71" s="501"/>
      <c r="AT71" s="501"/>
    </row>
    <row r="72" spans="3:46" s="63" customFormat="1" ht="15.95" customHeight="1" x14ac:dyDescent="0.25">
      <c r="I72" s="264"/>
      <c r="J72" s="1407" t="s">
        <v>1435</v>
      </c>
      <c r="K72" s="1407"/>
      <c r="L72" s="1407"/>
      <c r="M72" s="1407"/>
      <c r="N72" s="1407"/>
      <c r="O72" s="1407"/>
      <c r="P72" s="1407"/>
      <c r="Q72" s="1407"/>
      <c r="R72" s="1407"/>
      <c r="S72" s="1407"/>
      <c r="T72" s="1407"/>
      <c r="U72" s="1407"/>
      <c r="V72" s="1407"/>
      <c r="W72" s="1407"/>
      <c r="X72" s="1407"/>
      <c r="Y72" s="1407"/>
      <c r="Z72" s="1407"/>
      <c r="AA72" s="1407"/>
      <c r="AB72" s="1407"/>
      <c r="AC72" s="1407"/>
      <c r="AD72" s="1407"/>
      <c r="AE72" s="1407"/>
      <c r="AF72" s="1407"/>
      <c r="AG72" s="1407"/>
      <c r="AH72" s="1407"/>
      <c r="AI72" s="1407"/>
      <c r="AJ72" s="1407"/>
      <c r="AK72" s="265"/>
    </row>
    <row r="73" spans="3:46" s="63" customFormat="1" ht="15.95" customHeight="1" x14ac:dyDescent="0.25">
      <c r="I73" s="264"/>
      <c r="J73" s="1407"/>
      <c r="K73" s="1407"/>
      <c r="L73" s="1407"/>
      <c r="M73" s="1407"/>
      <c r="N73" s="1407"/>
      <c r="O73" s="1407"/>
      <c r="P73" s="1407"/>
      <c r="Q73" s="1407"/>
      <c r="R73" s="1407"/>
      <c r="S73" s="1407"/>
      <c r="T73" s="1407"/>
      <c r="U73" s="1407"/>
      <c r="V73" s="1407"/>
      <c r="W73" s="1407"/>
      <c r="X73" s="1407"/>
      <c r="Y73" s="1407"/>
      <c r="Z73" s="1407"/>
      <c r="AA73" s="1407"/>
      <c r="AB73" s="1407"/>
      <c r="AC73" s="1407"/>
      <c r="AD73" s="1407"/>
      <c r="AE73" s="1407"/>
      <c r="AF73" s="1407"/>
      <c r="AG73" s="1407"/>
      <c r="AH73" s="1407"/>
      <c r="AI73" s="1407"/>
      <c r="AJ73" s="1407"/>
      <c r="AK73" s="265"/>
    </row>
    <row r="74" spans="3:46" s="63" customFormat="1" ht="15.95" customHeight="1" x14ac:dyDescent="0.25">
      <c r="I74" s="267"/>
      <c r="J74" s="268"/>
      <c r="K74" s="269"/>
      <c r="L74" s="270"/>
      <c r="M74" s="270"/>
      <c r="N74" s="270"/>
      <c r="O74" s="270"/>
      <c r="P74" s="270"/>
      <c r="Q74" s="270"/>
      <c r="R74" s="270"/>
      <c r="S74" s="270"/>
      <c r="T74" s="270"/>
      <c r="U74" s="270"/>
      <c r="V74" s="270"/>
      <c r="W74" s="270"/>
      <c r="X74" s="270"/>
      <c r="Y74" s="270"/>
      <c r="Z74" s="270"/>
      <c r="AA74" s="270"/>
      <c r="AB74" s="270"/>
      <c r="AC74" s="270"/>
      <c r="AD74" s="270"/>
      <c r="AE74" s="270"/>
      <c r="AF74" s="270"/>
      <c r="AG74" s="270"/>
      <c r="AH74" s="270"/>
      <c r="AI74" s="270"/>
      <c r="AJ74" s="270"/>
      <c r="AK74" s="272"/>
    </row>
    <row r="75" spans="3:46" s="63" customFormat="1" ht="15.95" customHeight="1" x14ac:dyDescent="0.25">
      <c r="I75" s="266"/>
      <c r="J75" s="57"/>
      <c r="K75" s="58"/>
      <c r="L75" s="266"/>
      <c r="M75" s="266"/>
      <c r="N75" s="266"/>
      <c r="O75" s="266"/>
      <c r="P75" s="266"/>
      <c r="Q75" s="266"/>
      <c r="R75" s="266"/>
      <c r="S75" s="266"/>
      <c r="T75" s="266"/>
      <c r="U75" s="266"/>
      <c r="V75" s="266"/>
      <c r="W75" s="266"/>
      <c r="X75" s="266"/>
      <c r="Y75" s="266"/>
      <c r="Z75" s="266"/>
      <c r="AA75" s="266"/>
      <c r="AB75" s="266"/>
      <c r="AC75" s="266"/>
      <c r="AD75" s="266"/>
      <c r="AE75" s="266"/>
      <c r="AF75" s="266"/>
      <c r="AG75" s="266"/>
      <c r="AH75" s="266"/>
      <c r="AI75" s="266"/>
      <c r="AJ75" s="266"/>
      <c r="AK75" s="266"/>
    </row>
    <row r="76" spans="3:46" s="63" customFormat="1" ht="15.95" hidden="1" customHeight="1" x14ac:dyDescent="0.25">
      <c r="I76" s="266"/>
      <c r="J76" s="57"/>
      <c r="K76" s="58"/>
      <c r="L76" s="266"/>
      <c r="M76" s="266"/>
      <c r="N76" s="266"/>
      <c r="O76" s="266"/>
      <c r="P76" s="266"/>
      <c r="Q76" s="266"/>
      <c r="R76" s="266"/>
      <c r="S76" s="266"/>
      <c r="T76" s="266"/>
      <c r="U76" s="266"/>
      <c r="V76" s="266"/>
      <c r="W76" s="266"/>
      <c r="X76" s="266"/>
      <c r="Y76" s="266"/>
      <c r="Z76" s="266"/>
      <c r="AA76" s="266"/>
      <c r="AB76" s="266"/>
      <c r="AC76" s="266"/>
      <c r="AD76" s="266"/>
      <c r="AE76" s="266"/>
      <c r="AF76" s="266"/>
      <c r="AG76" s="266"/>
      <c r="AH76" s="266"/>
      <c r="AI76" s="266"/>
      <c r="AJ76" s="266"/>
      <c r="AK76" s="266"/>
    </row>
    <row r="77" spans="3:46" s="63" customFormat="1" ht="15.95" hidden="1" customHeight="1" x14ac:dyDescent="0.25">
      <c r="I77" s="266"/>
      <c r="J77" s="57"/>
      <c r="K77" s="58"/>
      <c r="L77" s="266"/>
      <c r="M77" s="266"/>
      <c r="N77" s="266"/>
      <c r="O77" s="266"/>
      <c r="P77" s="266"/>
      <c r="Q77" s="266"/>
      <c r="R77" s="266"/>
      <c r="S77" s="266"/>
      <c r="T77" s="266"/>
      <c r="U77" s="266"/>
      <c r="V77" s="266"/>
      <c r="W77" s="266"/>
      <c r="X77" s="266"/>
      <c r="Y77" s="266"/>
      <c r="Z77" s="266"/>
      <c r="AA77" s="266"/>
      <c r="AB77" s="266"/>
      <c r="AC77" s="266"/>
      <c r="AD77" s="266"/>
      <c r="AE77" s="266"/>
      <c r="AF77" s="266"/>
      <c r="AG77" s="266"/>
      <c r="AH77" s="266"/>
      <c r="AI77" s="266"/>
      <c r="AJ77" s="266"/>
      <c r="AK77" s="266"/>
    </row>
    <row r="78" spans="3:46" s="63" customFormat="1" ht="15.95" hidden="1" customHeight="1" x14ac:dyDescent="0.25">
      <c r="I78" s="266"/>
      <c r="J78" s="57"/>
      <c r="K78" s="58"/>
      <c r="L78" s="266"/>
      <c r="M78" s="266"/>
      <c r="N78" s="266"/>
      <c r="O78" s="266"/>
      <c r="P78" s="266"/>
      <c r="Q78" s="266"/>
      <c r="R78" s="266"/>
      <c r="S78" s="266"/>
      <c r="T78" s="266"/>
      <c r="U78" s="266"/>
      <c r="V78" s="266"/>
      <c r="W78" s="266"/>
      <c r="X78" s="266"/>
      <c r="Y78" s="266"/>
      <c r="Z78" s="266"/>
      <c r="AA78" s="266"/>
      <c r="AB78" s="266"/>
      <c r="AC78" s="266"/>
      <c r="AD78" s="266"/>
      <c r="AE78" s="266"/>
      <c r="AF78" s="266"/>
      <c r="AG78" s="266"/>
      <c r="AH78" s="266"/>
      <c r="AI78" s="266"/>
      <c r="AJ78" s="266"/>
      <c r="AK78" s="266"/>
    </row>
    <row r="79" spans="3:46" s="63" customFormat="1" ht="15.95" hidden="1" customHeight="1" x14ac:dyDescent="0.25">
      <c r="I79" s="266"/>
      <c r="J79" s="57"/>
      <c r="K79" s="58"/>
      <c r="L79" s="266"/>
      <c r="M79" s="266"/>
      <c r="N79" s="266"/>
      <c r="O79" s="266"/>
      <c r="P79" s="266"/>
      <c r="Q79" s="266"/>
      <c r="R79" s="266"/>
      <c r="S79" s="266"/>
      <c r="T79" s="266"/>
      <c r="U79" s="266"/>
      <c r="V79" s="266"/>
      <c r="W79" s="266"/>
      <c r="X79" s="266"/>
      <c r="Y79" s="266"/>
      <c r="Z79" s="266"/>
      <c r="AA79" s="266"/>
      <c r="AB79" s="266"/>
      <c r="AC79" s="266"/>
      <c r="AD79" s="266"/>
      <c r="AE79" s="266"/>
      <c r="AF79" s="266"/>
      <c r="AG79" s="266"/>
      <c r="AH79" s="266"/>
      <c r="AI79" s="266"/>
      <c r="AJ79" s="266"/>
      <c r="AK79" s="266"/>
    </row>
    <row r="80" spans="3:46" s="63" customFormat="1" ht="15.95" hidden="1" customHeight="1" x14ac:dyDescent="0.25">
      <c r="I80" s="266"/>
      <c r="J80" s="57"/>
      <c r="K80" s="58"/>
      <c r="L80" s="266"/>
      <c r="M80" s="266"/>
      <c r="N80" s="266"/>
      <c r="O80" s="266"/>
      <c r="P80" s="266"/>
      <c r="Q80" s="266"/>
      <c r="R80" s="266"/>
      <c r="S80" s="266"/>
      <c r="T80" s="266"/>
      <c r="U80" s="266"/>
      <c r="V80" s="266"/>
      <c r="W80" s="266"/>
      <c r="X80" s="266"/>
      <c r="Y80" s="266"/>
      <c r="Z80" s="266"/>
      <c r="AA80" s="266"/>
      <c r="AB80" s="266"/>
      <c r="AC80" s="266"/>
      <c r="AD80" s="266"/>
      <c r="AE80" s="266"/>
      <c r="AF80" s="266"/>
      <c r="AG80" s="266"/>
      <c r="AH80" s="266"/>
      <c r="AI80" s="266"/>
      <c r="AJ80" s="266"/>
      <c r="AK80" s="266"/>
    </row>
    <row r="81" spans="9:37" s="63" customFormat="1" ht="15.95" hidden="1" customHeight="1" x14ac:dyDescent="0.25">
      <c r="I81" s="266"/>
      <c r="J81" s="57"/>
      <c r="K81" s="58"/>
      <c r="L81" s="266"/>
      <c r="M81" s="266"/>
      <c r="N81" s="266"/>
      <c r="O81" s="266"/>
      <c r="P81" s="266"/>
      <c r="Q81" s="266"/>
      <c r="R81" s="266"/>
      <c r="S81" s="266"/>
      <c r="T81" s="266"/>
      <c r="U81" s="266"/>
      <c r="V81" s="266"/>
      <c r="W81" s="266"/>
      <c r="X81" s="266"/>
      <c r="Y81" s="266"/>
      <c r="Z81" s="266"/>
      <c r="AA81" s="266"/>
      <c r="AB81" s="266"/>
      <c r="AC81" s="266"/>
      <c r="AD81" s="266"/>
      <c r="AE81" s="266"/>
      <c r="AF81" s="266"/>
      <c r="AG81" s="266"/>
      <c r="AH81" s="266"/>
      <c r="AI81" s="266"/>
      <c r="AJ81" s="266"/>
      <c r="AK81" s="266"/>
    </row>
    <row r="82" spans="9:37" s="63" customFormat="1" ht="15.95" hidden="1" customHeight="1" x14ac:dyDescent="0.25">
      <c r="I82" s="266"/>
      <c r="J82" s="57"/>
      <c r="K82" s="58"/>
      <c r="L82" s="266"/>
      <c r="M82" s="266"/>
      <c r="N82" s="266"/>
      <c r="O82" s="266"/>
      <c r="P82" s="266"/>
      <c r="Q82" s="266"/>
      <c r="R82" s="266"/>
      <c r="S82" s="266"/>
      <c r="T82" s="266"/>
      <c r="U82" s="266"/>
      <c r="V82" s="266"/>
      <c r="W82" s="266"/>
      <c r="X82" s="266"/>
      <c r="Y82" s="266"/>
      <c r="Z82" s="266"/>
      <c r="AA82" s="266"/>
      <c r="AB82" s="266"/>
      <c r="AC82" s="266"/>
      <c r="AD82" s="266"/>
      <c r="AE82" s="266"/>
      <c r="AF82" s="266"/>
      <c r="AG82" s="266"/>
      <c r="AH82" s="266"/>
      <c r="AI82" s="266"/>
      <c r="AJ82" s="266"/>
      <c r="AK82" s="266"/>
    </row>
    <row r="83" spans="9:37" s="63" customFormat="1" ht="15.95" hidden="1" customHeight="1" x14ac:dyDescent="0.25"/>
    <row r="84" spans="9:37" s="63" customFormat="1" ht="15.95" hidden="1" customHeight="1" x14ac:dyDescent="0.25"/>
    <row r="85" spans="9:37" s="63" customFormat="1" ht="15.95" hidden="1" customHeight="1" x14ac:dyDescent="0.25"/>
    <row r="86" spans="9:37" s="63" customFormat="1" ht="15.95" hidden="1" customHeight="1" x14ac:dyDescent="0.25"/>
    <row r="87" spans="9:37" s="63" customFormat="1" ht="15.95" hidden="1" customHeight="1" x14ac:dyDescent="0.25"/>
    <row r="88" spans="9:37" s="63" customFormat="1" ht="15.95" hidden="1" customHeight="1" x14ac:dyDescent="0.25"/>
    <row r="89" spans="9:37" s="63" customFormat="1" ht="15.95" hidden="1" customHeight="1" x14ac:dyDescent="0.25"/>
    <row r="90" spans="9:37" s="63" customFormat="1" ht="15.95" hidden="1" customHeight="1" x14ac:dyDescent="0.25"/>
    <row r="91" spans="9:37" s="63" customFormat="1" ht="15.95" hidden="1" customHeight="1" x14ac:dyDescent="0.25"/>
    <row r="92" spans="9:37" s="63" customFormat="1" ht="15.95" hidden="1" customHeight="1" x14ac:dyDescent="0.25"/>
    <row r="93" spans="9:37" s="63" customFormat="1" ht="15.95" hidden="1" customHeight="1" x14ac:dyDescent="0.25"/>
    <row r="94" spans="9:37" s="63" customFormat="1" ht="15.95" hidden="1" customHeight="1" x14ac:dyDescent="0.25"/>
    <row r="95" spans="9:37" s="63" customFormat="1" ht="15.95" hidden="1" customHeight="1" x14ac:dyDescent="0.25"/>
    <row r="96" spans="9:37" s="63" customFormat="1" ht="15.95" hidden="1" customHeight="1" x14ac:dyDescent="0.25"/>
    <row r="97" spans="3:29" s="63" customFormat="1" ht="15.95" hidden="1" customHeight="1" x14ac:dyDescent="0.25">
      <c r="C97" s="135"/>
      <c r="D97" s="135"/>
      <c r="E97" s="135"/>
      <c r="F97" s="135"/>
      <c r="G97" s="135"/>
      <c r="H97" s="135"/>
      <c r="I97" s="135"/>
      <c r="J97" s="135"/>
      <c r="K97" s="135"/>
      <c r="L97" s="135"/>
      <c r="M97" s="135"/>
      <c r="N97" s="135"/>
      <c r="O97" s="135"/>
      <c r="P97" s="135"/>
      <c r="Q97" s="135"/>
      <c r="R97" s="533"/>
      <c r="S97" s="135"/>
      <c r="T97" s="135"/>
      <c r="U97" s="135"/>
      <c r="V97" s="135"/>
      <c r="W97" s="135"/>
      <c r="X97" s="135"/>
      <c r="Y97" s="135"/>
      <c r="Z97" s="135"/>
      <c r="AA97" s="135"/>
      <c r="AB97" s="135"/>
      <c r="AC97" s="135"/>
    </row>
    <row r="98" spans="3:29" s="63" customFormat="1" ht="15.95" hidden="1" customHeight="1" x14ac:dyDescent="0.25">
      <c r="C98" s="135"/>
      <c r="D98" s="135"/>
      <c r="E98" s="135"/>
      <c r="F98" s="135"/>
      <c r="G98" s="135"/>
      <c r="H98" s="135"/>
      <c r="I98" s="135"/>
      <c r="J98" s="135"/>
      <c r="K98" s="135"/>
      <c r="L98" s="135"/>
      <c r="M98" s="135"/>
      <c r="N98" s="135"/>
      <c r="O98" s="135"/>
      <c r="P98" s="135"/>
      <c r="Q98" s="135"/>
      <c r="R98" s="533"/>
      <c r="S98" s="135"/>
      <c r="T98" s="135"/>
      <c r="U98" s="911"/>
      <c r="V98" s="911"/>
      <c r="W98" s="911"/>
      <c r="X98" s="911"/>
      <c r="Y98" s="911"/>
      <c r="Z98" s="911"/>
      <c r="AA98" s="911"/>
      <c r="AB98" s="135"/>
      <c r="AC98" s="135"/>
    </row>
    <row r="99" spans="3:29" s="63" customFormat="1" ht="15.95" hidden="1" customHeight="1" x14ac:dyDescent="0.25">
      <c r="C99" s="135"/>
      <c r="D99" s="135"/>
      <c r="E99" s="135"/>
      <c r="F99" s="135"/>
      <c r="G99" s="135"/>
      <c r="H99" s="135"/>
      <c r="I99" s="135"/>
      <c r="J99" s="135"/>
      <c r="K99" s="135"/>
      <c r="L99" s="135"/>
      <c r="M99" s="135"/>
      <c r="N99" s="135"/>
      <c r="O99" s="135"/>
      <c r="P99" s="135"/>
      <c r="Q99" s="135"/>
      <c r="R99" s="135"/>
      <c r="S99" s="135"/>
      <c r="T99" s="135"/>
      <c r="U99" s="911"/>
      <c r="V99" s="911"/>
      <c r="W99" s="911"/>
      <c r="X99" s="911"/>
      <c r="Y99" s="911"/>
      <c r="Z99" s="911"/>
      <c r="AA99" s="911"/>
      <c r="AB99" s="135"/>
      <c r="AC99" s="135"/>
    </row>
    <row r="100" spans="3:29" s="63" customFormat="1" ht="15.95" hidden="1" customHeight="1" x14ac:dyDescent="0.25">
      <c r="C100" s="135"/>
      <c r="D100" s="135"/>
      <c r="E100" s="135"/>
      <c r="F100" s="135"/>
      <c r="G100" s="135"/>
      <c r="H100" s="135"/>
      <c r="I100" s="135"/>
      <c r="J100" s="135"/>
      <c r="K100" s="135"/>
      <c r="L100" s="135"/>
      <c r="M100" s="135"/>
      <c r="N100" s="135"/>
      <c r="O100" s="135"/>
      <c r="P100" s="135"/>
      <c r="Q100" s="135"/>
      <c r="R100" s="135"/>
      <c r="S100" s="135"/>
      <c r="T100" s="135"/>
      <c r="U100" s="911"/>
      <c r="V100" s="911"/>
      <c r="W100" s="911"/>
      <c r="X100" s="911"/>
      <c r="Y100" s="911"/>
      <c r="Z100" s="911"/>
      <c r="AA100" s="911"/>
      <c r="AB100" s="135"/>
      <c r="AC100" s="135"/>
    </row>
    <row r="101" spans="3:29" s="63" customFormat="1" ht="15.95" hidden="1" customHeight="1" x14ac:dyDescent="0.2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c r="AC101" s="135"/>
    </row>
    <row r="102" spans="3:29" s="63" customFormat="1" ht="15.95" hidden="1" customHeight="1" x14ac:dyDescent="0.25"/>
    <row r="103" spans="3:29" s="63" customFormat="1" ht="15.95" hidden="1" customHeight="1" x14ac:dyDescent="0.25"/>
    <row r="104" spans="3:29" s="63" customFormat="1" ht="15.95" hidden="1" customHeight="1" x14ac:dyDescent="0.25"/>
    <row r="105" spans="3:29" s="63" customFormat="1" ht="15.95" hidden="1" customHeight="1" x14ac:dyDescent="0.25"/>
    <row r="106" spans="3:29" s="63" customFormat="1" ht="15.95" hidden="1" customHeight="1" x14ac:dyDescent="0.25"/>
    <row r="107" spans="3:29" s="63" customFormat="1" ht="15.95" hidden="1" customHeight="1" x14ac:dyDescent="0.25"/>
    <row r="108" spans="3:29" s="63" customFormat="1" ht="15.95" hidden="1" customHeight="1" x14ac:dyDescent="0.25"/>
    <row r="109" spans="3:29" s="63" customFormat="1" ht="15.95" hidden="1" customHeight="1" x14ac:dyDescent="0.25"/>
    <row r="110" spans="3:29" s="63" customFormat="1" ht="15.95" hidden="1" customHeight="1" x14ac:dyDescent="0.25"/>
    <row r="111" spans="3:29" s="63" customFormat="1" ht="15.95" hidden="1" customHeight="1" x14ac:dyDescent="0.25"/>
    <row r="112" spans="3:29" s="63" customFormat="1" ht="15.95" hidden="1" customHeight="1" x14ac:dyDescent="0.25"/>
    <row r="113" s="63" customFormat="1" ht="15.95" hidden="1" customHeight="1" x14ac:dyDescent="0.25"/>
    <row r="114" s="63" customFormat="1" ht="15.95" hidden="1" customHeight="1" x14ac:dyDescent="0.25"/>
    <row r="115" s="63" customFormat="1" ht="15.95" hidden="1" customHeight="1" x14ac:dyDescent="0.25"/>
    <row r="116" s="63" customFormat="1" ht="15.95" hidden="1" customHeight="1" x14ac:dyDescent="0.25"/>
    <row r="117" s="63" customFormat="1" ht="15.95" hidden="1" customHeight="1" x14ac:dyDescent="0.25"/>
    <row r="118" s="63" customFormat="1" ht="15.95" hidden="1" customHeight="1" x14ac:dyDescent="0.25"/>
    <row r="119" s="63" customFormat="1" ht="15.95" hidden="1" customHeight="1" x14ac:dyDescent="0.25"/>
    <row r="120" s="63" customFormat="1" ht="15.95" hidden="1" customHeight="1" x14ac:dyDescent="0.25"/>
    <row r="121" s="63" customFormat="1" ht="15.95" hidden="1" customHeight="1" x14ac:dyDescent="0.25"/>
    <row r="122" s="63" customFormat="1" ht="15.95" hidden="1" customHeight="1" x14ac:dyDescent="0.25"/>
    <row r="123" s="63" customFormat="1" ht="15.95" hidden="1" customHeight="1" x14ac:dyDescent="0.25"/>
    <row r="124" s="63" customFormat="1" ht="15.95" hidden="1" customHeight="1" x14ac:dyDescent="0.25"/>
    <row r="125" s="63" customFormat="1" ht="15.95" hidden="1" customHeight="1" x14ac:dyDescent="0.25"/>
    <row r="126" s="63" customFormat="1" ht="15.95" hidden="1" customHeight="1" x14ac:dyDescent="0.25"/>
    <row r="127" s="63" customFormat="1" ht="15.95" hidden="1" customHeight="1" x14ac:dyDescent="0.25"/>
    <row r="128" s="63" customFormat="1" ht="15.95" hidden="1" customHeight="1" x14ac:dyDescent="0.25"/>
    <row r="129" s="63" customFormat="1" ht="15.95" hidden="1" customHeight="1" x14ac:dyDescent="0.25"/>
    <row r="130" s="63" customFormat="1" ht="15.95" hidden="1" customHeight="1" x14ac:dyDescent="0.25"/>
    <row r="131" s="63" customFormat="1" ht="15.95" hidden="1" customHeight="1" x14ac:dyDescent="0.25"/>
    <row r="132" s="63" customFormat="1" ht="15.95" hidden="1" customHeight="1" x14ac:dyDescent="0.25"/>
    <row r="133" s="63" customFormat="1" ht="15.95" hidden="1" customHeight="1" x14ac:dyDescent="0.25"/>
    <row r="134" s="63" customFormat="1" ht="15.95" hidden="1" customHeight="1" x14ac:dyDescent="0.25"/>
    <row r="135" s="63" customFormat="1" ht="15.95" hidden="1" customHeight="1" x14ac:dyDescent="0.25"/>
    <row r="136" s="63" customFormat="1" ht="15.95" hidden="1" customHeight="1" x14ac:dyDescent="0.25"/>
    <row r="137" s="63" customFormat="1" ht="15.95" hidden="1" customHeight="1" x14ac:dyDescent="0.25"/>
    <row r="138" s="63" customFormat="1" ht="15.95" hidden="1" customHeight="1" x14ac:dyDescent="0.25"/>
    <row r="139" s="63" customFormat="1" ht="15.95" hidden="1" customHeight="1" x14ac:dyDescent="0.25"/>
    <row r="140" s="63" customFormat="1" ht="15.95" hidden="1" customHeight="1" x14ac:dyDescent="0.25"/>
    <row r="141" s="63" customFormat="1" ht="15.95" hidden="1" customHeight="1" x14ac:dyDescent="0.25"/>
    <row r="142" s="63" customFormat="1" ht="15.95" hidden="1" customHeight="1" x14ac:dyDescent="0.25"/>
    <row r="143" s="63" customFormat="1" ht="15.95" hidden="1" customHeight="1" x14ac:dyDescent="0.25"/>
    <row r="144" s="63" customFormat="1" ht="15.95" hidden="1" customHeight="1" x14ac:dyDescent="0.25"/>
    <row r="145" s="63" customFormat="1" ht="15.95" hidden="1" customHeight="1" x14ac:dyDescent="0.25"/>
    <row r="146" s="63" customFormat="1" ht="15.95" hidden="1" customHeight="1" x14ac:dyDescent="0.25"/>
    <row r="147" s="63" customFormat="1" ht="15.95" hidden="1" customHeight="1" x14ac:dyDescent="0.25"/>
    <row r="148" s="63" customFormat="1" ht="15.95" hidden="1" customHeight="1" x14ac:dyDescent="0.25"/>
    <row r="149" s="63" customFormat="1" ht="15.95" hidden="1" customHeight="1" x14ac:dyDescent="0.25"/>
    <row r="150" s="63" customFormat="1" ht="15.95" hidden="1" customHeight="1" x14ac:dyDescent="0.25"/>
    <row r="151" s="63" customFormat="1" ht="15.95" hidden="1" customHeight="1" x14ac:dyDescent="0.25"/>
    <row r="152" s="63" customFormat="1" ht="15.95" hidden="1" customHeight="1" x14ac:dyDescent="0.25"/>
    <row r="153" s="63" customFormat="1" ht="15.95" hidden="1" customHeight="1" x14ac:dyDescent="0.25"/>
    <row r="154" s="63" customFormat="1" ht="15.95" hidden="1" customHeight="1" x14ac:dyDescent="0.25"/>
    <row r="155" s="63" customFormat="1" ht="15.95" hidden="1" customHeight="1" x14ac:dyDescent="0.25"/>
    <row r="156" s="63" customFormat="1" ht="15.95" hidden="1" customHeight="1" x14ac:dyDescent="0.25"/>
    <row r="157" s="63" customFormat="1" ht="15.95" hidden="1" customHeight="1" x14ac:dyDescent="0.25"/>
    <row r="158" s="63" customFormat="1" ht="15.95" hidden="1" customHeight="1" x14ac:dyDescent="0.25"/>
    <row r="159" s="63" customFormat="1" ht="15.95" hidden="1" customHeight="1" x14ac:dyDescent="0.25"/>
    <row r="160" s="63" customFormat="1" ht="15.95" hidden="1" customHeight="1" x14ac:dyDescent="0.25"/>
    <row r="161" s="63" customFormat="1" ht="15.95" hidden="1" customHeight="1" x14ac:dyDescent="0.25"/>
    <row r="162" s="63" customFormat="1" ht="15.95" hidden="1" customHeight="1" x14ac:dyDescent="0.25"/>
    <row r="163" s="63" customFormat="1" ht="15.95" hidden="1" customHeight="1" x14ac:dyDescent="0.25"/>
    <row r="164" s="63" customFormat="1" ht="15.95" hidden="1" customHeight="1" x14ac:dyDescent="0.25"/>
    <row r="165" s="63" customFormat="1" ht="15.95" hidden="1" customHeight="1" x14ac:dyDescent="0.25"/>
    <row r="166" s="63" customFormat="1" ht="15.95" hidden="1" customHeight="1" x14ac:dyDescent="0.25"/>
    <row r="167" s="63" customFormat="1" ht="15.95" hidden="1" customHeight="1" x14ac:dyDescent="0.25"/>
    <row r="168" s="63" customFormat="1" ht="15.95" hidden="1" customHeight="1" x14ac:dyDescent="0.25"/>
    <row r="169" s="63" customFormat="1" ht="15.95" hidden="1" customHeight="1" x14ac:dyDescent="0.25"/>
    <row r="170" s="63" customFormat="1" ht="15.95" hidden="1" customHeight="1" x14ac:dyDescent="0.25"/>
    <row r="171" s="63" customFormat="1" ht="15.95" hidden="1" customHeight="1" x14ac:dyDescent="0.25"/>
    <row r="172" s="63" customFormat="1" ht="15.95" hidden="1" customHeight="1" x14ac:dyDescent="0.25"/>
    <row r="173" s="63" customFormat="1" ht="15.95" hidden="1" customHeight="1" x14ac:dyDescent="0.25"/>
    <row r="174" s="63" customFormat="1" ht="15.95" hidden="1" customHeight="1" x14ac:dyDescent="0.25"/>
    <row r="175" s="63" customFormat="1" ht="15.95" hidden="1" customHeight="1" x14ac:dyDescent="0.25"/>
    <row r="176" s="63" customFormat="1" ht="15.95" hidden="1" customHeight="1" x14ac:dyDescent="0.25"/>
    <row r="177" s="63" customFormat="1" ht="15.95" hidden="1" customHeight="1" x14ac:dyDescent="0.25"/>
    <row r="178" s="63" customFormat="1" ht="15.95" hidden="1" customHeight="1" x14ac:dyDescent="0.25"/>
    <row r="179" s="63" customFormat="1" ht="15.95" hidden="1" customHeight="1" x14ac:dyDescent="0.25"/>
    <row r="180" s="63" customFormat="1" ht="15.95" hidden="1" customHeight="1" x14ac:dyDescent="0.25"/>
    <row r="181" s="63" customFormat="1" ht="15.95" hidden="1" customHeight="1" x14ac:dyDescent="0.25"/>
    <row r="182" s="63" customFormat="1" ht="15.95" hidden="1" customHeight="1" x14ac:dyDescent="0.25"/>
    <row r="183" s="63" customFormat="1" ht="15.95" hidden="1" customHeight="1" x14ac:dyDescent="0.25"/>
    <row r="184" s="63" customFormat="1" ht="15.95" hidden="1" customHeight="1" x14ac:dyDescent="0.25"/>
    <row r="185" s="63" customFormat="1" ht="15.95" hidden="1" customHeight="1" x14ac:dyDescent="0.25"/>
    <row r="186" s="63" customFormat="1" ht="15.95" hidden="1" customHeight="1" x14ac:dyDescent="0.25"/>
    <row r="187" s="63" customFormat="1" ht="15.95" hidden="1" customHeight="1" x14ac:dyDescent="0.25"/>
    <row r="188" s="63" customFormat="1" ht="15.95" hidden="1" customHeight="1" x14ac:dyDescent="0.25"/>
    <row r="189" s="63" customFormat="1" ht="15.95" hidden="1" customHeight="1" x14ac:dyDescent="0.25"/>
    <row r="190" s="63" customFormat="1" ht="15.95" hidden="1" customHeight="1" x14ac:dyDescent="0.25"/>
    <row r="191" s="63" customFormat="1" ht="15.95" hidden="1" customHeight="1" x14ac:dyDescent="0.25"/>
    <row r="192" s="63" customFormat="1" ht="15.95" hidden="1" customHeight="1" x14ac:dyDescent="0.25"/>
    <row r="193" spans="2:44" s="63" customFormat="1" ht="15.95" hidden="1" customHeight="1" x14ac:dyDescent="0.25"/>
    <row r="194" spans="2:44" s="63" customFormat="1" ht="15.95" hidden="1" customHeight="1" x14ac:dyDescent="0.25"/>
    <row r="195" spans="2:44" s="63" customFormat="1" ht="15.95" hidden="1" customHeight="1" x14ac:dyDescent="0.25"/>
    <row r="196" spans="2:44" s="63" customFormat="1" ht="15.95" hidden="1" customHeight="1" x14ac:dyDescent="0.25"/>
    <row r="197" spans="2:44" s="63" customFormat="1" ht="15.95" hidden="1" customHeight="1" x14ac:dyDescent="0.25"/>
    <row r="198" spans="2:44" s="63" customFormat="1" ht="15.95" hidden="1" customHeight="1" x14ac:dyDescent="0.25"/>
    <row r="199" spans="2:44" ht="15.95" hidden="1" customHeight="1" x14ac:dyDescent="0.25"/>
    <row r="200" spans="2:44" ht="15.95" customHeight="1" x14ac:dyDescent="0.25">
      <c r="B200" s="136" t="str">
        <f>FOOT1</f>
        <v>Ameren Missouri BizSavers program</v>
      </c>
      <c r="C200" s="136"/>
      <c r="D200" s="136"/>
      <c r="E200" s="136"/>
      <c r="F200" s="136"/>
      <c r="G200" s="136"/>
      <c r="H200" s="136"/>
      <c r="I200" s="136"/>
      <c r="J200" s="136"/>
      <c r="K200" s="136"/>
      <c r="L200" s="136"/>
      <c r="M200" s="729" t="str">
        <f>FOOTDISCLAIM</f>
        <v/>
      </c>
      <c r="N200" s="729"/>
      <c r="O200" s="729"/>
      <c r="P200" s="729"/>
      <c r="Q200" s="729"/>
      <c r="R200" s="729"/>
      <c r="S200" s="729"/>
      <c r="T200" s="729"/>
      <c r="U200" s="729"/>
      <c r="V200" s="729"/>
      <c r="W200" s="729"/>
      <c r="X200" s="729"/>
      <c r="Y200" s="729"/>
      <c r="Z200" s="729"/>
      <c r="AA200" s="729"/>
      <c r="AB200" s="729"/>
      <c r="AC200" s="729"/>
      <c r="AD200" s="729"/>
      <c r="AE200" s="729"/>
      <c r="AF200" s="729"/>
      <c r="AG200" s="729"/>
      <c r="AH200" s="136"/>
      <c r="AI200" s="136"/>
      <c r="AJ200" s="136"/>
      <c r="AK200" s="136"/>
      <c r="AL200" s="136"/>
      <c r="AM200" s="136"/>
      <c r="AN200" s="136"/>
      <c r="AO200" s="136"/>
      <c r="AP200" s="136"/>
      <c r="AQ200" s="136"/>
      <c r="AR200" s="300" t="str">
        <f>FOOT4</f>
        <v/>
      </c>
    </row>
    <row r="201" spans="2:44" ht="15.95" customHeight="1" x14ac:dyDescent="0.25">
      <c r="B201" s="136" t="str">
        <f>FOOT2</f>
        <v>Toll-Free 866-941-7299</v>
      </c>
      <c r="C201" s="136"/>
      <c r="D201" s="136"/>
      <c r="E201" s="136"/>
      <c r="F201" s="136"/>
      <c r="G201" s="136"/>
      <c r="H201" s="136"/>
      <c r="I201" s="136"/>
      <c r="J201" s="136"/>
      <c r="K201" s="136"/>
      <c r="L201" s="136"/>
      <c r="M201" s="729"/>
      <c r="N201" s="729"/>
      <c r="O201" s="729"/>
      <c r="P201" s="729"/>
      <c r="Q201" s="729"/>
      <c r="R201" s="729"/>
      <c r="S201" s="729"/>
      <c r="T201" s="729"/>
      <c r="U201" s="729"/>
      <c r="V201" s="729"/>
      <c r="W201" s="729"/>
      <c r="X201" s="729"/>
      <c r="Y201" s="729"/>
      <c r="Z201" s="729"/>
      <c r="AA201" s="729"/>
      <c r="AB201" s="729"/>
      <c r="AC201" s="729"/>
      <c r="AD201" s="729"/>
      <c r="AE201" s="729"/>
      <c r="AF201" s="729"/>
      <c r="AG201" s="729"/>
      <c r="AH201" s="136"/>
      <c r="AI201" s="136"/>
      <c r="AJ201" s="136"/>
      <c r="AK201" s="136"/>
      <c r="AL201" s="136"/>
      <c r="AM201" s="136"/>
      <c r="AN201" s="136"/>
      <c r="AO201" s="136"/>
      <c r="AP201" s="136"/>
      <c r="AQ201" s="136"/>
      <c r="AR201" s="300" t="str">
        <f>FOOT5</f>
        <v/>
      </c>
    </row>
    <row r="202" spans="2:44" ht="15.95" customHeight="1" x14ac:dyDescent="0.25">
      <c r="B202" s="138" t="str">
        <f>FOOT3</f>
        <v>BizSavers@ameren.com</v>
      </c>
      <c r="C202" s="136"/>
      <c r="D202" s="136"/>
      <c r="E202" s="136"/>
      <c r="F202" s="136"/>
      <c r="G202" s="136"/>
      <c r="H202" s="136"/>
      <c r="I202" s="136"/>
      <c r="J202" s="136"/>
      <c r="K202" s="136"/>
      <c r="L202" s="136"/>
      <c r="M202" s="139"/>
      <c r="N202" s="136"/>
      <c r="O202" s="136"/>
      <c r="P202" s="139"/>
      <c r="Q202" s="139"/>
      <c r="R202" s="139"/>
      <c r="S202" s="139"/>
      <c r="T202" s="139"/>
      <c r="U202" s="139"/>
      <c r="V202" s="139"/>
      <c r="W202" s="140" t="str">
        <f>VERSION</f>
        <v>New Construction v3.8.0</v>
      </c>
      <c r="X202" s="139"/>
      <c r="Y202" s="139"/>
      <c r="Z202" s="139"/>
      <c r="AA202" s="139"/>
      <c r="AB202" s="139"/>
      <c r="AC202" s="139"/>
      <c r="AD202" s="139"/>
      <c r="AE202" s="136"/>
      <c r="AF202" s="136"/>
      <c r="AG202" s="136"/>
      <c r="AH202" s="136"/>
      <c r="AI202" s="136"/>
      <c r="AJ202" s="136"/>
      <c r="AK202" s="136"/>
      <c r="AL202" s="136"/>
      <c r="AM202" s="136"/>
      <c r="AN202" s="136"/>
      <c r="AO202" s="136"/>
      <c r="AP202" s="136"/>
      <c r="AQ202" s="136"/>
      <c r="AR202" s="300" t="str">
        <f>FOOT6</f>
        <v>Product of TRC Companies</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sheetData>
  <sheetProtection algorithmName="SHA-512" hashValue="zdYfaKUYiO1V7eHp5x+ngYxtrDEpAk4+KYk83dZ4aDmF2xI79PGZ+5wCwjovdCyANS1t5hGpO8nUEH1odqtTPQ==" saltValue="eqdubwQ5+dFAc1UMsdiUHg==" spinCount="100000" sheet="1" objects="1" scenarios="1" selectLockedCells="1"/>
  <mergeCells count="19">
    <mergeCell ref="U98:AA100"/>
    <mergeCell ref="F11:AN12"/>
    <mergeCell ref="M200:AG201"/>
    <mergeCell ref="F10:AN10"/>
    <mergeCell ref="K19:AI20"/>
    <mergeCell ref="K21:AI22"/>
    <mergeCell ref="J72:AJ73"/>
    <mergeCell ref="K24:AI24"/>
    <mergeCell ref="K35:AI35"/>
    <mergeCell ref="K50:AI50"/>
    <mergeCell ref="K62:AJ62"/>
    <mergeCell ref="M40:AI41"/>
    <mergeCell ref="M42:AI43"/>
    <mergeCell ref="AQ1:AR1"/>
    <mergeCell ref="AQ2:AR3"/>
    <mergeCell ref="AH1:AK1"/>
    <mergeCell ref="AL1:AP1"/>
    <mergeCell ref="AH2:AK3"/>
    <mergeCell ref="AL2:AP3"/>
  </mergeCells>
  <conditionalFormatting sqref="AQ2:AR3">
    <cfRule type="cellIs" dxfId="55" priority="3" operator="equal">
      <formula>1</formula>
    </cfRule>
    <cfRule type="cellIs" dxfId="54" priority="4" operator="between">
      <formula>0.51</formula>
      <formula>0.99</formula>
    </cfRule>
    <cfRule type="cellIs" dxfId="53" priority="5" operator="lessThanOrEqual">
      <formula>0.5</formula>
    </cfRule>
  </conditionalFormatting>
  <conditionalFormatting sqref="AH2 AL2">
    <cfRule type="expression" dxfId="52" priority="1">
      <formula>OR(PROJSTATUS=PROJSTATELI,PROJSTATUS=PROJSTATEXP,PROJSTATUS=PROJSTATUNDER)</formula>
    </cfRule>
    <cfRule type="expression" dxfId="51" priority="2">
      <formula>PROJSTATUS=PROJSTATFILLINITIAL</formula>
    </cfRule>
    <cfRule type="expression" dxfId="50" priority="6">
      <formula>PROJSTATUS=PROJSTATPREAPPROVE</formula>
    </cfRule>
    <cfRule type="expression" dxfId="49" priority="7">
      <formula>OR(PROJSTATUS=PROJSTATSSUBMITINITIAL,PROJSTATUS=PROJSTATREVIEW)</formula>
    </cfRule>
  </conditionalFormatting>
  <hyperlinks>
    <hyperlink ref="B202" r:id="rId1" display="NIPSCO.Savings@LMCO.com" xr:uid="{00000000-0004-0000-2700-000000000000}"/>
  </hyperlinks>
  <pageMargins left="0.25" right="0.25" top="0.25" bottom="0.25" header="0.25" footer="0.25"/>
  <pageSetup scale="79" fitToHeight="0"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20161" r:id="rId5" name="M05S02TB1">
              <controlPr locked="0" defaultSize="0" autoFill="0" autoLine="0" autoPict="0">
                <anchor moveWithCells="1">
                  <from>
                    <xdr:col>10</xdr:col>
                    <xdr:colOff>0</xdr:colOff>
                    <xdr:row>25</xdr:row>
                    <xdr:rowOff>9525</xdr:rowOff>
                  </from>
                  <to>
                    <xdr:col>10</xdr:col>
                    <xdr:colOff>304800</xdr:colOff>
                    <xdr:row>26</xdr:row>
                    <xdr:rowOff>0</xdr:rowOff>
                  </to>
                </anchor>
              </controlPr>
            </control>
          </mc:Choice>
        </mc:AlternateContent>
        <mc:AlternateContent xmlns:mc="http://schemas.openxmlformats.org/markup-compatibility/2006">
          <mc:Choice Requires="x14">
            <control shapeId="220162" r:id="rId6" name="Check Box 2">
              <controlPr defaultSize="0" autoFill="0" autoLine="0" autoPict="0">
                <anchor moveWithCells="1">
                  <from>
                    <xdr:col>11</xdr:col>
                    <xdr:colOff>0</xdr:colOff>
                    <xdr:row>28</xdr:row>
                    <xdr:rowOff>9525</xdr:rowOff>
                  </from>
                  <to>
                    <xdr:col>11</xdr:col>
                    <xdr:colOff>304800</xdr:colOff>
                    <xdr:row>29</xdr:row>
                    <xdr:rowOff>0</xdr:rowOff>
                  </to>
                </anchor>
              </controlPr>
            </control>
          </mc:Choice>
        </mc:AlternateContent>
        <mc:AlternateContent xmlns:mc="http://schemas.openxmlformats.org/markup-compatibility/2006">
          <mc:Choice Requires="x14">
            <control shapeId="220163" r:id="rId7" name="Check Box 3">
              <controlPr defaultSize="0" autoFill="0" autoLine="0" autoPict="0">
                <anchor moveWithCells="1">
                  <from>
                    <xdr:col>11</xdr:col>
                    <xdr:colOff>0</xdr:colOff>
                    <xdr:row>29</xdr:row>
                    <xdr:rowOff>9525</xdr:rowOff>
                  </from>
                  <to>
                    <xdr:col>11</xdr:col>
                    <xdr:colOff>304800</xdr:colOff>
                    <xdr:row>30</xdr:row>
                    <xdr:rowOff>0</xdr:rowOff>
                  </to>
                </anchor>
              </controlPr>
            </control>
          </mc:Choice>
        </mc:AlternateContent>
        <mc:AlternateContent xmlns:mc="http://schemas.openxmlformats.org/markup-compatibility/2006">
          <mc:Choice Requires="x14">
            <control shapeId="220164" r:id="rId8" name="Check Box 4">
              <controlPr defaultSize="0" autoFill="0" autoLine="0" autoPict="0">
                <anchor moveWithCells="1">
                  <from>
                    <xdr:col>11</xdr:col>
                    <xdr:colOff>0</xdr:colOff>
                    <xdr:row>30</xdr:row>
                    <xdr:rowOff>9525</xdr:rowOff>
                  </from>
                  <to>
                    <xdr:col>11</xdr:col>
                    <xdr:colOff>304800</xdr:colOff>
                    <xdr:row>31</xdr:row>
                    <xdr:rowOff>0</xdr:rowOff>
                  </to>
                </anchor>
              </controlPr>
            </control>
          </mc:Choice>
        </mc:AlternateContent>
        <mc:AlternateContent xmlns:mc="http://schemas.openxmlformats.org/markup-compatibility/2006">
          <mc:Choice Requires="x14">
            <control shapeId="220165" r:id="rId9" name="Check Box 5">
              <controlPr defaultSize="0" autoFill="0" autoLine="0" autoPict="0">
                <anchor moveWithCells="1">
                  <from>
                    <xdr:col>10</xdr:col>
                    <xdr:colOff>0</xdr:colOff>
                    <xdr:row>32</xdr:row>
                    <xdr:rowOff>9525</xdr:rowOff>
                  </from>
                  <to>
                    <xdr:col>10</xdr:col>
                    <xdr:colOff>304800</xdr:colOff>
                    <xdr:row>33</xdr:row>
                    <xdr:rowOff>0</xdr:rowOff>
                  </to>
                </anchor>
              </controlPr>
            </control>
          </mc:Choice>
        </mc:AlternateContent>
        <mc:AlternateContent xmlns:mc="http://schemas.openxmlformats.org/markup-compatibility/2006">
          <mc:Choice Requires="x14">
            <control shapeId="220166" r:id="rId10" name="Check Box 6">
              <controlPr defaultSize="0" autoFill="0" autoLine="0" autoPict="0">
                <anchor moveWithCells="1">
                  <from>
                    <xdr:col>10</xdr:col>
                    <xdr:colOff>0</xdr:colOff>
                    <xdr:row>36</xdr:row>
                    <xdr:rowOff>0</xdr:rowOff>
                  </from>
                  <to>
                    <xdr:col>10</xdr:col>
                    <xdr:colOff>304800</xdr:colOff>
                    <xdr:row>36</xdr:row>
                    <xdr:rowOff>190500</xdr:rowOff>
                  </to>
                </anchor>
              </controlPr>
            </control>
          </mc:Choice>
        </mc:AlternateContent>
        <mc:AlternateContent xmlns:mc="http://schemas.openxmlformats.org/markup-compatibility/2006">
          <mc:Choice Requires="x14">
            <control shapeId="220167" r:id="rId11" name="Check Box 7">
              <controlPr defaultSize="0" autoFill="0" autoLine="0" autoPict="0">
                <anchor moveWithCells="1">
                  <from>
                    <xdr:col>10</xdr:col>
                    <xdr:colOff>0</xdr:colOff>
                    <xdr:row>38</xdr:row>
                    <xdr:rowOff>0</xdr:rowOff>
                  </from>
                  <to>
                    <xdr:col>10</xdr:col>
                    <xdr:colOff>304800</xdr:colOff>
                    <xdr:row>38</xdr:row>
                    <xdr:rowOff>190500</xdr:rowOff>
                  </to>
                </anchor>
              </controlPr>
            </control>
          </mc:Choice>
        </mc:AlternateContent>
        <mc:AlternateContent xmlns:mc="http://schemas.openxmlformats.org/markup-compatibility/2006">
          <mc:Choice Requires="x14">
            <control shapeId="220168" r:id="rId12" name="Check Box 8">
              <controlPr defaultSize="0" autoFill="0" autoLine="0" autoPict="0">
                <anchor moveWithCells="1">
                  <from>
                    <xdr:col>11</xdr:col>
                    <xdr:colOff>0</xdr:colOff>
                    <xdr:row>39</xdr:row>
                    <xdr:rowOff>0</xdr:rowOff>
                  </from>
                  <to>
                    <xdr:col>11</xdr:col>
                    <xdr:colOff>304800</xdr:colOff>
                    <xdr:row>39</xdr:row>
                    <xdr:rowOff>190500</xdr:rowOff>
                  </to>
                </anchor>
              </controlPr>
            </control>
          </mc:Choice>
        </mc:AlternateContent>
        <mc:AlternateContent xmlns:mc="http://schemas.openxmlformats.org/markup-compatibility/2006">
          <mc:Choice Requires="x14">
            <control shapeId="220169" r:id="rId13" name="Check Box 9">
              <controlPr defaultSize="0" autoFill="0" autoLine="0" autoPict="0">
                <anchor moveWithCells="1">
                  <from>
                    <xdr:col>11</xdr:col>
                    <xdr:colOff>0</xdr:colOff>
                    <xdr:row>41</xdr:row>
                    <xdr:rowOff>0</xdr:rowOff>
                  </from>
                  <to>
                    <xdr:col>11</xdr:col>
                    <xdr:colOff>304800</xdr:colOff>
                    <xdr:row>41</xdr:row>
                    <xdr:rowOff>190500</xdr:rowOff>
                  </to>
                </anchor>
              </controlPr>
            </control>
          </mc:Choice>
        </mc:AlternateContent>
        <mc:AlternateContent xmlns:mc="http://schemas.openxmlformats.org/markup-compatibility/2006">
          <mc:Choice Requires="x14">
            <control shapeId="220170" r:id="rId14" name="Check Box 10">
              <controlPr defaultSize="0" autoFill="0" autoLine="0" autoPict="0">
                <anchor moveWithCells="1">
                  <from>
                    <xdr:col>10</xdr:col>
                    <xdr:colOff>0</xdr:colOff>
                    <xdr:row>44</xdr:row>
                    <xdr:rowOff>0</xdr:rowOff>
                  </from>
                  <to>
                    <xdr:col>10</xdr:col>
                    <xdr:colOff>304800</xdr:colOff>
                    <xdr:row>44</xdr:row>
                    <xdr:rowOff>190500</xdr:rowOff>
                  </to>
                </anchor>
              </controlPr>
            </control>
          </mc:Choice>
        </mc:AlternateContent>
        <mc:AlternateContent xmlns:mc="http://schemas.openxmlformats.org/markup-compatibility/2006">
          <mc:Choice Requires="x14">
            <control shapeId="220171" r:id="rId15" name="Check Box 11">
              <controlPr defaultSize="0" autoFill="0" autoLine="0" autoPict="0">
                <anchor moveWithCells="1">
                  <from>
                    <xdr:col>11</xdr:col>
                    <xdr:colOff>0</xdr:colOff>
                    <xdr:row>45</xdr:row>
                    <xdr:rowOff>0</xdr:rowOff>
                  </from>
                  <to>
                    <xdr:col>11</xdr:col>
                    <xdr:colOff>304800</xdr:colOff>
                    <xdr:row>45</xdr:row>
                    <xdr:rowOff>190500</xdr:rowOff>
                  </to>
                </anchor>
              </controlPr>
            </control>
          </mc:Choice>
        </mc:AlternateContent>
        <mc:AlternateContent xmlns:mc="http://schemas.openxmlformats.org/markup-compatibility/2006">
          <mc:Choice Requires="x14">
            <control shapeId="220172" r:id="rId16" name="Check Box 12">
              <controlPr defaultSize="0" autoFill="0" autoLine="0" autoPict="0">
                <anchor moveWithCells="1">
                  <from>
                    <xdr:col>11</xdr:col>
                    <xdr:colOff>0</xdr:colOff>
                    <xdr:row>46</xdr:row>
                    <xdr:rowOff>0</xdr:rowOff>
                  </from>
                  <to>
                    <xdr:col>11</xdr:col>
                    <xdr:colOff>304800</xdr:colOff>
                    <xdr:row>46</xdr:row>
                    <xdr:rowOff>190500</xdr:rowOff>
                  </to>
                </anchor>
              </controlPr>
            </control>
          </mc:Choice>
        </mc:AlternateContent>
        <mc:AlternateContent xmlns:mc="http://schemas.openxmlformats.org/markup-compatibility/2006">
          <mc:Choice Requires="x14">
            <control shapeId="220173" r:id="rId17" name="Check Box 13">
              <controlPr defaultSize="0" autoFill="0" autoLine="0" autoPict="0">
                <anchor moveWithCells="1">
                  <from>
                    <xdr:col>11</xdr:col>
                    <xdr:colOff>0</xdr:colOff>
                    <xdr:row>47</xdr:row>
                    <xdr:rowOff>0</xdr:rowOff>
                  </from>
                  <to>
                    <xdr:col>11</xdr:col>
                    <xdr:colOff>304800</xdr:colOff>
                    <xdr:row>47</xdr:row>
                    <xdr:rowOff>190500</xdr:rowOff>
                  </to>
                </anchor>
              </controlPr>
            </control>
          </mc:Choice>
        </mc:AlternateContent>
        <mc:AlternateContent xmlns:mc="http://schemas.openxmlformats.org/markup-compatibility/2006">
          <mc:Choice Requires="x14">
            <control shapeId="220174" r:id="rId18" name="Check Box 14">
              <controlPr defaultSize="0" autoFill="0" autoLine="0" autoPict="0">
                <anchor moveWithCells="1">
                  <from>
                    <xdr:col>10</xdr:col>
                    <xdr:colOff>0</xdr:colOff>
                    <xdr:row>51</xdr:row>
                    <xdr:rowOff>0</xdr:rowOff>
                  </from>
                  <to>
                    <xdr:col>10</xdr:col>
                    <xdr:colOff>304800</xdr:colOff>
                    <xdr:row>51</xdr:row>
                    <xdr:rowOff>190500</xdr:rowOff>
                  </to>
                </anchor>
              </controlPr>
            </control>
          </mc:Choice>
        </mc:AlternateContent>
        <mc:AlternateContent xmlns:mc="http://schemas.openxmlformats.org/markup-compatibility/2006">
          <mc:Choice Requires="x14">
            <control shapeId="220175" r:id="rId19" name="Check Box 15">
              <controlPr defaultSize="0" autoFill="0" autoLine="0" autoPict="0">
                <anchor moveWithCells="1">
                  <from>
                    <xdr:col>11</xdr:col>
                    <xdr:colOff>0</xdr:colOff>
                    <xdr:row>52</xdr:row>
                    <xdr:rowOff>0</xdr:rowOff>
                  </from>
                  <to>
                    <xdr:col>11</xdr:col>
                    <xdr:colOff>304800</xdr:colOff>
                    <xdr:row>52</xdr:row>
                    <xdr:rowOff>190500</xdr:rowOff>
                  </to>
                </anchor>
              </controlPr>
            </control>
          </mc:Choice>
        </mc:AlternateContent>
        <mc:AlternateContent xmlns:mc="http://schemas.openxmlformats.org/markup-compatibility/2006">
          <mc:Choice Requires="x14">
            <control shapeId="220176" r:id="rId20" name="Check Box 16">
              <controlPr defaultSize="0" autoFill="0" autoLine="0" autoPict="0">
                <anchor moveWithCells="1">
                  <from>
                    <xdr:col>11</xdr:col>
                    <xdr:colOff>0</xdr:colOff>
                    <xdr:row>53</xdr:row>
                    <xdr:rowOff>0</xdr:rowOff>
                  </from>
                  <to>
                    <xdr:col>11</xdr:col>
                    <xdr:colOff>304800</xdr:colOff>
                    <xdr:row>53</xdr:row>
                    <xdr:rowOff>190500</xdr:rowOff>
                  </to>
                </anchor>
              </controlPr>
            </control>
          </mc:Choice>
        </mc:AlternateContent>
        <mc:AlternateContent xmlns:mc="http://schemas.openxmlformats.org/markup-compatibility/2006">
          <mc:Choice Requires="x14">
            <control shapeId="220177" r:id="rId21" name="Check Box 17">
              <controlPr defaultSize="0" autoFill="0" autoLine="0" autoPict="0">
                <anchor moveWithCells="1">
                  <from>
                    <xdr:col>10</xdr:col>
                    <xdr:colOff>0</xdr:colOff>
                    <xdr:row>55</xdr:row>
                    <xdr:rowOff>0</xdr:rowOff>
                  </from>
                  <to>
                    <xdr:col>10</xdr:col>
                    <xdr:colOff>304800</xdr:colOff>
                    <xdr:row>55</xdr:row>
                    <xdr:rowOff>190500</xdr:rowOff>
                  </to>
                </anchor>
              </controlPr>
            </control>
          </mc:Choice>
        </mc:AlternateContent>
        <mc:AlternateContent xmlns:mc="http://schemas.openxmlformats.org/markup-compatibility/2006">
          <mc:Choice Requires="x14">
            <control shapeId="220178" r:id="rId22" name="Check Box 18">
              <controlPr defaultSize="0" autoFill="0" autoLine="0" autoPict="0">
                <anchor moveWithCells="1">
                  <from>
                    <xdr:col>10</xdr:col>
                    <xdr:colOff>0</xdr:colOff>
                    <xdr:row>57</xdr:row>
                    <xdr:rowOff>0</xdr:rowOff>
                  </from>
                  <to>
                    <xdr:col>10</xdr:col>
                    <xdr:colOff>304800</xdr:colOff>
                    <xdr:row>57</xdr:row>
                    <xdr:rowOff>190500</xdr:rowOff>
                  </to>
                </anchor>
              </controlPr>
            </control>
          </mc:Choice>
        </mc:AlternateContent>
        <mc:AlternateContent xmlns:mc="http://schemas.openxmlformats.org/markup-compatibility/2006">
          <mc:Choice Requires="x14">
            <control shapeId="220179" r:id="rId23" name="Check Box 19">
              <controlPr defaultSize="0" autoFill="0" autoLine="0" autoPict="0">
                <anchor moveWithCells="1">
                  <from>
                    <xdr:col>10</xdr:col>
                    <xdr:colOff>0</xdr:colOff>
                    <xdr:row>59</xdr:row>
                    <xdr:rowOff>0</xdr:rowOff>
                  </from>
                  <to>
                    <xdr:col>10</xdr:col>
                    <xdr:colOff>304800</xdr:colOff>
                    <xdr:row>59</xdr:row>
                    <xdr:rowOff>190500</xdr:rowOff>
                  </to>
                </anchor>
              </controlPr>
            </control>
          </mc:Choice>
        </mc:AlternateContent>
        <mc:AlternateContent xmlns:mc="http://schemas.openxmlformats.org/markup-compatibility/2006">
          <mc:Choice Requires="x14">
            <control shapeId="220183" r:id="rId24" name="Check Box 23">
              <controlPr defaultSize="0" autoFill="0" autoLine="0" autoPict="0">
                <anchor moveWithCells="1">
                  <from>
                    <xdr:col>10</xdr:col>
                    <xdr:colOff>0</xdr:colOff>
                    <xdr:row>63</xdr:row>
                    <xdr:rowOff>0</xdr:rowOff>
                  </from>
                  <to>
                    <xdr:col>10</xdr:col>
                    <xdr:colOff>304800</xdr:colOff>
                    <xdr:row>63</xdr:row>
                    <xdr:rowOff>190500</xdr:rowOff>
                  </to>
                </anchor>
              </controlPr>
            </control>
          </mc:Choice>
        </mc:AlternateContent>
        <mc:AlternateContent xmlns:mc="http://schemas.openxmlformats.org/markup-compatibility/2006">
          <mc:Choice Requires="x14">
            <control shapeId="220184" r:id="rId25" name="Check Box 24">
              <controlPr defaultSize="0" autoFill="0" autoLine="0" autoPict="0">
                <anchor moveWithCells="1">
                  <from>
                    <xdr:col>10</xdr:col>
                    <xdr:colOff>0</xdr:colOff>
                    <xdr:row>66</xdr:row>
                    <xdr:rowOff>0</xdr:rowOff>
                  </from>
                  <to>
                    <xdr:col>10</xdr:col>
                    <xdr:colOff>304800</xdr:colOff>
                    <xdr:row>66</xdr:row>
                    <xdr:rowOff>190500</xdr:rowOff>
                  </to>
                </anchor>
              </controlPr>
            </control>
          </mc:Choice>
        </mc:AlternateContent>
        <mc:AlternateContent xmlns:mc="http://schemas.openxmlformats.org/markup-compatibility/2006">
          <mc:Choice Requires="x14">
            <control shapeId="220185" r:id="rId26" name="Check Box 25">
              <controlPr defaultSize="0" autoFill="0" autoLine="0" autoPict="0">
                <anchor moveWithCells="1">
                  <from>
                    <xdr:col>10</xdr:col>
                    <xdr:colOff>0</xdr:colOff>
                    <xdr:row>69</xdr:row>
                    <xdr:rowOff>0</xdr:rowOff>
                  </from>
                  <to>
                    <xdr:col>10</xdr:col>
                    <xdr:colOff>304800</xdr:colOff>
                    <xdr:row>69</xdr:row>
                    <xdr:rowOff>190500</xdr:rowOff>
                  </to>
                </anchor>
              </controlPr>
            </control>
          </mc:Choice>
        </mc:AlternateContent>
        <mc:AlternateContent xmlns:mc="http://schemas.openxmlformats.org/markup-compatibility/2006">
          <mc:Choice Requires="x14">
            <control shapeId="220186" r:id="rId27" name="Check Box 26">
              <controlPr defaultSize="0" autoFill="0" autoLine="0" autoPict="0">
                <anchor moveWithCells="1">
                  <from>
                    <xdr:col>11</xdr:col>
                    <xdr:colOff>0</xdr:colOff>
                    <xdr:row>67</xdr:row>
                    <xdr:rowOff>0</xdr:rowOff>
                  </from>
                  <to>
                    <xdr:col>11</xdr:col>
                    <xdr:colOff>304800</xdr:colOff>
                    <xdr:row>67</xdr:row>
                    <xdr:rowOff>190500</xdr:rowOff>
                  </to>
                </anchor>
              </controlPr>
            </control>
          </mc:Choice>
        </mc:AlternateContent>
        <mc:AlternateContent xmlns:mc="http://schemas.openxmlformats.org/markup-compatibility/2006">
          <mc:Choice Requires="x14">
            <control shapeId="220187" r:id="rId28" name="Check Box 27">
              <controlPr defaultSize="0" autoFill="0" autoLine="0" autoPict="0">
                <anchor moveWithCells="1">
                  <from>
                    <xdr:col>10</xdr:col>
                    <xdr:colOff>0</xdr:colOff>
                    <xdr:row>27</xdr:row>
                    <xdr:rowOff>9525</xdr:rowOff>
                  </from>
                  <to>
                    <xdr:col>10</xdr:col>
                    <xdr:colOff>304800</xdr:colOff>
                    <xdr:row>28</xdr:row>
                    <xdr:rowOff>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pageSetUpPr fitToPage="1"/>
  </sheetPr>
  <dimension ref="A1:AS363"/>
  <sheetViews>
    <sheetView showGridLines="0" showRowColHeaders="0" zoomScale="85" zoomScaleNormal="85" workbookViewId="0">
      <selection activeCell="J13" sqref="J13:O13"/>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2:44" ht="15.95" customHeight="1" x14ac:dyDescent="0.3">
      <c r="AH1" s="711" t="s">
        <v>494</v>
      </c>
      <c r="AI1" s="712"/>
      <c r="AJ1" s="712"/>
      <c r="AK1" s="712"/>
      <c r="AL1" s="723" t="s">
        <v>911</v>
      </c>
      <c r="AM1" s="723"/>
      <c r="AN1" s="723"/>
      <c r="AO1" s="723"/>
      <c r="AP1" s="723"/>
      <c r="AQ1" s="717" t="s">
        <v>499</v>
      </c>
      <c r="AR1" s="718"/>
    </row>
    <row r="2" spans="2:44" ht="15.95" customHeight="1" x14ac:dyDescent="0.25">
      <c r="AH2" s="713" t="str">
        <f ca="1">INCENSTATUS</f>
        <v>---</v>
      </c>
      <c r="AI2" s="714"/>
      <c r="AJ2" s="714"/>
      <c r="AK2" s="714"/>
      <c r="AL2" s="724" t="str">
        <f ca="1">PROJSTATUS</f>
        <v>Please Complete Initial Application</v>
      </c>
      <c r="AM2" s="724"/>
      <c r="AN2" s="724"/>
      <c r="AO2" s="724"/>
      <c r="AP2" s="724"/>
      <c r="AQ2" s="719">
        <f ca="1">PROGRESSSTATUS</f>
        <v>0</v>
      </c>
      <c r="AR2" s="720"/>
    </row>
    <row r="3" spans="2:44" ht="15.95" customHeight="1" x14ac:dyDescent="0.25">
      <c r="AH3" s="715"/>
      <c r="AI3" s="716"/>
      <c r="AJ3" s="716"/>
      <c r="AK3" s="716"/>
      <c r="AL3" s="725"/>
      <c r="AM3" s="725"/>
      <c r="AN3" s="725"/>
      <c r="AO3" s="725"/>
      <c r="AP3" s="725"/>
      <c r="AQ3" s="721"/>
      <c r="AR3" s="722"/>
    </row>
    <row r="4" spans="2:44" ht="15.95" customHeight="1" x14ac:dyDescent="0.25">
      <c r="AG4" s="63"/>
    </row>
    <row r="5" spans="2:44" ht="15.95" customHeight="1" x14ac:dyDescent="0.25"/>
    <row r="6" spans="2:44" ht="15.95" customHeight="1" x14ac:dyDescent="0.25"/>
    <row r="7" spans="2:44" ht="15.95" customHeight="1" x14ac:dyDescent="0.25"/>
    <row r="8" spans="2:44" ht="15.95" customHeight="1" x14ac:dyDescent="0.25"/>
    <row r="9" spans="2:44" ht="15.95" customHeight="1" x14ac:dyDescent="0.25">
      <c r="B9" s="135"/>
      <c r="C9" s="135"/>
      <c r="D9" s="135"/>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row>
    <row r="10" spans="2:44" ht="15.95" customHeight="1" x14ac:dyDescent="0.3">
      <c r="B10" s="135"/>
      <c r="C10" s="135"/>
      <c r="D10" s="135"/>
      <c r="E10" s="135"/>
      <c r="F10" s="732" t="s">
        <v>1758</v>
      </c>
      <c r="G10" s="732"/>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c r="AO10" s="135"/>
      <c r="AP10" s="135"/>
      <c r="AQ10" s="135"/>
      <c r="AR10" s="135"/>
    </row>
    <row r="11" spans="2:44" ht="15.95" customHeight="1" x14ac:dyDescent="0.25">
      <c r="B11" s="135"/>
      <c r="C11" s="135"/>
      <c r="D11" s="135"/>
      <c r="E11" s="135"/>
      <c r="F11" s="1415" t="s">
        <v>1759</v>
      </c>
      <c r="G11" s="1415"/>
      <c r="H11" s="1415"/>
      <c r="I11" s="1415"/>
      <c r="J11" s="1415"/>
      <c r="K11" s="1415"/>
      <c r="L11" s="1415"/>
      <c r="M11" s="1415"/>
      <c r="N11" s="1415"/>
      <c r="O11" s="1415"/>
      <c r="P11" s="1415"/>
      <c r="Q11" s="1415"/>
      <c r="R11" s="1415"/>
      <c r="S11" s="1415"/>
      <c r="T11" s="1415"/>
      <c r="U11" s="1415"/>
      <c r="V11" s="1415"/>
      <c r="W11" s="1415"/>
      <c r="X11" s="1415"/>
      <c r="Y11" s="1415"/>
      <c r="Z11" s="1415"/>
      <c r="AA11" s="1415"/>
      <c r="AB11" s="1415"/>
      <c r="AC11" s="1415"/>
      <c r="AD11" s="1415"/>
      <c r="AE11" s="1415"/>
      <c r="AF11" s="1415"/>
      <c r="AG11" s="1415"/>
      <c r="AH11" s="1415"/>
      <c r="AI11" s="1415"/>
      <c r="AJ11" s="1415"/>
      <c r="AK11" s="1415"/>
      <c r="AL11" s="1415"/>
      <c r="AM11" s="1415"/>
      <c r="AN11" s="1415"/>
      <c r="AO11" s="135"/>
      <c r="AP11" s="135"/>
      <c r="AQ11" s="135"/>
      <c r="AR11" s="135"/>
    </row>
    <row r="12" spans="2:44" ht="15.95" customHeight="1" thickBot="1" x14ac:dyDescent="0.3">
      <c r="B12" s="135"/>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135"/>
    </row>
    <row r="13" spans="2:44" ht="15.95" customHeight="1" thickBot="1" x14ac:dyDescent="0.3">
      <c r="B13" s="135"/>
      <c r="C13" s="807" t="s">
        <v>1760</v>
      </c>
      <c r="D13" s="807"/>
      <c r="E13" s="807"/>
      <c r="F13" s="807"/>
      <c r="G13" s="807"/>
      <c r="H13" s="807"/>
      <c r="I13" s="470"/>
      <c r="J13" s="825"/>
      <c r="K13" s="810"/>
      <c r="L13" s="810"/>
      <c r="M13" s="810"/>
      <c r="N13" s="810"/>
      <c r="O13" s="811"/>
      <c r="P13" s="470"/>
      <c r="Q13" s="807"/>
      <c r="R13" s="807"/>
      <c r="S13" s="807"/>
      <c r="T13" s="807"/>
      <c r="U13" s="807"/>
      <c r="V13" s="807"/>
      <c r="W13" s="470"/>
      <c r="X13" s="807"/>
      <c r="Y13" s="807"/>
      <c r="Z13" s="807"/>
      <c r="AA13" s="807"/>
      <c r="AB13" s="807"/>
      <c r="AC13" s="807"/>
      <c r="AD13" s="470"/>
      <c r="AE13" s="807"/>
      <c r="AF13" s="807"/>
      <c r="AG13" s="807"/>
      <c r="AH13" s="807"/>
      <c r="AI13" s="807"/>
      <c r="AJ13" s="807"/>
      <c r="AK13" s="470"/>
      <c r="AL13" s="807"/>
      <c r="AM13" s="807"/>
      <c r="AN13" s="807"/>
      <c r="AO13" s="807"/>
      <c r="AP13" s="807"/>
      <c r="AQ13" s="807"/>
      <c r="AR13" s="135"/>
    </row>
    <row r="14" spans="2:44" ht="15.95" customHeight="1" x14ac:dyDescent="0.25">
      <c r="B14" s="135"/>
      <c r="C14" s="470"/>
      <c r="D14" s="470"/>
      <c r="E14" s="470"/>
      <c r="F14" s="470"/>
      <c r="G14" s="470"/>
      <c r="H14" s="470"/>
      <c r="I14" s="470"/>
      <c r="J14" s="470"/>
      <c r="K14" s="470"/>
      <c r="L14" s="470"/>
      <c r="M14" s="470"/>
      <c r="N14" s="470"/>
      <c r="O14" s="470"/>
      <c r="P14" s="470"/>
      <c r="Q14" s="470"/>
      <c r="R14" s="470"/>
      <c r="S14" s="470"/>
      <c r="T14" s="470"/>
      <c r="U14" s="470"/>
      <c r="V14" s="470"/>
      <c r="W14" s="470"/>
      <c r="X14" s="470"/>
      <c r="Y14" s="470"/>
      <c r="Z14" s="470"/>
      <c r="AA14" s="470"/>
      <c r="AB14" s="470"/>
      <c r="AC14" s="470"/>
      <c r="AD14" s="470"/>
      <c r="AE14" s="470"/>
      <c r="AF14" s="470"/>
      <c r="AG14" s="470"/>
      <c r="AH14" s="470"/>
      <c r="AI14" s="470"/>
      <c r="AJ14" s="470"/>
      <c r="AK14" s="470"/>
      <c r="AL14" s="470"/>
      <c r="AM14" s="470"/>
      <c r="AN14" s="470"/>
      <c r="AO14" s="470"/>
      <c r="AP14" s="470"/>
      <c r="AQ14" s="470"/>
      <c r="AR14" s="135"/>
    </row>
    <row r="15" spans="2:44" ht="15.95" customHeight="1" thickBot="1" x14ac:dyDescent="0.3">
      <c r="B15" s="135"/>
      <c r="C15" s="807" t="s">
        <v>1761</v>
      </c>
      <c r="D15" s="807"/>
      <c r="E15" s="807"/>
      <c r="F15" s="807"/>
      <c r="G15" s="807"/>
      <c r="H15" s="807"/>
      <c r="I15" s="470"/>
      <c r="J15" s="807" t="s">
        <v>1762</v>
      </c>
      <c r="K15" s="807"/>
      <c r="L15" s="807"/>
      <c r="M15" s="807"/>
      <c r="N15" s="807"/>
      <c r="O15" s="807"/>
      <c r="P15" s="470"/>
      <c r="Q15" s="807" t="s">
        <v>1763</v>
      </c>
      <c r="R15" s="807"/>
      <c r="S15" s="807"/>
      <c r="T15" s="807"/>
      <c r="U15" s="807"/>
      <c r="V15" s="807"/>
      <c r="W15" s="470"/>
      <c r="X15" s="807" t="s">
        <v>1764</v>
      </c>
      <c r="Y15" s="807"/>
      <c r="Z15" s="807"/>
      <c r="AA15" s="807"/>
      <c r="AB15" s="807"/>
      <c r="AC15" s="807"/>
      <c r="AD15" s="470"/>
      <c r="AE15" s="807" t="s">
        <v>918</v>
      </c>
      <c r="AF15" s="807"/>
      <c r="AG15" s="807"/>
      <c r="AH15" s="807"/>
      <c r="AI15" s="807"/>
      <c r="AJ15" s="807"/>
      <c r="AK15" s="470"/>
      <c r="AL15" s="807" t="s">
        <v>1765</v>
      </c>
      <c r="AM15" s="807"/>
      <c r="AN15" s="807"/>
      <c r="AO15" s="807"/>
      <c r="AP15" s="807"/>
      <c r="AQ15" s="807"/>
      <c r="AR15" s="135"/>
    </row>
    <row r="16" spans="2:44" ht="15.95" customHeight="1" thickBot="1" x14ac:dyDescent="0.3">
      <c r="B16" s="135"/>
      <c r="C16" s="843" t="str">
        <f>IF(M02S04F01="","",INDEX(PAYMENT[Company],MATCH(M02S04F01,PAYMENT[Payment to],0)))</f>
        <v/>
      </c>
      <c r="D16" s="844"/>
      <c r="E16" s="844"/>
      <c r="F16" s="844"/>
      <c r="G16" s="844"/>
      <c r="H16" s="845"/>
      <c r="I16" s="470"/>
      <c r="J16" s="843" t="str">
        <f>IF(M02S04F01="","",INDEX(PAYMENT[First],MATCH(M02S04F01,PAYMENT[Payment to],0)))</f>
        <v/>
      </c>
      <c r="K16" s="844"/>
      <c r="L16" s="844"/>
      <c r="M16" s="844"/>
      <c r="N16" s="844"/>
      <c r="O16" s="845"/>
      <c r="P16" s="470"/>
      <c r="Q16" s="843" t="str">
        <f>IF(M02S04F01="","",INDEX(PAYMENT[Last],MATCH(M02S04F01,PAYMENT[Payment to],0)))</f>
        <v/>
      </c>
      <c r="R16" s="844"/>
      <c r="S16" s="844"/>
      <c r="T16" s="844"/>
      <c r="U16" s="844"/>
      <c r="V16" s="845"/>
      <c r="W16" s="470"/>
      <c r="X16" s="1419" t="str">
        <f>IF(M02S04F01="","",INDEX(PAYMENT[Phone],MATCH(M02S04F01,PAYMENT[Payment to],0)))</f>
        <v/>
      </c>
      <c r="Y16" s="1420"/>
      <c r="Z16" s="1420"/>
      <c r="AA16" s="1420"/>
      <c r="AB16" s="1420"/>
      <c r="AC16" s="1421"/>
      <c r="AD16" s="470"/>
      <c r="AE16" s="843" t="str">
        <f>IF(M02S04F01="","",INDEX(PAYMENT[Email],MATCH(M02S04F01,PAYMENT[Payment to],0)))</f>
        <v/>
      </c>
      <c r="AF16" s="844"/>
      <c r="AG16" s="844"/>
      <c r="AH16" s="844"/>
      <c r="AI16" s="844"/>
      <c r="AJ16" s="845"/>
      <c r="AK16" s="470"/>
      <c r="AL16" s="843" t="str">
        <f>IF(M02S02F37&lt;&gt;0,M02S02F37,IF(M02S02F38&lt;&gt;0,M02S02F38,IF(M02S02F39&lt;&gt;0,M02S02F39,IF(M02S02F40&lt;&gt;0,M02S02F40,""))))</f>
        <v/>
      </c>
      <c r="AM16" s="844"/>
      <c r="AN16" s="844"/>
      <c r="AO16" s="844"/>
      <c r="AP16" s="844"/>
      <c r="AQ16" s="845"/>
      <c r="AR16" s="135"/>
    </row>
    <row r="17" spans="2:44" ht="15.95" customHeight="1" x14ac:dyDescent="0.25">
      <c r="B17" s="135"/>
      <c r="C17" s="470"/>
      <c r="D17" s="470"/>
      <c r="E17" s="470"/>
      <c r="F17" s="470"/>
      <c r="G17" s="470"/>
      <c r="H17" s="470"/>
      <c r="I17" s="470"/>
      <c r="J17" s="470"/>
      <c r="K17" s="470"/>
      <c r="L17" s="470"/>
      <c r="M17" s="470"/>
      <c r="N17" s="470"/>
      <c r="O17" s="470"/>
      <c r="P17" s="470"/>
      <c r="Q17" s="470"/>
      <c r="R17" s="470"/>
      <c r="S17" s="470"/>
      <c r="T17" s="470"/>
      <c r="U17" s="470"/>
      <c r="V17" s="470"/>
      <c r="W17" s="470"/>
      <c r="X17" s="470"/>
      <c r="Y17" s="470"/>
      <c r="Z17" s="470"/>
      <c r="AA17" s="470"/>
      <c r="AB17" s="470"/>
      <c r="AC17" s="470"/>
      <c r="AD17" s="470"/>
      <c r="AE17" s="470"/>
      <c r="AF17" s="470"/>
      <c r="AG17" s="470"/>
      <c r="AH17" s="470"/>
      <c r="AI17" s="470"/>
      <c r="AJ17" s="470"/>
      <c r="AK17" s="470"/>
      <c r="AL17" s="470"/>
      <c r="AM17" s="470"/>
      <c r="AN17" s="470"/>
      <c r="AO17" s="470"/>
      <c r="AP17" s="470"/>
      <c r="AQ17" s="470"/>
      <c r="AR17" s="135"/>
    </row>
    <row r="18" spans="2:44" ht="15.95" customHeight="1" thickBot="1" x14ac:dyDescent="0.3">
      <c r="B18" s="135"/>
      <c r="C18" s="807" t="s">
        <v>937</v>
      </c>
      <c r="D18" s="807"/>
      <c r="E18" s="807"/>
      <c r="F18" s="807"/>
      <c r="G18" s="807"/>
      <c r="H18" s="807"/>
      <c r="I18" s="470"/>
      <c r="J18" s="807" t="s">
        <v>920</v>
      </c>
      <c r="K18" s="807"/>
      <c r="L18" s="807"/>
      <c r="M18" s="807"/>
      <c r="N18" s="807"/>
      <c r="O18" s="807"/>
      <c r="P18" s="470"/>
      <c r="Q18" s="807" t="s">
        <v>921</v>
      </c>
      <c r="R18" s="807"/>
      <c r="S18" s="807"/>
      <c r="T18" s="807"/>
      <c r="U18" s="807"/>
      <c r="V18" s="807"/>
      <c r="W18" s="470"/>
      <c r="X18" s="807" t="s">
        <v>922</v>
      </c>
      <c r="Y18" s="807"/>
      <c r="Z18" s="807"/>
      <c r="AA18" s="807"/>
      <c r="AB18" s="807"/>
      <c r="AC18" s="807"/>
      <c r="AD18" s="470"/>
      <c r="AE18" s="807" t="s">
        <v>1766</v>
      </c>
      <c r="AF18" s="807"/>
      <c r="AG18" s="807"/>
      <c r="AH18" s="807"/>
      <c r="AI18" s="807"/>
      <c r="AJ18" s="807"/>
      <c r="AK18" s="470"/>
      <c r="AL18" s="807" t="s">
        <v>1767</v>
      </c>
      <c r="AM18" s="807"/>
      <c r="AN18" s="807"/>
      <c r="AO18" s="807"/>
      <c r="AP18" s="807"/>
      <c r="AQ18" s="807"/>
      <c r="AR18" s="135"/>
    </row>
    <row r="19" spans="2:44" ht="15.95" customHeight="1" thickBot="1" x14ac:dyDescent="0.3">
      <c r="B19" s="135"/>
      <c r="C19" s="843" t="str">
        <f>IF(M02S04F01="","",INDEX(PAYMENT[Address],MATCH(M02S04F01,PAYMENT[Payment to],0)))</f>
        <v/>
      </c>
      <c r="D19" s="844"/>
      <c r="E19" s="844"/>
      <c r="F19" s="844"/>
      <c r="G19" s="844"/>
      <c r="H19" s="845"/>
      <c r="I19" s="470"/>
      <c r="J19" s="843" t="str">
        <f>IF(M02S04F01="","",INDEX(PAYMENT[City],MATCH(M02S04F01,PAYMENT[Payment to],0)))</f>
        <v/>
      </c>
      <c r="K19" s="844"/>
      <c r="L19" s="844"/>
      <c r="M19" s="844"/>
      <c r="N19" s="844"/>
      <c r="O19" s="845"/>
      <c r="P19" s="470"/>
      <c r="Q19" s="843" t="str">
        <f>IF(M02S04F01="","",INDEX(PAYMENT[State],MATCH(M02S04F01,PAYMENT[Payment to],0)))</f>
        <v/>
      </c>
      <c r="R19" s="844"/>
      <c r="S19" s="844"/>
      <c r="T19" s="844"/>
      <c r="U19" s="844"/>
      <c r="V19" s="845"/>
      <c r="W19" s="470"/>
      <c r="X19" s="875" t="str">
        <f>IF(M02S04F01="","",INDEX(PAYMENT[Zip],MATCH(M02S04F01,PAYMENT[Payment to],0)))</f>
        <v/>
      </c>
      <c r="Y19" s="876"/>
      <c r="Z19" s="876"/>
      <c r="AA19" s="876"/>
      <c r="AB19" s="876"/>
      <c r="AC19" s="877"/>
      <c r="AD19" s="470"/>
      <c r="AE19" s="825"/>
      <c r="AF19" s="810"/>
      <c r="AG19" s="810"/>
      <c r="AH19" s="810"/>
      <c r="AI19" s="810"/>
      <c r="AJ19" s="811"/>
      <c r="AK19" s="470"/>
      <c r="AL19" s="523"/>
      <c r="AM19" s="524" t="s">
        <v>1768</v>
      </c>
      <c r="AN19" s="827"/>
      <c r="AO19" s="827"/>
      <c r="AP19" s="827"/>
      <c r="AQ19" s="828"/>
      <c r="AR19" s="135"/>
    </row>
    <row r="20" spans="2:44" ht="15.95" customHeight="1" x14ac:dyDescent="0.25">
      <c r="B20" s="135"/>
      <c r="C20" s="470"/>
      <c r="D20" s="470"/>
      <c r="E20" s="470"/>
      <c r="F20" s="470"/>
      <c r="G20" s="470"/>
      <c r="H20" s="470"/>
      <c r="I20" s="470"/>
      <c r="J20" s="470"/>
      <c r="K20" s="470"/>
      <c r="L20" s="470"/>
      <c r="M20" s="470"/>
      <c r="N20" s="470"/>
      <c r="O20" s="470"/>
      <c r="P20" s="470"/>
      <c r="Q20" s="470"/>
      <c r="R20" s="470"/>
      <c r="S20" s="470"/>
      <c r="T20" s="470"/>
      <c r="U20" s="470"/>
      <c r="V20" s="470"/>
      <c r="W20" s="470"/>
      <c r="X20" s="470"/>
      <c r="Y20" s="470"/>
      <c r="Z20" s="470"/>
      <c r="AA20" s="470"/>
      <c r="AB20" s="470"/>
      <c r="AC20" s="470"/>
      <c r="AD20" s="470"/>
      <c r="AE20" s="470"/>
      <c r="AF20" s="470"/>
      <c r="AG20" s="470"/>
      <c r="AH20" s="470"/>
      <c r="AI20" s="470"/>
      <c r="AJ20" s="470"/>
      <c r="AK20" s="470"/>
      <c r="AL20" s="470"/>
      <c r="AM20" s="470"/>
      <c r="AN20" s="470"/>
      <c r="AO20" s="470"/>
      <c r="AP20" s="470"/>
      <c r="AQ20" s="470"/>
      <c r="AR20" s="135"/>
    </row>
    <row r="21" spans="2:44" ht="15.95" customHeight="1" x14ac:dyDescent="0.25">
      <c r="B21" s="135"/>
      <c r="C21" s="470"/>
      <c r="D21" s="470"/>
      <c r="E21" s="470"/>
      <c r="F21" s="470"/>
      <c r="G21" s="470"/>
      <c r="H21" s="470"/>
      <c r="I21" s="470"/>
      <c r="J21" s="470"/>
      <c r="K21" s="470"/>
      <c r="L21" s="470"/>
      <c r="M21" s="470"/>
      <c r="N21" s="470"/>
      <c r="O21" s="470"/>
      <c r="P21" s="470"/>
      <c r="Q21" s="470"/>
      <c r="R21" s="470"/>
      <c r="S21" s="470"/>
      <c r="T21" s="470"/>
      <c r="U21" s="470"/>
      <c r="V21" s="470"/>
      <c r="W21" s="470"/>
      <c r="X21" s="470"/>
      <c r="Y21" s="470"/>
      <c r="Z21" s="470"/>
      <c r="AA21" s="470"/>
      <c r="AB21" s="470"/>
      <c r="AC21" s="470"/>
      <c r="AD21" s="470"/>
      <c r="AE21" s="470"/>
      <c r="AF21" s="470"/>
      <c r="AG21" s="470"/>
      <c r="AH21" s="470"/>
      <c r="AI21" s="470"/>
      <c r="AJ21" s="470"/>
      <c r="AK21" s="470"/>
      <c r="AL21" s="470"/>
      <c r="AM21" s="470"/>
      <c r="AN21" s="470"/>
      <c r="AO21" s="470"/>
      <c r="AP21" s="470"/>
      <c r="AQ21" s="470"/>
      <c r="AR21" s="135"/>
    </row>
    <row r="22" spans="2:44" ht="15.95" customHeight="1" x14ac:dyDescent="0.3">
      <c r="B22" s="135"/>
      <c r="C22" s="63"/>
      <c r="D22" s="63"/>
      <c r="E22" s="63"/>
      <c r="F22" s="732" t="s">
        <v>1769</v>
      </c>
      <c r="G22" s="732"/>
      <c r="H22" s="732"/>
      <c r="I22" s="732"/>
      <c r="J22" s="732"/>
      <c r="K22" s="732"/>
      <c r="L22" s="732"/>
      <c r="M22" s="732"/>
      <c r="N22" s="732"/>
      <c r="O22" s="732"/>
      <c r="P22" s="732"/>
      <c r="Q22" s="732"/>
      <c r="R22" s="732"/>
      <c r="S22" s="732"/>
      <c r="T22" s="732"/>
      <c r="U22" s="732"/>
      <c r="V22" s="732"/>
      <c r="W22" s="732"/>
      <c r="X22" s="732"/>
      <c r="Y22" s="732"/>
      <c r="Z22" s="732"/>
      <c r="AA22" s="732"/>
      <c r="AB22" s="732"/>
      <c r="AC22" s="732"/>
      <c r="AD22" s="732"/>
      <c r="AE22" s="732"/>
      <c r="AF22" s="732"/>
      <c r="AG22" s="732"/>
      <c r="AH22" s="732"/>
      <c r="AI22" s="732"/>
      <c r="AJ22" s="732"/>
      <c r="AK22" s="732"/>
      <c r="AL22" s="732"/>
      <c r="AM22" s="732"/>
      <c r="AN22" s="732"/>
      <c r="AO22" s="63"/>
      <c r="AP22" s="63"/>
      <c r="AQ22" s="63"/>
      <c r="AR22" s="135"/>
    </row>
    <row r="23" spans="2:44" ht="15.95" customHeight="1" x14ac:dyDescent="0.25">
      <c r="B23" s="135"/>
      <c r="C23" s="63"/>
      <c r="D23" s="63"/>
      <c r="E23" s="63"/>
      <c r="F23" s="1415" t="s">
        <v>1770</v>
      </c>
      <c r="G23" s="1415"/>
      <c r="H23" s="1415"/>
      <c r="I23" s="1415"/>
      <c r="J23" s="1415"/>
      <c r="K23" s="1415"/>
      <c r="L23" s="1415"/>
      <c r="M23" s="1415"/>
      <c r="N23" s="1415"/>
      <c r="O23" s="1415"/>
      <c r="P23" s="1415"/>
      <c r="Q23" s="1415"/>
      <c r="R23" s="1415"/>
      <c r="S23" s="1415"/>
      <c r="T23" s="1415"/>
      <c r="U23" s="1415"/>
      <c r="V23" s="1415"/>
      <c r="W23" s="1415"/>
      <c r="X23" s="1415"/>
      <c r="Y23" s="1415"/>
      <c r="Z23" s="1415"/>
      <c r="AA23" s="1415"/>
      <c r="AB23" s="1415"/>
      <c r="AC23" s="1415"/>
      <c r="AD23" s="1415"/>
      <c r="AE23" s="1415"/>
      <c r="AF23" s="1415"/>
      <c r="AG23" s="1415"/>
      <c r="AH23" s="1415"/>
      <c r="AI23" s="1415"/>
      <c r="AJ23" s="1415"/>
      <c r="AK23" s="1415"/>
      <c r="AL23" s="1415"/>
      <c r="AM23" s="1415"/>
      <c r="AN23" s="1415"/>
      <c r="AO23" s="63"/>
      <c r="AP23" s="63"/>
      <c r="AQ23" s="63"/>
      <c r="AR23" s="135"/>
    </row>
    <row r="24" spans="2:44" ht="15.95" customHeight="1" thickBot="1" x14ac:dyDescent="0.3">
      <c r="B24" s="135"/>
      <c r="C24" s="63"/>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135"/>
    </row>
    <row r="25" spans="2:44" ht="15.95" customHeight="1" thickBot="1" x14ac:dyDescent="0.3">
      <c r="B25" s="135"/>
      <c r="C25" s="134" t="s">
        <v>1771</v>
      </c>
      <c r="D25" s="134"/>
      <c r="E25" s="134"/>
      <c r="F25" s="134"/>
      <c r="G25" s="134"/>
      <c r="H25" s="134"/>
      <c r="I25" s="470"/>
      <c r="J25" s="1416"/>
      <c r="K25" s="1417"/>
      <c r="L25" s="1417"/>
      <c r="M25" s="1417"/>
      <c r="N25" s="1417"/>
      <c r="O25" s="1418"/>
      <c r="P25" s="470"/>
      <c r="Q25" s="807"/>
      <c r="R25" s="807"/>
      <c r="S25" s="807"/>
      <c r="T25" s="807"/>
      <c r="U25" s="807"/>
      <c r="V25" s="807"/>
      <c r="W25" s="470"/>
      <c r="X25" s="807"/>
      <c r="Y25" s="807"/>
      <c r="Z25" s="807"/>
      <c r="AA25" s="807"/>
      <c r="AB25" s="807"/>
      <c r="AC25" s="807"/>
      <c r="AD25" s="470"/>
      <c r="AE25" s="807"/>
      <c r="AF25" s="807"/>
      <c r="AG25" s="807"/>
      <c r="AH25" s="807"/>
      <c r="AI25" s="807"/>
      <c r="AJ25" s="807"/>
      <c r="AK25" s="470"/>
      <c r="AL25" s="807"/>
      <c r="AM25" s="807"/>
      <c r="AN25" s="807"/>
      <c r="AO25" s="807"/>
      <c r="AP25" s="807"/>
      <c r="AQ25" s="807"/>
      <c r="AR25" s="135"/>
    </row>
    <row r="26" spans="2:44" ht="15.95" customHeight="1" x14ac:dyDescent="0.25">
      <c r="B26" s="135"/>
      <c r="C26" s="470"/>
      <c r="D26" s="470"/>
      <c r="E26" s="470"/>
      <c r="F26" s="470"/>
      <c r="G26" s="470"/>
      <c r="H26" s="470"/>
      <c r="I26" s="470"/>
      <c r="J26" s="470"/>
      <c r="K26" s="470"/>
      <c r="L26" s="470"/>
      <c r="M26" s="470"/>
      <c r="N26" s="470"/>
      <c r="O26" s="470"/>
      <c r="P26" s="470"/>
      <c r="Q26" s="470"/>
      <c r="R26" s="470"/>
      <c r="S26" s="470"/>
      <c r="T26" s="470"/>
      <c r="U26" s="470"/>
      <c r="V26" s="470"/>
      <c r="W26" s="470"/>
      <c r="X26" s="470"/>
      <c r="Y26" s="470"/>
      <c r="Z26" s="470"/>
      <c r="AA26" s="470"/>
      <c r="AB26" s="470"/>
      <c r="AC26" s="470"/>
      <c r="AD26" s="470"/>
      <c r="AE26" s="470"/>
      <c r="AF26" s="470"/>
      <c r="AG26" s="470"/>
      <c r="AH26" s="470"/>
      <c r="AI26" s="470"/>
      <c r="AJ26" s="470"/>
      <c r="AK26" s="470"/>
      <c r="AL26" s="470"/>
      <c r="AM26" s="470"/>
      <c r="AN26" s="470"/>
      <c r="AO26" s="470"/>
      <c r="AP26" s="470"/>
      <c r="AQ26" s="470"/>
      <c r="AR26" s="135"/>
    </row>
    <row r="27" spans="2:44" ht="15.95" customHeight="1" thickBot="1" x14ac:dyDescent="0.3">
      <c r="B27" s="135"/>
      <c r="C27" s="807" t="s">
        <v>1761</v>
      </c>
      <c r="D27" s="807"/>
      <c r="E27" s="807"/>
      <c r="F27" s="807"/>
      <c r="G27" s="807"/>
      <c r="H27" s="807"/>
      <c r="I27" s="470"/>
      <c r="J27" s="807" t="s">
        <v>1762</v>
      </c>
      <c r="K27" s="807"/>
      <c r="L27" s="807"/>
      <c r="M27" s="807"/>
      <c r="N27" s="807"/>
      <c r="O27" s="807"/>
      <c r="P27" s="470"/>
      <c r="Q27" s="807" t="s">
        <v>1763</v>
      </c>
      <c r="R27" s="807"/>
      <c r="S27" s="807"/>
      <c r="T27" s="807"/>
      <c r="U27" s="807"/>
      <c r="V27" s="807"/>
      <c r="W27" s="470"/>
      <c r="X27" s="807" t="s">
        <v>1764</v>
      </c>
      <c r="Y27" s="807"/>
      <c r="Z27" s="807"/>
      <c r="AA27" s="807"/>
      <c r="AB27" s="807"/>
      <c r="AC27" s="807"/>
      <c r="AD27" s="470"/>
      <c r="AE27" s="807" t="s">
        <v>918</v>
      </c>
      <c r="AF27" s="807"/>
      <c r="AG27" s="807"/>
      <c r="AH27" s="807"/>
      <c r="AI27" s="807"/>
      <c r="AJ27" s="807"/>
      <c r="AK27" s="470"/>
      <c r="AL27" s="1422"/>
      <c r="AM27" s="1422"/>
      <c r="AN27" s="1422"/>
      <c r="AO27" s="1422"/>
      <c r="AP27" s="1422"/>
      <c r="AQ27" s="1422"/>
      <c r="AR27" s="135"/>
    </row>
    <row r="28" spans="2:44" ht="15.95" customHeight="1" thickBot="1" x14ac:dyDescent="0.3">
      <c r="B28" s="135"/>
      <c r="C28" s="1410" t="str">
        <f>IF($J$25="Yes",C16,"")</f>
        <v/>
      </c>
      <c r="D28" s="1413"/>
      <c r="E28" s="1413"/>
      <c r="F28" s="1413"/>
      <c r="G28" s="1413"/>
      <c r="H28" s="1414"/>
      <c r="I28" s="470"/>
      <c r="J28" s="1410" t="str">
        <f>IF($J$25="Yes",J16,"")</f>
        <v/>
      </c>
      <c r="K28" s="1413"/>
      <c r="L28" s="1413"/>
      <c r="M28" s="1413"/>
      <c r="N28" s="1413"/>
      <c r="O28" s="1414"/>
      <c r="P28" s="470"/>
      <c r="Q28" s="1410" t="str">
        <f>IF($J$25="Yes",Q16,"")</f>
        <v/>
      </c>
      <c r="R28" s="1411"/>
      <c r="S28" s="1411"/>
      <c r="T28" s="1411"/>
      <c r="U28" s="1411"/>
      <c r="V28" s="1412"/>
      <c r="W28" s="470"/>
      <c r="X28" s="1410" t="str">
        <f>IF($J$25="Yes",X16,"")</f>
        <v/>
      </c>
      <c r="Y28" s="1411"/>
      <c r="Z28" s="1411"/>
      <c r="AA28" s="1411"/>
      <c r="AB28" s="1411"/>
      <c r="AC28" s="1412"/>
      <c r="AD28" s="470"/>
      <c r="AE28" s="1410" t="str">
        <f>IF($J$25="Yes",AE16,"")</f>
        <v/>
      </c>
      <c r="AF28" s="1411"/>
      <c r="AG28" s="1411"/>
      <c r="AH28" s="1411"/>
      <c r="AI28" s="1411"/>
      <c r="AJ28" s="1412"/>
      <c r="AK28" s="470"/>
      <c r="AL28" s="1423"/>
      <c r="AM28" s="1423"/>
      <c r="AN28" s="1423"/>
      <c r="AO28" s="1423"/>
      <c r="AP28" s="1423"/>
      <c r="AQ28" s="1423"/>
      <c r="AR28" s="135"/>
    </row>
    <row r="29" spans="2:44" ht="15.95" customHeight="1" x14ac:dyDescent="0.25">
      <c r="B29" s="135"/>
      <c r="C29" s="470"/>
      <c r="D29" s="470"/>
      <c r="E29" s="470"/>
      <c r="F29" s="470"/>
      <c r="G29" s="470"/>
      <c r="H29" s="470"/>
      <c r="I29" s="470"/>
      <c r="J29" s="470"/>
      <c r="K29" s="470"/>
      <c r="L29" s="470"/>
      <c r="M29" s="470"/>
      <c r="N29" s="470"/>
      <c r="O29" s="470"/>
      <c r="P29" s="470"/>
      <c r="Q29" s="470"/>
      <c r="R29" s="470"/>
      <c r="S29" s="470"/>
      <c r="T29" s="470"/>
      <c r="U29" s="470"/>
      <c r="V29" s="470"/>
      <c r="W29" s="470"/>
      <c r="X29" s="470"/>
      <c r="Y29" s="470"/>
      <c r="Z29" s="470"/>
      <c r="AA29" s="470"/>
      <c r="AB29" s="470"/>
      <c r="AC29" s="470"/>
      <c r="AD29" s="470"/>
      <c r="AE29" s="470"/>
      <c r="AF29" s="470"/>
      <c r="AG29" s="470"/>
      <c r="AH29" s="470"/>
      <c r="AI29" s="470"/>
      <c r="AJ29" s="470"/>
      <c r="AK29" s="470"/>
      <c r="AL29" s="470"/>
      <c r="AM29" s="470"/>
      <c r="AN29" s="470"/>
      <c r="AO29" s="470"/>
      <c r="AP29" s="470"/>
      <c r="AQ29" s="470"/>
      <c r="AR29" s="135"/>
    </row>
    <row r="30" spans="2:44" ht="15.95" customHeight="1" thickBot="1" x14ac:dyDescent="0.3">
      <c r="B30" s="135"/>
      <c r="C30" s="807" t="s">
        <v>937</v>
      </c>
      <c r="D30" s="807"/>
      <c r="E30" s="807"/>
      <c r="F30" s="807"/>
      <c r="G30" s="807"/>
      <c r="H30" s="807"/>
      <c r="I30" s="470"/>
      <c r="J30" s="836" t="s">
        <v>920</v>
      </c>
      <c r="K30" s="836"/>
      <c r="L30" s="836"/>
      <c r="M30" s="836"/>
      <c r="N30" s="836"/>
      <c r="O30" s="836"/>
      <c r="P30" s="470"/>
      <c r="Q30" s="836" t="s">
        <v>921</v>
      </c>
      <c r="R30" s="836"/>
      <c r="S30" s="836"/>
      <c r="T30" s="836"/>
      <c r="U30" s="836"/>
      <c r="V30" s="836"/>
      <c r="W30" s="470"/>
      <c r="X30" s="807" t="s">
        <v>922</v>
      </c>
      <c r="Y30" s="807"/>
      <c r="Z30" s="807"/>
      <c r="AA30" s="807"/>
      <c r="AB30" s="807"/>
      <c r="AC30" s="807"/>
      <c r="AD30" s="470"/>
      <c r="AE30" s="807" t="s">
        <v>1766</v>
      </c>
      <c r="AF30" s="807"/>
      <c r="AG30" s="807"/>
      <c r="AH30" s="807"/>
      <c r="AI30" s="807"/>
      <c r="AJ30" s="807"/>
      <c r="AK30" s="470"/>
      <c r="AL30" s="807" t="s">
        <v>1767</v>
      </c>
      <c r="AM30" s="807"/>
      <c r="AN30" s="807"/>
      <c r="AO30" s="807"/>
      <c r="AP30" s="807"/>
      <c r="AQ30" s="807"/>
      <c r="AR30" s="135"/>
    </row>
    <row r="31" spans="2:44" ht="15.95" customHeight="1" thickBot="1" x14ac:dyDescent="0.3">
      <c r="B31" s="135"/>
      <c r="C31" s="1410" t="str">
        <f>IF($J$25="Yes",C19,"")</f>
        <v/>
      </c>
      <c r="D31" s="1411"/>
      <c r="E31" s="1411"/>
      <c r="F31" s="1411"/>
      <c r="G31" s="1411"/>
      <c r="H31" s="1412"/>
      <c r="I31" s="470"/>
      <c r="J31" s="1410" t="str">
        <f>IF($J$25="Yes",J19,"")</f>
        <v/>
      </c>
      <c r="K31" s="1411"/>
      <c r="L31" s="1411"/>
      <c r="M31" s="1411"/>
      <c r="N31" s="1411"/>
      <c r="O31" s="1412"/>
      <c r="P31" s="470"/>
      <c r="Q31" s="1410" t="str">
        <f>IF($J$25="Yes",Q19,"")</f>
        <v/>
      </c>
      <c r="R31" s="1411"/>
      <c r="S31" s="1411"/>
      <c r="T31" s="1411"/>
      <c r="U31" s="1411"/>
      <c r="V31" s="1412"/>
      <c r="W31" s="470"/>
      <c r="X31" s="1410" t="str">
        <f>IF($J$25="Yes",X19,"")</f>
        <v/>
      </c>
      <c r="Y31" s="1411"/>
      <c r="Z31" s="1411"/>
      <c r="AA31" s="1411"/>
      <c r="AB31" s="1411"/>
      <c r="AC31" s="1412"/>
      <c r="AD31" s="470"/>
      <c r="AE31" s="1410" t="str">
        <f>IF($J$25="Yes",AE19,"")</f>
        <v/>
      </c>
      <c r="AF31" s="1411"/>
      <c r="AG31" s="1411"/>
      <c r="AH31" s="1411"/>
      <c r="AI31" s="1411"/>
      <c r="AJ31" s="1412"/>
      <c r="AK31" s="470"/>
      <c r="AL31" s="690" t="str">
        <f>IF($J$25="Yes",AL19,"")</f>
        <v/>
      </c>
      <c r="AM31" s="524"/>
      <c r="AN31" s="1424" t="str">
        <f>IF($J$25="Yes",AN19,"")</f>
        <v/>
      </c>
      <c r="AO31" s="1425"/>
      <c r="AP31" s="1425"/>
      <c r="AQ31" s="1426"/>
      <c r="AR31" s="135"/>
    </row>
    <row r="32" spans="2:44" ht="15.95" customHeight="1" x14ac:dyDescent="0.25">
      <c r="B32" s="135"/>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135"/>
    </row>
    <row r="33" spans="2:44" ht="15.95" customHeight="1" x14ac:dyDescent="0.25">
      <c r="B33" s="135"/>
      <c r="C33" s="146"/>
      <c r="D33" s="525"/>
      <c r="E33" s="525"/>
      <c r="F33" s="525"/>
      <c r="G33" s="525"/>
      <c r="H33" s="525"/>
      <c r="I33" s="525"/>
      <c r="J33" s="525"/>
      <c r="K33" s="525"/>
      <c r="L33" s="525"/>
      <c r="M33" s="525"/>
      <c r="N33" s="525"/>
      <c r="O33" s="525"/>
      <c r="P33" s="525"/>
      <c r="Q33" s="525"/>
      <c r="R33" s="525"/>
      <c r="S33" s="525"/>
      <c r="T33" s="525"/>
      <c r="U33" s="525"/>
      <c r="V33" s="525"/>
      <c r="W33" s="525"/>
      <c r="X33" s="525"/>
      <c r="Y33" s="525"/>
      <c r="Z33" s="525"/>
      <c r="AA33" s="525"/>
      <c r="AB33" s="525"/>
      <c r="AC33" s="525"/>
      <c r="AD33" s="525"/>
      <c r="AE33" s="525"/>
      <c r="AF33" s="525"/>
      <c r="AG33" s="525"/>
      <c r="AH33" s="525"/>
      <c r="AI33" s="525"/>
      <c r="AJ33" s="525"/>
      <c r="AK33" s="525"/>
      <c r="AL33" s="525"/>
      <c r="AM33" s="525"/>
      <c r="AN33" s="525"/>
      <c r="AO33" s="525"/>
      <c r="AP33" s="525"/>
      <c r="AQ33" s="525"/>
      <c r="AR33" s="135"/>
    </row>
    <row r="34" spans="2:44" ht="15.95" customHeight="1" x14ac:dyDescent="0.25">
      <c r="B34" s="135"/>
      <c r="C34" s="134" t="s">
        <v>1772</v>
      </c>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5"/>
    </row>
    <row r="35" spans="2:44" ht="15.95" customHeight="1" x14ac:dyDescent="0.25">
      <c r="B35" s="135"/>
      <c r="C35" s="1427" t="str">
        <f>IF(M02S04F01="","",INDEX(PAYMENT[Terms],MATCH(M02S04F01,PAYMENT[Payment to],0)))</f>
        <v/>
      </c>
      <c r="D35" s="1428"/>
      <c r="E35" s="1428"/>
      <c r="F35" s="1428"/>
      <c r="G35" s="1428"/>
      <c r="H35" s="1428"/>
      <c r="I35" s="1428"/>
      <c r="J35" s="1428"/>
      <c r="K35" s="1428"/>
      <c r="L35" s="1428"/>
      <c r="M35" s="1428"/>
      <c r="N35" s="1428"/>
      <c r="O35" s="1428"/>
      <c r="P35" s="1428"/>
      <c r="Q35" s="1428"/>
      <c r="R35" s="1428"/>
      <c r="S35" s="1428"/>
      <c r="T35" s="1428"/>
      <c r="U35" s="1428"/>
      <c r="V35" s="1428"/>
      <c r="W35" s="1428"/>
      <c r="X35" s="1428"/>
      <c r="Y35" s="1428"/>
      <c r="Z35" s="1428"/>
      <c r="AA35" s="1428"/>
      <c r="AB35" s="1428"/>
      <c r="AC35" s="1428"/>
      <c r="AD35" s="1428"/>
      <c r="AE35" s="1428"/>
      <c r="AF35" s="1428"/>
      <c r="AG35" s="1428"/>
      <c r="AH35" s="1428"/>
      <c r="AI35" s="1428"/>
      <c r="AJ35" s="1428"/>
      <c r="AK35" s="1428"/>
      <c r="AL35" s="1428"/>
      <c r="AM35" s="1428"/>
      <c r="AN35" s="1428"/>
      <c r="AO35" s="1428"/>
      <c r="AP35" s="1428"/>
      <c r="AQ35" s="1429"/>
      <c r="AR35" s="135"/>
    </row>
    <row r="36" spans="2:44" s="63" customFormat="1" ht="15.95" customHeight="1" x14ac:dyDescent="0.25">
      <c r="B36" s="135"/>
      <c r="C36" s="1430"/>
      <c r="D36" s="1431"/>
      <c r="E36" s="1431"/>
      <c r="F36" s="1431"/>
      <c r="G36" s="1431"/>
      <c r="H36" s="1431"/>
      <c r="I36" s="1431"/>
      <c r="J36" s="1431"/>
      <c r="K36" s="1431"/>
      <c r="L36" s="1431"/>
      <c r="M36" s="1431"/>
      <c r="N36" s="1431"/>
      <c r="O36" s="1431"/>
      <c r="P36" s="1431"/>
      <c r="Q36" s="1431"/>
      <c r="R36" s="1431"/>
      <c r="S36" s="1431"/>
      <c r="T36" s="1431"/>
      <c r="U36" s="1431"/>
      <c r="V36" s="1431"/>
      <c r="W36" s="1431"/>
      <c r="X36" s="1431"/>
      <c r="Y36" s="1431"/>
      <c r="Z36" s="1431"/>
      <c r="AA36" s="1431"/>
      <c r="AB36" s="1431"/>
      <c r="AC36" s="1431"/>
      <c r="AD36" s="1431"/>
      <c r="AE36" s="1431"/>
      <c r="AF36" s="1431"/>
      <c r="AG36" s="1431"/>
      <c r="AH36" s="1431"/>
      <c r="AI36" s="1431"/>
      <c r="AJ36" s="1431"/>
      <c r="AK36" s="1431"/>
      <c r="AL36" s="1431"/>
      <c r="AM36" s="1431"/>
      <c r="AN36" s="1431"/>
      <c r="AO36" s="1431"/>
      <c r="AP36" s="1431"/>
      <c r="AQ36" s="1432"/>
      <c r="AR36" s="135"/>
    </row>
    <row r="37" spans="2:44" s="63" customFormat="1" ht="15.95" customHeight="1" x14ac:dyDescent="0.25">
      <c r="B37" s="135"/>
      <c r="C37" s="1430"/>
      <c r="D37" s="1431"/>
      <c r="E37" s="1431"/>
      <c r="F37" s="1431"/>
      <c r="G37" s="1431"/>
      <c r="H37" s="1431"/>
      <c r="I37" s="1431"/>
      <c r="J37" s="1431"/>
      <c r="K37" s="1431"/>
      <c r="L37" s="1431"/>
      <c r="M37" s="1431"/>
      <c r="N37" s="1431"/>
      <c r="O37" s="1431"/>
      <c r="P37" s="1431"/>
      <c r="Q37" s="1431"/>
      <c r="R37" s="1431"/>
      <c r="S37" s="1431"/>
      <c r="T37" s="1431"/>
      <c r="U37" s="1431"/>
      <c r="V37" s="1431"/>
      <c r="W37" s="1431"/>
      <c r="X37" s="1431"/>
      <c r="Y37" s="1431"/>
      <c r="Z37" s="1431"/>
      <c r="AA37" s="1431"/>
      <c r="AB37" s="1431"/>
      <c r="AC37" s="1431"/>
      <c r="AD37" s="1431"/>
      <c r="AE37" s="1431"/>
      <c r="AF37" s="1431"/>
      <c r="AG37" s="1431"/>
      <c r="AH37" s="1431"/>
      <c r="AI37" s="1431"/>
      <c r="AJ37" s="1431"/>
      <c r="AK37" s="1431"/>
      <c r="AL37" s="1431"/>
      <c r="AM37" s="1431"/>
      <c r="AN37" s="1431"/>
      <c r="AO37" s="1431"/>
      <c r="AP37" s="1431"/>
      <c r="AQ37" s="1432"/>
      <c r="AR37" s="135"/>
    </row>
    <row r="38" spans="2:44" s="63" customFormat="1" ht="15.95" customHeight="1" x14ac:dyDescent="0.25">
      <c r="B38" s="135"/>
      <c r="C38" s="1430"/>
      <c r="D38" s="1431"/>
      <c r="E38" s="1431"/>
      <c r="F38" s="1431"/>
      <c r="G38" s="1431"/>
      <c r="H38" s="1431"/>
      <c r="I38" s="1431"/>
      <c r="J38" s="1431"/>
      <c r="K38" s="1431"/>
      <c r="L38" s="1431"/>
      <c r="M38" s="1431"/>
      <c r="N38" s="1431"/>
      <c r="O38" s="1431"/>
      <c r="P38" s="1431"/>
      <c r="Q38" s="1431"/>
      <c r="R38" s="1431"/>
      <c r="S38" s="1431"/>
      <c r="T38" s="1431"/>
      <c r="U38" s="1431"/>
      <c r="V38" s="1431"/>
      <c r="W38" s="1431"/>
      <c r="X38" s="1431"/>
      <c r="Y38" s="1431"/>
      <c r="Z38" s="1431"/>
      <c r="AA38" s="1431"/>
      <c r="AB38" s="1431"/>
      <c r="AC38" s="1431"/>
      <c r="AD38" s="1431"/>
      <c r="AE38" s="1431"/>
      <c r="AF38" s="1431"/>
      <c r="AG38" s="1431"/>
      <c r="AH38" s="1431"/>
      <c r="AI38" s="1431"/>
      <c r="AJ38" s="1431"/>
      <c r="AK38" s="1431"/>
      <c r="AL38" s="1431"/>
      <c r="AM38" s="1431"/>
      <c r="AN38" s="1431"/>
      <c r="AO38" s="1431"/>
      <c r="AP38" s="1431"/>
      <c r="AQ38" s="1432"/>
      <c r="AR38" s="135"/>
    </row>
    <row r="39" spans="2:44" s="63" customFormat="1" ht="15.95" customHeight="1" x14ac:dyDescent="0.25">
      <c r="C39" s="1430"/>
      <c r="D39" s="1431"/>
      <c r="E39" s="1431"/>
      <c r="F39" s="1431"/>
      <c r="G39" s="1431"/>
      <c r="H39" s="1431"/>
      <c r="I39" s="1431"/>
      <c r="J39" s="1431"/>
      <c r="K39" s="1431"/>
      <c r="L39" s="1431"/>
      <c r="M39" s="1431"/>
      <c r="N39" s="1431"/>
      <c r="O39" s="1431"/>
      <c r="P39" s="1431"/>
      <c r="Q39" s="1431"/>
      <c r="R39" s="1431"/>
      <c r="S39" s="1431"/>
      <c r="T39" s="1431"/>
      <c r="U39" s="1431"/>
      <c r="V39" s="1431"/>
      <c r="W39" s="1431"/>
      <c r="X39" s="1431"/>
      <c r="Y39" s="1431"/>
      <c r="Z39" s="1431"/>
      <c r="AA39" s="1431"/>
      <c r="AB39" s="1431"/>
      <c r="AC39" s="1431"/>
      <c r="AD39" s="1431"/>
      <c r="AE39" s="1431"/>
      <c r="AF39" s="1431"/>
      <c r="AG39" s="1431"/>
      <c r="AH39" s="1431"/>
      <c r="AI39" s="1431"/>
      <c r="AJ39" s="1431"/>
      <c r="AK39" s="1431"/>
      <c r="AL39" s="1431"/>
      <c r="AM39" s="1431"/>
      <c r="AN39" s="1431"/>
      <c r="AO39" s="1431"/>
      <c r="AP39" s="1431"/>
      <c r="AQ39" s="1432"/>
    </row>
    <row r="40" spans="2:44" s="63" customFormat="1" ht="15.95" customHeight="1" x14ac:dyDescent="0.25">
      <c r="C40" s="1430"/>
      <c r="D40" s="1431"/>
      <c r="E40" s="1431"/>
      <c r="F40" s="1431"/>
      <c r="G40" s="1431"/>
      <c r="H40" s="1431"/>
      <c r="I40" s="1431"/>
      <c r="J40" s="1431"/>
      <c r="K40" s="1431"/>
      <c r="L40" s="1431"/>
      <c r="M40" s="1431"/>
      <c r="N40" s="1431"/>
      <c r="O40" s="1431"/>
      <c r="P40" s="1431"/>
      <c r="Q40" s="1431"/>
      <c r="R40" s="1431"/>
      <c r="S40" s="1431"/>
      <c r="T40" s="1431"/>
      <c r="U40" s="1431"/>
      <c r="V40" s="1431"/>
      <c r="W40" s="1431"/>
      <c r="X40" s="1431"/>
      <c r="Y40" s="1431"/>
      <c r="Z40" s="1431"/>
      <c r="AA40" s="1431"/>
      <c r="AB40" s="1431"/>
      <c r="AC40" s="1431"/>
      <c r="AD40" s="1431"/>
      <c r="AE40" s="1431"/>
      <c r="AF40" s="1431"/>
      <c r="AG40" s="1431"/>
      <c r="AH40" s="1431"/>
      <c r="AI40" s="1431"/>
      <c r="AJ40" s="1431"/>
      <c r="AK40" s="1431"/>
      <c r="AL40" s="1431"/>
      <c r="AM40" s="1431"/>
      <c r="AN40" s="1431"/>
      <c r="AO40" s="1431"/>
      <c r="AP40" s="1431"/>
      <c r="AQ40" s="1432"/>
    </row>
    <row r="41" spans="2:44" s="63" customFormat="1" ht="15.95" customHeight="1" x14ac:dyDescent="0.25">
      <c r="C41" s="1430"/>
      <c r="D41" s="1431"/>
      <c r="E41" s="1431"/>
      <c r="F41" s="1431"/>
      <c r="G41" s="1431"/>
      <c r="H41" s="1431"/>
      <c r="I41" s="1431"/>
      <c r="J41" s="1431"/>
      <c r="K41" s="1431"/>
      <c r="L41" s="1431"/>
      <c r="M41" s="1431"/>
      <c r="N41" s="1431"/>
      <c r="O41" s="1431"/>
      <c r="P41" s="1431"/>
      <c r="Q41" s="1431"/>
      <c r="R41" s="1431"/>
      <c r="S41" s="1431"/>
      <c r="T41" s="1431"/>
      <c r="U41" s="1431"/>
      <c r="V41" s="1431"/>
      <c r="W41" s="1431"/>
      <c r="X41" s="1431"/>
      <c r="Y41" s="1431"/>
      <c r="Z41" s="1431"/>
      <c r="AA41" s="1431"/>
      <c r="AB41" s="1431"/>
      <c r="AC41" s="1431"/>
      <c r="AD41" s="1431"/>
      <c r="AE41" s="1431"/>
      <c r="AF41" s="1431"/>
      <c r="AG41" s="1431"/>
      <c r="AH41" s="1431"/>
      <c r="AI41" s="1431"/>
      <c r="AJ41" s="1431"/>
      <c r="AK41" s="1431"/>
      <c r="AL41" s="1431"/>
      <c r="AM41" s="1431"/>
      <c r="AN41" s="1431"/>
      <c r="AO41" s="1431"/>
      <c r="AP41" s="1431"/>
      <c r="AQ41" s="1432"/>
    </row>
    <row r="42" spans="2:44" s="63" customFormat="1" ht="15.95" customHeight="1" x14ac:dyDescent="0.25">
      <c r="C42" s="1433"/>
      <c r="D42" s="1434"/>
      <c r="E42" s="1434"/>
      <c r="F42" s="1434"/>
      <c r="G42" s="1434"/>
      <c r="H42" s="1434"/>
      <c r="I42" s="1434"/>
      <c r="J42" s="1434"/>
      <c r="K42" s="1434"/>
      <c r="L42" s="1434"/>
      <c r="M42" s="1434"/>
      <c r="N42" s="1434"/>
      <c r="O42" s="1434"/>
      <c r="P42" s="1434"/>
      <c r="Q42" s="1434"/>
      <c r="R42" s="1434"/>
      <c r="S42" s="1434"/>
      <c r="T42" s="1434"/>
      <c r="U42" s="1434"/>
      <c r="V42" s="1434"/>
      <c r="W42" s="1434"/>
      <c r="X42" s="1434"/>
      <c r="Y42" s="1434"/>
      <c r="Z42" s="1434"/>
      <c r="AA42" s="1434"/>
      <c r="AB42" s="1434"/>
      <c r="AC42" s="1434"/>
      <c r="AD42" s="1434"/>
      <c r="AE42" s="1434"/>
      <c r="AF42" s="1434"/>
      <c r="AG42" s="1434"/>
      <c r="AH42" s="1434"/>
      <c r="AI42" s="1434"/>
      <c r="AJ42" s="1434"/>
      <c r="AK42" s="1434"/>
      <c r="AL42" s="1434"/>
      <c r="AM42" s="1434"/>
      <c r="AN42" s="1434"/>
      <c r="AO42" s="1434"/>
      <c r="AP42" s="1434"/>
      <c r="AQ42" s="1435"/>
    </row>
    <row r="43" spans="2:44" s="63" customFormat="1" ht="15.95" customHeight="1" x14ac:dyDescent="0.25">
      <c r="C43" s="135"/>
      <c r="D43" s="135"/>
      <c r="E43" s="135"/>
      <c r="F43" s="135"/>
      <c r="G43" s="135"/>
      <c r="H43" s="135"/>
      <c r="I43" s="135"/>
      <c r="J43" s="135"/>
      <c r="K43" s="135"/>
      <c r="L43" s="135"/>
      <c r="M43" s="135"/>
      <c r="N43" s="135"/>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c r="AO43" s="135"/>
      <c r="AP43" s="135"/>
      <c r="AQ43" s="135"/>
    </row>
    <row r="44" spans="2:44" s="63" customFormat="1" ht="15.95" customHeight="1" x14ac:dyDescent="0.25">
      <c r="C44" s="135"/>
      <c r="D44" s="1436" t="s">
        <v>1773</v>
      </c>
      <c r="E44" s="1436"/>
      <c r="F44" s="1436"/>
      <c r="G44" s="1436"/>
      <c r="H44" s="1436"/>
      <c r="I44" s="1436"/>
      <c r="J44" s="1436"/>
      <c r="K44" s="1436"/>
      <c r="L44" s="1436"/>
      <c r="M44" s="1436"/>
      <c r="N44" s="1436"/>
      <c r="O44" s="1436"/>
      <c r="P44" s="1436"/>
      <c r="Q44" s="1436"/>
      <c r="R44" s="1436"/>
      <c r="S44" s="1436"/>
      <c r="T44" s="1436"/>
      <c r="U44" s="1436"/>
      <c r="V44" s="1436"/>
      <c r="W44" s="1436"/>
      <c r="X44" s="1436"/>
      <c r="Y44" s="1436"/>
      <c r="Z44" s="1436"/>
      <c r="AA44" s="1436"/>
      <c r="AB44" s="1436"/>
      <c r="AC44" s="1436"/>
      <c r="AD44" s="1436"/>
      <c r="AE44" s="1436"/>
      <c r="AF44" s="1436"/>
      <c r="AG44" s="1436"/>
      <c r="AH44" s="1436"/>
      <c r="AI44" s="1436"/>
      <c r="AJ44" s="1436"/>
      <c r="AK44" s="1436"/>
      <c r="AL44" s="1436"/>
      <c r="AM44" s="1436"/>
      <c r="AN44" s="1436"/>
      <c r="AO44" s="1436"/>
      <c r="AP44" s="1436"/>
      <c r="AQ44" s="1436"/>
    </row>
    <row r="45" spans="2:44" s="63" customFormat="1" ht="15.95" customHeight="1" x14ac:dyDescent="0.25">
      <c r="C45" s="146"/>
      <c r="D45" s="1436"/>
      <c r="E45" s="1436"/>
      <c r="F45" s="1436"/>
      <c r="G45" s="1436"/>
      <c r="H45" s="1436"/>
      <c r="I45" s="1436"/>
      <c r="J45" s="1436"/>
      <c r="K45" s="1436"/>
      <c r="L45" s="1436"/>
      <c r="M45" s="1436"/>
      <c r="N45" s="1436"/>
      <c r="O45" s="1436"/>
      <c r="P45" s="1436"/>
      <c r="Q45" s="1436"/>
      <c r="R45" s="1436"/>
      <c r="S45" s="1436"/>
      <c r="T45" s="1436"/>
      <c r="U45" s="1436"/>
      <c r="V45" s="1436"/>
      <c r="W45" s="1436"/>
      <c r="X45" s="1436"/>
      <c r="Y45" s="1436"/>
      <c r="Z45" s="1436"/>
      <c r="AA45" s="1436"/>
      <c r="AB45" s="1436"/>
      <c r="AC45" s="1436"/>
      <c r="AD45" s="1436"/>
      <c r="AE45" s="1436"/>
      <c r="AF45" s="1436"/>
      <c r="AG45" s="1436"/>
      <c r="AH45" s="1436"/>
      <c r="AI45" s="1436"/>
      <c r="AJ45" s="1436"/>
      <c r="AK45" s="1436"/>
      <c r="AL45" s="1436"/>
      <c r="AM45" s="1436"/>
      <c r="AN45" s="1436"/>
      <c r="AO45" s="1436"/>
      <c r="AP45" s="1436"/>
      <c r="AQ45" s="1436"/>
    </row>
    <row r="46" spans="2:44" s="63" customFormat="1" ht="15.95" customHeight="1" x14ac:dyDescent="0.25"/>
    <row r="47" spans="2:44" s="63" customFormat="1" ht="15.95" customHeight="1" x14ac:dyDescent="0.25"/>
    <row r="48" spans="2:44" s="63" customFormat="1" ht="15.95" customHeight="1" x14ac:dyDescent="0.25">
      <c r="C48" s="178" t="s">
        <v>1874</v>
      </c>
      <c r="D48" s="176"/>
      <c r="E48" s="176"/>
      <c r="F48" s="176"/>
      <c r="G48" s="176"/>
      <c r="H48" s="176"/>
      <c r="I48" s="176"/>
      <c r="J48" s="176"/>
      <c r="K48" s="176"/>
      <c r="L48" s="176"/>
      <c r="M48" s="176"/>
      <c r="N48" s="176"/>
      <c r="O48" s="177"/>
      <c r="P48" s="135"/>
      <c r="Q48" s="135"/>
      <c r="R48" s="178" t="s">
        <v>1875</v>
      </c>
      <c r="S48" s="176"/>
      <c r="T48" s="176"/>
      <c r="U48" s="176"/>
      <c r="V48" s="176"/>
      <c r="W48" s="176"/>
      <c r="X48" s="176"/>
      <c r="Y48" s="176"/>
      <c r="Z48" s="176"/>
      <c r="AA48" s="176"/>
      <c r="AB48" s="176"/>
      <c r="AC48" s="177"/>
    </row>
    <row r="49" spans="3:29" s="63" customFormat="1" ht="15.95" customHeight="1" x14ac:dyDescent="0.25">
      <c r="C49" s="172"/>
      <c r="D49" s="171"/>
      <c r="E49" s="171"/>
      <c r="F49" s="171"/>
      <c r="G49" s="171"/>
      <c r="H49" s="171"/>
      <c r="I49" s="171"/>
      <c r="J49" s="171"/>
      <c r="K49" s="171"/>
      <c r="L49" s="171"/>
      <c r="M49" s="171"/>
      <c r="N49" s="171"/>
      <c r="O49" s="173"/>
      <c r="P49" s="135"/>
      <c r="Q49" s="135"/>
      <c r="R49" s="172"/>
      <c r="S49" s="171"/>
      <c r="T49" s="171"/>
      <c r="U49" s="171"/>
      <c r="V49" s="171"/>
      <c r="W49" s="171"/>
      <c r="X49" s="171"/>
      <c r="Y49" s="171"/>
      <c r="Z49" s="171"/>
      <c r="AA49" s="171"/>
      <c r="AB49" s="171"/>
      <c r="AC49" s="173"/>
    </row>
    <row r="50" spans="3:29" s="63" customFormat="1" ht="15.95" customHeight="1" x14ac:dyDescent="0.25">
      <c r="C50" s="174" t="s">
        <v>482</v>
      </c>
      <c r="D50" s="171" t="s">
        <v>486</v>
      </c>
      <c r="E50" s="171"/>
      <c r="F50" s="171"/>
      <c r="G50" s="171"/>
      <c r="H50" s="171"/>
      <c r="I50" s="171"/>
      <c r="J50" s="171"/>
      <c r="K50" s="171"/>
      <c r="L50" s="171"/>
      <c r="M50" s="171"/>
      <c r="N50" s="171"/>
      <c r="O50" s="173"/>
      <c r="P50" s="135"/>
      <c r="Q50" s="135"/>
      <c r="R50" s="174" t="s">
        <v>482</v>
      </c>
      <c r="S50" s="909" t="s">
        <v>1300</v>
      </c>
      <c r="T50" s="909"/>
      <c r="U50" s="909"/>
      <c r="V50" s="909"/>
      <c r="W50" s="909"/>
      <c r="X50" s="909"/>
      <c r="Y50" s="909"/>
      <c r="Z50" s="909"/>
      <c r="AA50" s="909"/>
      <c r="AB50" s="909"/>
      <c r="AC50" s="910"/>
    </row>
    <row r="51" spans="3:29" s="63" customFormat="1" ht="15.95" customHeight="1" x14ac:dyDescent="0.25">
      <c r="C51" s="208"/>
      <c r="D51" s="60"/>
      <c r="E51" s="60"/>
      <c r="F51" s="60"/>
      <c r="G51" s="60"/>
      <c r="H51" s="60"/>
      <c r="I51" s="60"/>
      <c r="J51" s="60"/>
      <c r="K51" s="60"/>
      <c r="L51" s="171"/>
      <c r="M51" s="171"/>
      <c r="N51" s="171"/>
      <c r="O51" s="173"/>
      <c r="P51" s="135"/>
      <c r="Q51" s="135"/>
      <c r="R51" s="174"/>
      <c r="S51" s="909"/>
      <c r="T51" s="909"/>
      <c r="U51" s="909"/>
      <c r="V51" s="909"/>
      <c r="W51" s="909"/>
      <c r="X51" s="909"/>
      <c r="Y51" s="909"/>
      <c r="Z51" s="909"/>
      <c r="AA51" s="909"/>
      <c r="AB51" s="909"/>
      <c r="AC51" s="910"/>
    </row>
    <row r="52" spans="3:29" s="63" customFormat="1" ht="15.95" customHeight="1" x14ac:dyDescent="0.25">
      <c r="C52" s="174" t="s">
        <v>483</v>
      </c>
      <c r="D52" s="171" t="s">
        <v>487</v>
      </c>
      <c r="E52" s="171"/>
      <c r="F52" s="171"/>
      <c r="G52" s="171"/>
      <c r="H52" s="171"/>
      <c r="I52" s="171"/>
      <c r="J52" s="171"/>
      <c r="K52" s="171"/>
      <c r="L52" s="171"/>
      <c r="M52" s="171"/>
      <c r="N52" s="171"/>
      <c r="O52" s="173"/>
      <c r="P52" s="135"/>
      <c r="Q52" s="135"/>
      <c r="R52" s="172"/>
      <c r="S52" s="909"/>
      <c r="T52" s="909"/>
      <c r="U52" s="909"/>
      <c r="V52" s="909"/>
      <c r="W52" s="909"/>
      <c r="X52" s="909"/>
      <c r="Y52" s="909"/>
      <c r="Z52" s="909"/>
      <c r="AA52" s="909"/>
      <c r="AB52" s="909"/>
      <c r="AC52" s="910"/>
    </row>
    <row r="53" spans="3:29" s="63" customFormat="1" ht="15.95" customHeight="1" x14ac:dyDescent="0.25">
      <c r="C53" s="174"/>
      <c r="D53" s="171" t="s">
        <v>1310</v>
      </c>
      <c r="E53" s="60"/>
      <c r="F53" s="60"/>
      <c r="G53" s="171"/>
      <c r="H53" s="171"/>
      <c r="I53" s="171"/>
      <c r="J53" s="171"/>
      <c r="K53" s="171"/>
      <c r="L53" s="171"/>
      <c r="M53" s="171"/>
      <c r="N53" s="171"/>
      <c r="O53" s="173"/>
      <c r="P53" s="135"/>
      <c r="Q53" s="135"/>
      <c r="R53" s="174" t="s">
        <v>483</v>
      </c>
      <c r="S53" s="909" t="s">
        <v>1312</v>
      </c>
      <c r="T53" s="909"/>
      <c r="U53" s="909"/>
      <c r="V53" s="909"/>
      <c r="W53" s="909"/>
      <c r="X53" s="909"/>
      <c r="Y53" s="909"/>
      <c r="Z53" s="909"/>
      <c r="AA53" s="909"/>
      <c r="AB53" s="909"/>
      <c r="AC53" s="910"/>
    </row>
    <row r="54" spans="3:29" s="63" customFormat="1" ht="15.95" customHeight="1" x14ac:dyDescent="0.25">
      <c r="C54" s="174"/>
      <c r="D54" s="171" t="s">
        <v>982</v>
      </c>
      <c r="E54" s="60"/>
      <c r="F54" s="60"/>
      <c r="G54" s="171"/>
      <c r="H54" s="171"/>
      <c r="I54" s="171"/>
      <c r="J54" s="171"/>
      <c r="K54" s="171"/>
      <c r="L54" s="171"/>
      <c r="M54" s="171"/>
      <c r="N54" s="171"/>
      <c r="O54" s="173"/>
      <c r="P54" s="135"/>
      <c r="Q54" s="135"/>
      <c r="R54" s="172"/>
      <c r="S54" s="909"/>
      <c r="T54" s="909"/>
      <c r="U54" s="909"/>
      <c r="V54" s="909"/>
      <c r="W54" s="909"/>
      <c r="X54" s="909"/>
      <c r="Y54" s="909"/>
      <c r="Z54" s="909"/>
      <c r="AA54" s="909"/>
      <c r="AB54" s="909"/>
      <c r="AC54" s="910"/>
    </row>
    <row r="55" spans="3:29" s="63" customFormat="1" ht="15.95" customHeight="1" x14ac:dyDescent="0.25">
      <c r="C55" s="174"/>
      <c r="D55" s="171" t="s">
        <v>983</v>
      </c>
      <c r="E55" s="60"/>
      <c r="F55" s="60"/>
      <c r="G55" s="171"/>
      <c r="H55" s="171"/>
      <c r="I55" s="171"/>
      <c r="J55" s="171"/>
      <c r="K55" s="171"/>
      <c r="L55" s="171"/>
      <c r="M55" s="171"/>
      <c r="N55" s="171"/>
      <c r="O55" s="173"/>
      <c r="P55" s="135"/>
      <c r="Q55" s="135"/>
      <c r="R55" s="172"/>
      <c r="S55" s="909"/>
      <c r="T55" s="909"/>
      <c r="U55" s="909"/>
      <c r="V55" s="909"/>
      <c r="W55" s="909"/>
      <c r="X55" s="909"/>
      <c r="Y55" s="909"/>
      <c r="Z55" s="909"/>
      <c r="AA55" s="909"/>
      <c r="AB55" s="909"/>
      <c r="AC55" s="910"/>
    </row>
    <row r="56" spans="3:29" s="63" customFormat="1" ht="15.95" customHeight="1" x14ac:dyDescent="0.25">
      <c r="C56" s="208"/>
      <c r="D56" s="171" t="s">
        <v>984</v>
      </c>
      <c r="E56" s="171"/>
      <c r="F56" s="171"/>
      <c r="G56" s="60"/>
      <c r="H56" s="60"/>
      <c r="I56" s="60"/>
      <c r="J56" s="60"/>
      <c r="K56" s="60"/>
      <c r="L56" s="60"/>
      <c r="M56" s="60"/>
      <c r="N56" s="60"/>
      <c r="O56" s="209"/>
      <c r="P56" s="135"/>
      <c r="Q56" s="135"/>
      <c r="R56" s="172"/>
      <c r="S56" s="909"/>
      <c r="T56" s="909"/>
      <c r="U56" s="909"/>
      <c r="V56" s="909"/>
      <c r="W56" s="909"/>
      <c r="X56" s="909"/>
      <c r="Y56" s="909"/>
      <c r="Z56" s="909"/>
      <c r="AA56" s="909"/>
      <c r="AB56" s="909"/>
      <c r="AC56" s="910"/>
    </row>
    <row r="57" spans="3:29" s="63" customFormat="1" ht="15.95" customHeight="1" x14ac:dyDescent="0.25">
      <c r="C57" s="208"/>
      <c r="D57" s="171" t="s">
        <v>1311</v>
      </c>
      <c r="E57" s="171"/>
      <c r="F57" s="171"/>
      <c r="G57" s="60"/>
      <c r="H57" s="60"/>
      <c r="I57" s="60"/>
      <c r="J57" s="60"/>
      <c r="K57" s="60"/>
      <c r="L57" s="60"/>
      <c r="M57" s="60"/>
      <c r="N57" s="60"/>
      <c r="O57" s="209"/>
      <c r="P57" s="135"/>
      <c r="Q57" s="135"/>
      <c r="R57" s="172"/>
      <c r="S57" s="909"/>
      <c r="T57" s="909"/>
      <c r="U57" s="909"/>
      <c r="V57" s="909"/>
      <c r="W57" s="909"/>
      <c r="X57" s="909"/>
      <c r="Y57" s="909"/>
      <c r="Z57" s="909"/>
      <c r="AA57" s="909"/>
      <c r="AB57" s="909"/>
      <c r="AC57" s="910"/>
    </row>
    <row r="58" spans="3:29" s="63" customFormat="1" ht="15.95" customHeight="1" x14ac:dyDescent="0.25">
      <c r="C58" s="208"/>
      <c r="D58" s="171"/>
      <c r="E58" s="60"/>
      <c r="F58" s="60"/>
      <c r="G58" s="60"/>
      <c r="H58" s="60"/>
      <c r="I58" s="60"/>
      <c r="J58" s="60"/>
      <c r="K58" s="60"/>
      <c r="L58" s="60"/>
      <c r="M58" s="60"/>
      <c r="N58" s="60"/>
      <c r="O58" s="209"/>
      <c r="P58" s="135"/>
      <c r="Q58" s="135"/>
      <c r="R58" s="174" t="s">
        <v>484</v>
      </c>
      <c r="S58" s="909" t="s">
        <v>480</v>
      </c>
      <c r="T58" s="909"/>
      <c r="U58" s="909"/>
      <c r="V58" s="909"/>
      <c r="W58" s="909"/>
      <c r="X58" s="909"/>
      <c r="Y58" s="909"/>
      <c r="Z58" s="909"/>
      <c r="AA58" s="909"/>
      <c r="AB58" s="909"/>
      <c r="AC58" s="910"/>
    </row>
    <row r="59" spans="3:29" s="63" customFormat="1" ht="15.95" customHeight="1" x14ac:dyDescent="0.25">
      <c r="C59" s="174" t="s">
        <v>484</v>
      </c>
      <c r="D59" s="909" t="s">
        <v>985</v>
      </c>
      <c r="E59" s="909"/>
      <c r="F59" s="909"/>
      <c r="G59" s="909"/>
      <c r="H59" s="909"/>
      <c r="I59" s="909"/>
      <c r="J59" s="909"/>
      <c r="K59" s="909"/>
      <c r="L59" s="909"/>
      <c r="M59" s="909"/>
      <c r="N59" s="909"/>
      <c r="O59" s="910"/>
      <c r="P59" s="135"/>
      <c r="Q59" s="135"/>
      <c r="R59" s="172"/>
      <c r="S59" s="909"/>
      <c r="T59" s="909"/>
      <c r="U59" s="909"/>
      <c r="V59" s="909"/>
      <c r="W59" s="909"/>
      <c r="X59" s="909"/>
      <c r="Y59" s="909"/>
      <c r="Z59" s="909"/>
      <c r="AA59" s="909"/>
      <c r="AB59" s="909"/>
      <c r="AC59" s="910"/>
    </row>
    <row r="60" spans="3:29" s="63" customFormat="1" ht="15.95" customHeight="1" x14ac:dyDescent="0.25">
      <c r="C60" s="174"/>
      <c r="D60" s="909"/>
      <c r="E60" s="909"/>
      <c r="F60" s="909"/>
      <c r="G60" s="909"/>
      <c r="H60" s="909"/>
      <c r="I60" s="909"/>
      <c r="J60" s="909"/>
      <c r="K60" s="909"/>
      <c r="L60" s="909"/>
      <c r="M60" s="909"/>
      <c r="N60" s="909"/>
      <c r="O60" s="910"/>
      <c r="P60" s="135"/>
      <c r="Q60" s="135"/>
      <c r="R60" s="174"/>
      <c r="S60" s="909"/>
      <c r="T60" s="909"/>
      <c r="U60" s="909"/>
      <c r="V60" s="909"/>
      <c r="W60" s="909"/>
      <c r="X60" s="909"/>
      <c r="Y60" s="909"/>
      <c r="Z60" s="909"/>
      <c r="AA60" s="909"/>
      <c r="AB60" s="909"/>
      <c r="AC60" s="910"/>
    </row>
    <row r="61" spans="3:29" s="63" customFormat="1" ht="15.95" customHeight="1" x14ac:dyDescent="0.25">
      <c r="C61" s="179"/>
      <c r="O61" s="293"/>
      <c r="P61" s="135"/>
      <c r="Q61" s="135"/>
      <c r="R61" s="172"/>
      <c r="S61" s="909"/>
      <c r="T61" s="909"/>
      <c r="U61" s="909"/>
      <c r="V61" s="909"/>
      <c r="W61" s="909"/>
      <c r="X61" s="909"/>
      <c r="Y61" s="909"/>
      <c r="Z61" s="909"/>
      <c r="AA61" s="909"/>
      <c r="AB61" s="909"/>
      <c r="AC61" s="910"/>
    </row>
    <row r="62" spans="3:29" s="63" customFormat="1" ht="15.95" customHeight="1" x14ac:dyDescent="0.25">
      <c r="C62" s="297"/>
      <c r="O62" s="181"/>
      <c r="P62" s="135"/>
      <c r="Q62" s="135"/>
      <c r="R62" s="172"/>
      <c r="S62" s="909"/>
      <c r="T62" s="909"/>
      <c r="U62" s="909"/>
      <c r="V62" s="909"/>
      <c r="W62" s="909"/>
      <c r="X62" s="909"/>
      <c r="Y62" s="909"/>
      <c r="Z62" s="909"/>
      <c r="AA62" s="909"/>
      <c r="AB62" s="909"/>
      <c r="AC62" s="910"/>
    </row>
    <row r="63" spans="3:29" s="63" customFormat="1" ht="15.95" customHeight="1" x14ac:dyDescent="0.25">
      <c r="C63" s="297"/>
      <c r="O63" s="293"/>
      <c r="P63" s="135"/>
      <c r="Q63" s="135"/>
      <c r="R63" s="174" t="s">
        <v>485</v>
      </c>
      <c r="S63" s="909" t="s">
        <v>481</v>
      </c>
      <c r="T63" s="909"/>
      <c r="U63" s="909"/>
      <c r="V63" s="909"/>
      <c r="W63" s="909"/>
      <c r="X63" s="909"/>
      <c r="Y63" s="909"/>
      <c r="Z63" s="909"/>
      <c r="AA63" s="909"/>
      <c r="AB63" s="909"/>
      <c r="AC63" s="910"/>
    </row>
    <row r="64" spans="3:29" s="63" customFormat="1" ht="15.95" customHeight="1" x14ac:dyDescent="0.25">
      <c r="C64" s="179"/>
      <c r="O64" s="293"/>
      <c r="P64" s="135"/>
      <c r="Q64" s="135"/>
      <c r="R64" s="172"/>
      <c r="S64" s="909"/>
      <c r="T64" s="909"/>
      <c r="U64" s="909"/>
      <c r="V64" s="909"/>
      <c r="W64" s="909"/>
      <c r="X64" s="909"/>
      <c r="Y64" s="909"/>
      <c r="Z64" s="909"/>
      <c r="AA64" s="909"/>
      <c r="AB64" s="909"/>
      <c r="AC64" s="910"/>
    </row>
    <row r="65" spans="3:29" s="63" customFormat="1" ht="15.95" customHeight="1" x14ac:dyDescent="0.25">
      <c r="C65" s="179"/>
      <c r="O65" s="181"/>
      <c r="P65" s="135"/>
      <c r="Q65" s="135"/>
      <c r="R65" s="172"/>
      <c r="S65" s="909"/>
      <c r="T65" s="909"/>
      <c r="U65" s="909"/>
      <c r="V65" s="909"/>
      <c r="W65" s="909"/>
      <c r="X65" s="909"/>
      <c r="Y65" s="909"/>
      <c r="Z65" s="909"/>
      <c r="AA65" s="909"/>
      <c r="AB65" s="909"/>
      <c r="AC65" s="910"/>
    </row>
    <row r="66" spans="3:29" s="63" customFormat="1" ht="15.95" customHeight="1" x14ac:dyDescent="0.25">
      <c r="C66" s="179"/>
      <c r="O66" s="181"/>
      <c r="P66" s="135"/>
      <c r="Q66" s="135"/>
      <c r="R66" s="172"/>
      <c r="S66" s="909"/>
      <c r="T66" s="909"/>
      <c r="U66" s="909"/>
      <c r="V66" s="909"/>
      <c r="W66" s="909"/>
      <c r="X66" s="909"/>
      <c r="Y66" s="909"/>
      <c r="Z66" s="909"/>
      <c r="AA66" s="909"/>
      <c r="AB66" s="909"/>
      <c r="AC66" s="910"/>
    </row>
    <row r="67" spans="3:29" s="63" customFormat="1" ht="15.95" customHeight="1" x14ac:dyDescent="0.25">
      <c r="C67" s="182"/>
      <c r="D67" s="183"/>
      <c r="E67" s="183"/>
      <c r="F67" s="183"/>
      <c r="G67" s="183"/>
      <c r="H67" s="183"/>
      <c r="I67" s="183"/>
      <c r="J67" s="183"/>
      <c r="K67" s="183"/>
      <c r="L67" s="183"/>
      <c r="M67" s="183"/>
      <c r="N67" s="183"/>
      <c r="O67" s="184"/>
      <c r="P67" s="135"/>
      <c r="Q67" s="135"/>
      <c r="R67" s="175"/>
      <c r="S67" s="1437"/>
      <c r="T67" s="1437"/>
      <c r="U67" s="1437"/>
      <c r="V67" s="1437"/>
      <c r="W67" s="1437"/>
      <c r="X67" s="1437"/>
      <c r="Y67" s="1437"/>
      <c r="Z67" s="1437"/>
      <c r="AA67" s="1437"/>
      <c r="AB67" s="1437"/>
      <c r="AC67" s="1438"/>
    </row>
    <row r="68" spans="3:29" s="63" customFormat="1" ht="15.95" customHeight="1" x14ac:dyDescent="0.25"/>
    <row r="69" spans="3:29" s="63" customFormat="1" ht="15.95" hidden="1" customHeight="1" x14ac:dyDescent="0.25"/>
    <row r="70" spans="3:29" s="63" customFormat="1" ht="15.95" hidden="1" customHeight="1" x14ac:dyDescent="0.25"/>
    <row r="71" spans="3:29" s="63" customFormat="1" ht="15.95" hidden="1" customHeight="1" x14ac:dyDescent="0.25"/>
    <row r="72" spans="3:29" s="63" customFormat="1" ht="15.95" hidden="1" customHeight="1" x14ac:dyDescent="0.25"/>
    <row r="73" spans="3:29" s="63" customFormat="1" ht="15.95" hidden="1" customHeight="1" x14ac:dyDescent="0.25"/>
    <row r="74" spans="3:29" s="63" customFormat="1" ht="15.95" hidden="1" customHeight="1" x14ac:dyDescent="0.25"/>
    <row r="75" spans="3:29" s="63" customFormat="1" ht="15.95" hidden="1" customHeight="1" x14ac:dyDescent="0.25"/>
    <row r="76" spans="3:29" s="63" customFormat="1" ht="15.95" hidden="1" customHeight="1" x14ac:dyDescent="0.25"/>
    <row r="77" spans="3:29" s="63" customFormat="1" ht="15.95" hidden="1" customHeight="1" x14ac:dyDescent="0.25"/>
    <row r="78" spans="3:29" s="63" customFormat="1" ht="15.95" hidden="1" customHeight="1" x14ac:dyDescent="0.25"/>
    <row r="79" spans="3:29" s="63" customFormat="1" ht="15.95" hidden="1" customHeight="1" x14ac:dyDescent="0.25"/>
    <row r="80" spans="3:29" s="63" customFormat="1" ht="15.95" hidden="1" customHeight="1" x14ac:dyDescent="0.25"/>
    <row r="81" s="63" customFormat="1" ht="15.95" hidden="1" customHeight="1" x14ac:dyDescent="0.25"/>
    <row r="82" s="63" customFormat="1" ht="15.95" hidden="1" customHeight="1" x14ac:dyDescent="0.25"/>
    <row r="83" s="63" customFormat="1" ht="15.95" hidden="1" customHeight="1" x14ac:dyDescent="0.25"/>
    <row r="84" s="63" customFormat="1" ht="15.95" hidden="1" customHeight="1" x14ac:dyDescent="0.25"/>
    <row r="85" s="63" customFormat="1" ht="15.95" hidden="1" customHeight="1" x14ac:dyDescent="0.25"/>
    <row r="86" s="63" customFormat="1" ht="15.95" hidden="1" customHeight="1" x14ac:dyDescent="0.25"/>
    <row r="87" s="63" customFormat="1" ht="15.95" hidden="1" customHeight="1" x14ac:dyDescent="0.25"/>
    <row r="88" s="63" customFormat="1" ht="15.95" hidden="1" customHeight="1" x14ac:dyDescent="0.25"/>
    <row r="89" s="63" customFormat="1" ht="15.95" hidden="1" customHeight="1" x14ac:dyDescent="0.25"/>
    <row r="90" s="63" customFormat="1" ht="15.95" hidden="1" customHeight="1" x14ac:dyDescent="0.25"/>
    <row r="91" s="63" customFormat="1" ht="15.95" hidden="1" customHeight="1" x14ac:dyDescent="0.25"/>
    <row r="92" s="63" customFormat="1" ht="15.95" hidden="1" customHeight="1" x14ac:dyDescent="0.25"/>
    <row r="93" s="63" customFormat="1" ht="15.95" hidden="1" customHeight="1" x14ac:dyDescent="0.25"/>
    <row r="94" s="63" customFormat="1" ht="15.95" hidden="1" customHeight="1" x14ac:dyDescent="0.25"/>
    <row r="95" s="63" customFormat="1" ht="15.95" hidden="1" customHeight="1" x14ac:dyDescent="0.25"/>
    <row r="96" s="63" customFormat="1" ht="15.95" hidden="1" customHeight="1" x14ac:dyDescent="0.25"/>
    <row r="97" s="63" customFormat="1" ht="15.95" hidden="1" customHeight="1" x14ac:dyDescent="0.25"/>
    <row r="98" s="63" customFormat="1" ht="15.95" hidden="1" customHeight="1" x14ac:dyDescent="0.25"/>
    <row r="99" s="63" customFormat="1" ht="15.95" hidden="1" customHeight="1" x14ac:dyDescent="0.25"/>
    <row r="100" s="63" customFormat="1" ht="15.95" hidden="1" customHeight="1" x14ac:dyDescent="0.25"/>
    <row r="101" s="63" customFormat="1" ht="15.95" hidden="1" customHeight="1" x14ac:dyDescent="0.25"/>
    <row r="102" s="63" customFormat="1" ht="15.95" hidden="1" customHeight="1" x14ac:dyDescent="0.25"/>
    <row r="103" s="63" customFormat="1" ht="15.95" hidden="1" customHeight="1" x14ac:dyDescent="0.25"/>
    <row r="104" s="63" customFormat="1" ht="15.95" hidden="1" customHeight="1" x14ac:dyDescent="0.25"/>
    <row r="105" s="63" customFormat="1" ht="15.95" hidden="1" customHeight="1" x14ac:dyDescent="0.25"/>
    <row r="106" s="63" customFormat="1" ht="15.95" hidden="1" customHeight="1" x14ac:dyDescent="0.25"/>
    <row r="107" s="63" customFormat="1" ht="15.95" hidden="1" customHeight="1" x14ac:dyDescent="0.25"/>
    <row r="108" s="63" customFormat="1" ht="15.95" hidden="1" customHeight="1" x14ac:dyDescent="0.25"/>
    <row r="109" s="63" customFormat="1" ht="15.95" hidden="1" customHeight="1" x14ac:dyDescent="0.25"/>
    <row r="110" s="63" customFormat="1" ht="15.95" hidden="1" customHeight="1" x14ac:dyDescent="0.25"/>
    <row r="111" s="63" customFormat="1" ht="15.95" hidden="1" customHeight="1" x14ac:dyDescent="0.25"/>
    <row r="112" s="63" customFormat="1" ht="15.95" hidden="1" customHeight="1" x14ac:dyDescent="0.25"/>
    <row r="113" s="63" customFormat="1" ht="15.95" hidden="1" customHeight="1" x14ac:dyDescent="0.25"/>
    <row r="114" s="63" customFormat="1" ht="15.95" hidden="1" customHeight="1" x14ac:dyDescent="0.25"/>
    <row r="115" s="63" customFormat="1" ht="15.95" hidden="1" customHeight="1" x14ac:dyDescent="0.25"/>
    <row r="116" s="63" customFormat="1" ht="15.95" hidden="1" customHeight="1" x14ac:dyDescent="0.25"/>
    <row r="117" s="63" customFormat="1" ht="15.95" hidden="1" customHeight="1" x14ac:dyDescent="0.25"/>
    <row r="118" s="63" customFormat="1" ht="15.95" hidden="1" customHeight="1" x14ac:dyDescent="0.25"/>
    <row r="119" s="63" customFormat="1" ht="15.95" hidden="1" customHeight="1" x14ac:dyDescent="0.25"/>
    <row r="120" s="63" customFormat="1" ht="15.95" hidden="1" customHeight="1" x14ac:dyDescent="0.25"/>
    <row r="121" s="63" customFormat="1" ht="15.95" hidden="1" customHeight="1" x14ac:dyDescent="0.25"/>
    <row r="122" s="63" customFormat="1" ht="15.95" hidden="1" customHeight="1" x14ac:dyDescent="0.25"/>
    <row r="123" s="63" customFormat="1" ht="15.95" hidden="1" customHeight="1" x14ac:dyDescent="0.25"/>
    <row r="124" s="63" customFormat="1" ht="15.95" hidden="1" customHeight="1" x14ac:dyDescent="0.25"/>
    <row r="125" s="63" customFormat="1" ht="15.95" hidden="1" customHeight="1" x14ac:dyDescent="0.25"/>
    <row r="126" s="63" customFormat="1" ht="15.95" hidden="1" customHeight="1" x14ac:dyDescent="0.25"/>
    <row r="127" s="63" customFormat="1" ht="15.95" hidden="1" customHeight="1" x14ac:dyDescent="0.25"/>
    <row r="128" s="63" customFormat="1" ht="15.95" hidden="1" customHeight="1" x14ac:dyDescent="0.25"/>
    <row r="129" s="63" customFormat="1" ht="15.95" hidden="1" customHeight="1" x14ac:dyDescent="0.25"/>
    <row r="130" s="63" customFormat="1" ht="15.95" hidden="1" customHeight="1" x14ac:dyDescent="0.25"/>
    <row r="131" s="63" customFormat="1" ht="15.95" hidden="1" customHeight="1" x14ac:dyDescent="0.25"/>
    <row r="132" s="63" customFormat="1" ht="15.95" hidden="1" customHeight="1" x14ac:dyDescent="0.25"/>
    <row r="133" s="63" customFormat="1" ht="15.95" hidden="1" customHeight="1" x14ac:dyDescent="0.25"/>
    <row r="134" s="63" customFormat="1" ht="15.95" hidden="1" customHeight="1" x14ac:dyDescent="0.25"/>
    <row r="135" s="63" customFormat="1" ht="15.95" hidden="1" customHeight="1" x14ac:dyDescent="0.25"/>
    <row r="136" s="63" customFormat="1" ht="15.95" hidden="1" customHeight="1" x14ac:dyDescent="0.25"/>
    <row r="137" s="63" customFormat="1" ht="15.95" hidden="1" customHeight="1" x14ac:dyDescent="0.25"/>
    <row r="138" s="63" customFormat="1" ht="15.95" hidden="1" customHeight="1" x14ac:dyDescent="0.25"/>
    <row r="139" s="63" customFormat="1" ht="15.95" hidden="1" customHeight="1" x14ac:dyDescent="0.25"/>
    <row r="140" s="63" customFormat="1" ht="15.95" hidden="1" customHeight="1" x14ac:dyDescent="0.25"/>
    <row r="141" s="63" customFormat="1" ht="15.95" hidden="1" customHeight="1" x14ac:dyDescent="0.25"/>
    <row r="142" s="63" customFormat="1" ht="15.95" hidden="1" customHeight="1" x14ac:dyDescent="0.25"/>
    <row r="143" s="63" customFormat="1" ht="15.95" hidden="1" customHeight="1" x14ac:dyDescent="0.25"/>
    <row r="144" s="63" customFormat="1" ht="15.95" hidden="1" customHeight="1" x14ac:dyDescent="0.25"/>
    <row r="145" s="63" customFormat="1" ht="15.95" hidden="1" customHeight="1" x14ac:dyDescent="0.25"/>
    <row r="146" s="63" customFormat="1" ht="15.95" hidden="1" customHeight="1" x14ac:dyDescent="0.25"/>
    <row r="147" s="63" customFormat="1" ht="15.95" hidden="1" customHeight="1" x14ac:dyDescent="0.25"/>
    <row r="148" s="63" customFormat="1" ht="15.95" hidden="1" customHeight="1" x14ac:dyDescent="0.25"/>
    <row r="149" s="63" customFormat="1" ht="15.95" hidden="1" customHeight="1" x14ac:dyDescent="0.25"/>
    <row r="150" s="63" customFormat="1" ht="15.95" hidden="1" customHeight="1" x14ac:dyDescent="0.25"/>
    <row r="151" s="63" customFormat="1" ht="15.95" hidden="1" customHeight="1" x14ac:dyDescent="0.25"/>
    <row r="152" s="63" customFormat="1" ht="15.95" hidden="1" customHeight="1" x14ac:dyDescent="0.25"/>
    <row r="153" s="63" customFormat="1" ht="15.95" hidden="1" customHeight="1" x14ac:dyDescent="0.25"/>
    <row r="154" s="63" customFormat="1" ht="15.95" hidden="1" customHeight="1" x14ac:dyDescent="0.25"/>
    <row r="155" s="63" customFormat="1" ht="15.95" hidden="1" customHeight="1" x14ac:dyDescent="0.25"/>
    <row r="156" s="63" customFormat="1" ht="15.95" hidden="1" customHeight="1" x14ac:dyDescent="0.25"/>
    <row r="157" s="63" customFormat="1" ht="15.95" hidden="1" customHeight="1" x14ac:dyDescent="0.25"/>
    <row r="158" s="63" customFormat="1" ht="15.95" hidden="1" customHeight="1" x14ac:dyDescent="0.25"/>
    <row r="159" s="63" customFormat="1" ht="15.95" hidden="1" customHeight="1" x14ac:dyDescent="0.25"/>
    <row r="160" s="63" customFormat="1" ht="15.95" hidden="1" customHeight="1" x14ac:dyDescent="0.25"/>
    <row r="161" s="63" customFormat="1" ht="15.95" hidden="1" customHeight="1" x14ac:dyDescent="0.25"/>
    <row r="162" s="63" customFormat="1" ht="15.95" hidden="1" customHeight="1" x14ac:dyDescent="0.25"/>
    <row r="163" s="63" customFormat="1" ht="15.95" hidden="1" customHeight="1" x14ac:dyDescent="0.25"/>
    <row r="164" s="63" customFormat="1" ht="15.95" hidden="1" customHeight="1" x14ac:dyDescent="0.25"/>
    <row r="165" s="63" customFormat="1" ht="15.95" hidden="1" customHeight="1" x14ac:dyDescent="0.25"/>
    <row r="166" s="63" customFormat="1" ht="15.95" hidden="1" customHeight="1" x14ac:dyDescent="0.25"/>
    <row r="167" s="63" customFormat="1" ht="15.95" hidden="1" customHeight="1" x14ac:dyDescent="0.25"/>
    <row r="168" s="63" customFormat="1" ht="15.95" hidden="1" customHeight="1" x14ac:dyDescent="0.25"/>
    <row r="169" s="63" customFormat="1" ht="15.95" hidden="1" customHeight="1" x14ac:dyDescent="0.25"/>
    <row r="170" s="63" customFormat="1" ht="15.95" hidden="1" customHeight="1" x14ac:dyDescent="0.25"/>
    <row r="171" s="63" customFormat="1" ht="15.95" hidden="1" customHeight="1" x14ac:dyDescent="0.25"/>
    <row r="172" s="63" customFormat="1" ht="15.95" hidden="1" customHeight="1" x14ac:dyDescent="0.25"/>
    <row r="173" s="63" customFormat="1" ht="15.95" hidden="1" customHeight="1" x14ac:dyDescent="0.25"/>
    <row r="174" s="63" customFormat="1" ht="15.95" hidden="1" customHeight="1" x14ac:dyDescent="0.25"/>
    <row r="175" s="63" customFormat="1" ht="15.95" hidden="1" customHeight="1" x14ac:dyDescent="0.25"/>
    <row r="176" s="63" customFormat="1" ht="15.95" hidden="1" customHeight="1" x14ac:dyDescent="0.25"/>
    <row r="177" s="63" customFormat="1" ht="15.95" hidden="1" customHeight="1" x14ac:dyDescent="0.25"/>
    <row r="178" s="63" customFormat="1" ht="15.95" hidden="1" customHeight="1" x14ac:dyDescent="0.25"/>
    <row r="179" s="63" customFormat="1" ht="15.95" hidden="1" customHeight="1" x14ac:dyDescent="0.25"/>
    <row r="180" s="63" customFormat="1" ht="15.95" hidden="1" customHeight="1" x14ac:dyDescent="0.25"/>
    <row r="181" s="63" customFormat="1" ht="15.95" hidden="1" customHeight="1" x14ac:dyDescent="0.25"/>
    <row r="182" s="63" customFormat="1" ht="15.95" hidden="1" customHeight="1" x14ac:dyDescent="0.25"/>
    <row r="183" s="63" customFormat="1" ht="15.95" hidden="1" customHeight="1" x14ac:dyDescent="0.25"/>
    <row r="184" s="63" customFormat="1" ht="15.95" hidden="1" customHeight="1" x14ac:dyDescent="0.25"/>
    <row r="185" s="63" customFormat="1" ht="15.95" hidden="1" customHeight="1" x14ac:dyDescent="0.25"/>
    <row r="186" s="63" customFormat="1" ht="15.95" hidden="1" customHeight="1" x14ac:dyDescent="0.25"/>
    <row r="187" s="63" customFormat="1" ht="15.95" hidden="1" customHeight="1" x14ac:dyDescent="0.25"/>
    <row r="188" s="63" customFormat="1" ht="15.95" hidden="1" customHeight="1" x14ac:dyDescent="0.25"/>
    <row r="189" s="63" customFormat="1" ht="15.95" hidden="1" customHeight="1" x14ac:dyDescent="0.25"/>
    <row r="190" s="63" customFormat="1" ht="15.95" hidden="1" customHeight="1" x14ac:dyDescent="0.25"/>
    <row r="191" s="63" customFormat="1" ht="15.95" hidden="1" customHeight="1" x14ac:dyDescent="0.25"/>
    <row r="192" s="63" customFormat="1" ht="15.95" hidden="1" customHeight="1" x14ac:dyDescent="0.25"/>
    <row r="193" spans="2:44" s="63" customFormat="1" ht="15.95" hidden="1" customHeight="1" x14ac:dyDescent="0.25"/>
    <row r="194" spans="2:44" s="63" customFormat="1" ht="15.95" hidden="1" customHeight="1" x14ac:dyDescent="0.25"/>
    <row r="195" spans="2:44" s="63" customFormat="1" ht="15.95" hidden="1" customHeight="1" x14ac:dyDescent="0.25"/>
    <row r="196" spans="2:44" s="63" customFormat="1" ht="15.95" hidden="1" customHeight="1" x14ac:dyDescent="0.25"/>
    <row r="197" spans="2:44" s="63" customFormat="1" ht="15.95" hidden="1" customHeight="1" x14ac:dyDescent="0.25"/>
    <row r="198" spans="2:44" s="63" customFormat="1" ht="15.95" hidden="1" customHeight="1" x14ac:dyDescent="0.25"/>
    <row r="199" spans="2:44" ht="15.95" hidden="1" customHeight="1" x14ac:dyDescent="0.25"/>
    <row r="200" spans="2:44" ht="15.95" customHeight="1" x14ac:dyDescent="0.25">
      <c r="B200" s="114" t="str">
        <f>FOOT1</f>
        <v>Ameren Missouri BizSavers program</v>
      </c>
      <c r="C200" s="114"/>
      <c r="D200" s="114"/>
      <c r="E200" s="114"/>
      <c r="F200" s="114"/>
      <c r="G200" s="114"/>
      <c r="H200" s="114"/>
      <c r="I200" s="114"/>
      <c r="J200" s="114"/>
      <c r="K200" s="114"/>
      <c r="L200" s="114"/>
      <c r="M200" s="1097" t="str">
        <f>FOOTDISCLAIM</f>
        <v/>
      </c>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14"/>
      <c r="AI200" s="114"/>
      <c r="AJ200" s="114"/>
      <c r="AK200" s="114"/>
      <c r="AL200" s="114"/>
      <c r="AM200" s="114"/>
      <c r="AN200" s="114"/>
      <c r="AO200" s="114"/>
      <c r="AP200" s="114"/>
      <c r="AQ200" s="114"/>
      <c r="AR200" s="300" t="str">
        <f>FOOT4</f>
        <v/>
      </c>
    </row>
    <row r="201" spans="2:44" ht="15.95" customHeight="1" x14ac:dyDescent="0.25">
      <c r="B201" s="114" t="str">
        <f>FOOT2</f>
        <v>Toll-Free 866-941-7299</v>
      </c>
      <c r="C201" s="114"/>
      <c r="D201" s="114"/>
      <c r="E201" s="114"/>
      <c r="F201" s="114"/>
      <c r="G201" s="114"/>
      <c r="H201" s="114"/>
      <c r="I201" s="114"/>
      <c r="J201" s="114"/>
      <c r="K201" s="114"/>
      <c r="L201" s="114"/>
      <c r="M201" s="1097"/>
      <c r="N201" s="1097"/>
      <c r="O201" s="1097"/>
      <c r="P201" s="1097"/>
      <c r="Q201" s="1097"/>
      <c r="R201" s="1097"/>
      <c r="S201" s="1097"/>
      <c r="T201" s="1097"/>
      <c r="U201" s="1097"/>
      <c r="V201" s="1097"/>
      <c r="W201" s="1097"/>
      <c r="X201" s="1097"/>
      <c r="Y201" s="1097"/>
      <c r="Z201" s="1097"/>
      <c r="AA201" s="1097"/>
      <c r="AB201" s="1097"/>
      <c r="AC201" s="1097"/>
      <c r="AD201" s="1097"/>
      <c r="AE201" s="1097"/>
      <c r="AF201" s="1097"/>
      <c r="AG201" s="1097"/>
      <c r="AH201" s="114"/>
      <c r="AI201" s="114"/>
      <c r="AJ201" s="114"/>
      <c r="AK201" s="114"/>
      <c r="AL201" s="114"/>
      <c r="AM201" s="114"/>
      <c r="AN201" s="114"/>
      <c r="AO201" s="114"/>
      <c r="AP201" s="114"/>
      <c r="AQ201" s="114"/>
      <c r="AR201" s="300" t="str">
        <f>FOOT5</f>
        <v/>
      </c>
    </row>
    <row r="202" spans="2:44" ht="15.95" customHeight="1" x14ac:dyDescent="0.25">
      <c r="B202" s="115" t="str">
        <f>FOOT3</f>
        <v>BizSavers@ameren.com</v>
      </c>
      <c r="C202" s="114"/>
      <c r="D202" s="114"/>
      <c r="E202" s="114"/>
      <c r="F202" s="114"/>
      <c r="G202" s="114"/>
      <c r="H202" s="114"/>
      <c r="I202" s="114"/>
      <c r="J202" s="114"/>
      <c r="K202" s="114"/>
      <c r="L202" s="114"/>
      <c r="M202" s="116"/>
      <c r="N202" s="114"/>
      <c r="O202" s="114"/>
      <c r="P202" s="116"/>
      <c r="Q202" s="116"/>
      <c r="R202" s="116"/>
      <c r="S202" s="116"/>
      <c r="T202" s="116"/>
      <c r="U202" s="116"/>
      <c r="V202" s="116"/>
      <c r="W202" s="117" t="str">
        <f>VERSION</f>
        <v>New Construction v3.8.0</v>
      </c>
      <c r="X202" s="116"/>
      <c r="Y202" s="116"/>
      <c r="Z202" s="116"/>
      <c r="AA202" s="116"/>
      <c r="AB202" s="116"/>
      <c r="AC202" s="116"/>
      <c r="AD202" s="116"/>
      <c r="AE202" s="114"/>
      <c r="AF202" s="114"/>
      <c r="AG202" s="114"/>
      <c r="AH202" s="114"/>
      <c r="AI202" s="114"/>
      <c r="AJ202" s="114"/>
      <c r="AK202" s="114"/>
      <c r="AL202" s="114"/>
      <c r="AM202" s="114"/>
      <c r="AN202" s="114"/>
      <c r="AO202" s="114"/>
      <c r="AP202" s="114"/>
      <c r="AQ202" s="114"/>
      <c r="AR202" s="300" t="str">
        <f>FOOT6</f>
        <v>Product of TRC Companies</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sheetData>
  <sheetProtection algorithmName="SHA-512" hashValue="npkuIWeza+8rUL8X/1INgIV5a/l+LaSvvB1354tKxKIKLBFhXWJ4q2ZmP6IKpZe+ziBKMT7EW5h9EpFVQfl7gQ==" saltValue="3aWTl8788f0yE3HdPxtWLg==" spinCount="100000" sheet="1" objects="1" scenarios="1" selectLockedCells="1"/>
  <mergeCells count="77">
    <mergeCell ref="S50:AC52"/>
    <mergeCell ref="S53:AC57"/>
    <mergeCell ref="S58:AC62"/>
    <mergeCell ref="D59:O60"/>
    <mergeCell ref="S63:AC67"/>
    <mergeCell ref="C15:H15"/>
    <mergeCell ref="M200:AG201"/>
    <mergeCell ref="AL27:AQ27"/>
    <mergeCell ref="AL28:AQ28"/>
    <mergeCell ref="AL30:AQ30"/>
    <mergeCell ref="AN31:AQ31"/>
    <mergeCell ref="C35:AQ42"/>
    <mergeCell ref="D44:AQ45"/>
    <mergeCell ref="J15:O15"/>
    <mergeCell ref="Q15:V15"/>
    <mergeCell ref="X15:AC15"/>
    <mergeCell ref="AE15:AJ15"/>
    <mergeCell ref="AL15:AQ15"/>
    <mergeCell ref="AL16:AQ16"/>
    <mergeCell ref="C18:H18"/>
    <mergeCell ref="J18:O18"/>
    <mergeCell ref="F10:AN10"/>
    <mergeCell ref="F11:AN11"/>
    <mergeCell ref="C13:H13"/>
    <mergeCell ref="J13:O13"/>
    <mergeCell ref="Q13:V13"/>
    <mergeCell ref="X13:AC13"/>
    <mergeCell ref="AE13:AJ13"/>
    <mergeCell ref="AL13:AQ13"/>
    <mergeCell ref="AH1:AK1"/>
    <mergeCell ref="AL1:AP1"/>
    <mergeCell ref="AQ1:AR1"/>
    <mergeCell ref="AH2:AK3"/>
    <mergeCell ref="AL2:AP3"/>
    <mergeCell ref="AQ2:AR3"/>
    <mergeCell ref="Q18:V18"/>
    <mergeCell ref="X18:AC18"/>
    <mergeCell ref="AE18:AJ18"/>
    <mergeCell ref="AL18:AQ18"/>
    <mergeCell ref="C16:H16"/>
    <mergeCell ref="J16:O16"/>
    <mergeCell ref="Q16:V16"/>
    <mergeCell ref="X16:AC16"/>
    <mergeCell ref="AE16:AJ16"/>
    <mergeCell ref="AN19:AQ19"/>
    <mergeCell ref="F22:AN22"/>
    <mergeCell ref="F23:AN23"/>
    <mergeCell ref="J25:O25"/>
    <mergeCell ref="Q25:V25"/>
    <mergeCell ref="X25:AC25"/>
    <mergeCell ref="AE25:AJ25"/>
    <mergeCell ref="AL25:AQ25"/>
    <mergeCell ref="C19:H19"/>
    <mergeCell ref="J19:O19"/>
    <mergeCell ref="Q19:V19"/>
    <mergeCell ref="X19:AC19"/>
    <mergeCell ref="AE19:AJ19"/>
    <mergeCell ref="C27:H27"/>
    <mergeCell ref="J27:O27"/>
    <mergeCell ref="Q27:V27"/>
    <mergeCell ref="X27:AC27"/>
    <mergeCell ref="AE27:AJ27"/>
    <mergeCell ref="C28:H28"/>
    <mergeCell ref="J28:O28"/>
    <mergeCell ref="Q28:V28"/>
    <mergeCell ref="X28:AC28"/>
    <mergeCell ref="AE28:AJ28"/>
    <mergeCell ref="C30:H30"/>
    <mergeCell ref="J30:O30"/>
    <mergeCell ref="Q30:V30"/>
    <mergeCell ref="X30:AC30"/>
    <mergeCell ref="AE30:AJ30"/>
    <mergeCell ref="C31:H31"/>
    <mergeCell ref="J31:O31"/>
    <mergeCell ref="Q31:V31"/>
    <mergeCell ref="X31:AC31"/>
    <mergeCell ref="AE31:AJ31"/>
  </mergeCells>
  <conditionalFormatting sqref="AL15:AQ16">
    <cfRule type="expression" dxfId="48" priority="24">
      <formula>M02S04F01&lt;&gt;"Site (Bill Credit)"</formula>
    </cfRule>
  </conditionalFormatting>
  <conditionalFormatting sqref="AQ2:AR3">
    <cfRule type="cellIs" dxfId="47" priority="3" operator="equal">
      <formula>1</formula>
    </cfRule>
    <cfRule type="cellIs" dxfId="46" priority="4" operator="between">
      <formula>0.51</formula>
      <formula>0.99</formula>
    </cfRule>
    <cfRule type="cellIs" dxfId="45" priority="5" operator="lessThanOrEqual">
      <formula>0.5</formula>
    </cfRule>
  </conditionalFormatting>
  <conditionalFormatting sqref="AH2 AL2">
    <cfRule type="expression" dxfId="44" priority="1">
      <formula>OR(PROJSTATUS=PROJSTATELI,PROJSTATUS=PROJSTATEXP,PROJSTATUS=PROJSTATUNDER)</formula>
    </cfRule>
    <cfRule type="expression" dxfId="43" priority="2">
      <formula>PROJSTATUS=PROJSTATFILLINITIAL</formula>
    </cfRule>
    <cfRule type="expression" dxfId="42" priority="6">
      <formula>PROJSTATUS=PROJSTATPREAPPROVE</formula>
    </cfRule>
    <cfRule type="expression" dxfId="41" priority="7">
      <formula>OR(PROJSTATUS=PROJSTATSSUBMITINITIAL,PROJSTATUS=PROJSTATREVIEW)</formula>
    </cfRule>
  </conditionalFormatting>
  <dataValidations count="7">
    <dataValidation type="list" allowBlank="1" showErrorMessage="1" prompt="Selecting the Payment Type will autopopulate with selected option. If Other, enter in the payee manually." sqref="J25:O25" xr:uid="{00000000-0002-0000-2800-000000000000}">
      <formula1>" Yes,No"</formula1>
    </dataValidation>
    <dataValidation type="list" allowBlank="1" showInputMessage="1" showErrorMessage="1" prompt="Selecting the Payment Type will autopopulate with selected option. If Other, enter in the payee manually." sqref="J13:O13" xr:uid="{00000000-0002-0000-2800-000001000000}">
      <formula1>" Company (Check),Site (Check),Site (Bill Credit),Trade Ally (Check),Other (Check)"</formula1>
    </dataValidation>
    <dataValidation type="list" allowBlank="1" showInputMessage="1" showErrorMessage="1" sqref="Q19:V19" xr:uid="{00000000-0002-0000-2800-000002000000}">
      <formula1>STATESABBREV</formula1>
    </dataValidation>
    <dataValidation type="textLength" operator="equal" allowBlank="1" showInputMessage="1" showErrorMessage="1" error="Please enter only the first 2 digits of the Tax ID" prompt="Please enter only the first 2 digits of the Tax ID" sqref="AL19 AL31" xr:uid="{00000000-0002-0000-2800-000003000000}">
      <formula1>2</formula1>
    </dataValidation>
    <dataValidation type="textLength" operator="equal" allowBlank="1" showInputMessage="1" showErrorMessage="1" error="Please enter only the last 7 digits of the Tax ID" prompt="Please enter only the last 7 digits of the Tax ID" sqref="AN19:AQ19 AN31:AQ31" xr:uid="{00000000-0002-0000-2800-000004000000}">
      <formula1>7</formula1>
    </dataValidation>
    <dataValidation type="list" allowBlank="1" showInputMessage="1" showErrorMessage="1" sqref="AE19:AJ19" xr:uid="{00000000-0002-0000-2800-000005000000}">
      <formula1>TAX</formula1>
    </dataValidation>
    <dataValidation type="textLength" allowBlank="1" showInputMessage="1" sqref="AL16:AQ16 AL28:AQ28" xr:uid="{00000000-0002-0000-2800-000006000000}">
      <formula1>5</formula1>
      <formula2>10</formula2>
    </dataValidation>
  </dataValidations>
  <hyperlinks>
    <hyperlink ref="B202" r:id="rId1" display="NIPSCO.Savings@LMCO.com" xr:uid="{00000000-0004-0000-2800-000000000000}"/>
  </hyperlinks>
  <pageMargins left="0.25" right="0.25" top="0.25" bottom="0.25" header="0.25" footer="0.25"/>
  <pageSetup scale="47" fitToHeight="0"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21185" r:id="rId5" name="M02S04TB1">
              <controlPr defaultSize="0" autoFill="0" autoLine="0" autoPict="0">
                <anchor moveWithCells="1">
                  <from>
                    <xdr:col>2</xdr:col>
                    <xdr:colOff>0</xdr:colOff>
                    <xdr:row>43</xdr:row>
                    <xdr:rowOff>9525</xdr:rowOff>
                  </from>
                  <to>
                    <xdr:col>3</xdr:col>
                    <xdr:colOff>0</xdr:colOff>
                    <xdr:row>45</xdr:row>
                    <xdr:rowOff>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3">
    <pageSetUpPr fitToPage="1"/>
  </sheetPr>
  <dimension ref="A1:BU348"/>
  <sheetViews>
    <sheetView showGridLines="0" showRowColHeaders="0" showZeros="0" zoomScale="85" zoomScaleNormal="85" workbookViewId="0">
      <selection activeCell="L52" sqref="L52:U52"/>
    </sheetView>
  </sheetViews>
  <sheetFormatPr defaultColWidth="0" defaultRowHeight="15" customHeight="1" zeroHeight="1" x14ac:dyDescent="0.25"/>
  <cols>
    <col min="1" max="45" width="4.7109375" style="65" customWidth="1"/>
    <col min="46" max="16384" width="9.140625" style="65" hidden="1"/>
  </cols>
  <sheetData>
    <row r="1" spans="6:73" ht="15.95" customHeight="1" x14ac:dyDescent="0.3">
      <c r="AH1" s="711" t="s">
        <v>494</v>
      </c>
      <c r="AI1" s="712"/>
      <c r="AJ1" s="712"/>
      <c r="AK1" s="712"/>
      <c r="AL1" s="723" t="s">
        <v>911</v>
      </c>
      <c r="AM1" s="723"/>
      <c r="AN1" s="723"/>
      <c r="AO1" s="723"/>
      <c r="AP1" s="723"/>
      <c r="AQ1" s="717" t="s">
        <v>499</v>
      </c>
      <c r="AR1" s="718"/>
    </row>
    <row r="2" spans="6:73" ht="15.95" customHeight="1" x14ac:dyDescent="0.25">
      <c r="AH2" s="713" t="str">
        <f ca="1">INCENSTATUS</f>
        <v>---</v>
      </c>
      <c r="AI2" s="714"/>
      <c r="AJ2" s="714"/>
      <c r="AK2" s="714"/>
      <c r="AL2" s="724" t="str">
        <f ca="1">PROJSTATUS</f>
        <v>Please Complete Initial Application</v>
      </c>
      <c r="AM2" s="724"/>
      <c r="AN2" s="724"/>
      <c r="AO2" s="724"/>
      <c r="AP2" s="724"/>
      <c r="AQ2" s="719">
        <f ca="1">PROGRESSSTATUS</f>
        <v>0</v>
      </c>
      <c r="AR2" s="720"/>
    </row>
    <row r="3" spans="6:73" ht="15.95" customHeight="1" x14ac:dyDescent="0.25">
      <c r="AH3" s="715"/>
      <c r="AI3" s="716"/>
      <c r="AJ3" s="716"/>
      <c r="AK3" s="716"/>
      <c r="AL3" s="725"/>
      <c r="AM3" s="725"/>
      <c r="AN3" s="725"/>
      <c r="AO3" s="725"/>
      <c r="AP3" s="725"/>
      <c r="AQ3" s="721"/>
      <c r="AR3" s="722"/>
    </row>
    <row r="4" spans="6:73" ht="15.95" customHeight="1" x14ac:dyDescent="0.25"/>
    <row r="5" spans="6:73" ht="15.95" customHeight="1" x14ac:dyDescent="0.25"/>
    <row r="6" spans="6:73" ht="15.95" customHeight="1" x14ac:dyDescent="0.25">
      <c r="AT6"/>
      <c r="AU6"/>
      <c r="AV6"/>
      <c r="AW6"/>
      <c r="AX6"/>
      <c r="AY6"/>
      <c r="AZ6"/>
      <c r="BA6"/>
      <c r="BB6"/>
      <c r="BC6"/>
      <c r="BD6"/>
      <c r="BE6"/>
      <c r="BF6"/>
      <c r="BG6"/>
      <c r="BH6"/>
      <c r="BI6"/>
      <c r="BJ6"/>
      <c r="BK6"/>
      <c r="BL6"/>
      <c r="BM6"/>
      <c r="BN6"/>
      <c r="BO6"/>
      <c r="BP6"/>
      <c r="BQ6"/>
      <c r="BR6"/>
      <c r="BS6"/>
      <c r="BT6"/>
      <c r="BU6"/>
    </row>
    <row r="7" spans="6:73" ht="15.95" customHeight="1" x14ac:dyDescent="0.25">
      <c r="AT7"/>
      <c r="AU7"/>
      <c r="AV7"/>
      <c r="AW7"/>
      <c r="AX7"/>
      <c r="AY7"/>
      <c r="AZ7"/>
      <c r="BA7"/>
      <c r="BB7"/>
      <c r="BC7"/>
      <c r="BD7"/>
      <c r="BE7"/>
      <c r="BF7"/>
      <c r="BG7"/>
      <c r="BH7"/>
      <c r="BI7"/>
      <c r="BJ7"/>
      <c r="BK7"/>
      <c r="BL7"/>
      <c r="BM7"/>
      <c r="BN7"/>
      <c r="BO7"/>
      <c r="BP7"/>
      <c r="BQ7"/>
      <c r="BR7"/>
      <c r="BS7"/>
      <c r="BT7"/>
      <c r="BU7"/>
    </row>
    <row r="8" spans="6:73" ht="15.95" customHeight="1" x14ac:dyDescent="0.25">
      <c r="AT8"/>
      <c r="AU8"/>
      <c r="AV8"/>
      <c r="AW8"/>
      <c r="AX8"/>
      <c r="AY8"/>
      <c r="AZ8"/>
      <c r="BA8"/>
      <c r="BB8"/>
      <c r="BC8"/>
      <c r="BD8"/>
      <c r="BE8"/>
      <c r="BF8"/>
      <c r="BG8"/>
      <c r="BH8"/>
      <c r="BI8"/>
      <c r="BJ8"/>
      <c r="BK8"/>
      <c r="BL8"/>
      <c r="BM8"/>
      <c r="BN8"/>
      <c r="BO8"/>
      <c r="BP8"/>
      <c r="BQ8"/>
      <c r="BR8"/>
      <c r="BS8"/>
      <c r="BT8"/>
      <c r="BU8"/>
    </row>
    <row r="9" spans="6:73" ht="15.95" customHeight="1" x14ac:dyDescent="0.25">
      <c r="AT9"/>
      <c r="AU9"/>
      <c r="AV9"/>
      <c r="AW9"/>
      <c r="AX9"/>
      <c r="AY9"/>
      <c r="AZ9"/>
      <c r="BA9"/>
      <c r="BB9"/>
      <c r="BC9"/>
      <c r="BD9"/>
      <c r="BE9"/>
      <c r="BF9"/>
      <c r="BG9"/>
      <c r="BH9"/>
      <c r="BI9"/>
      <c r="BJ9"/>
      <c r="BK9"/>
      <c r="BL9"/>
      <c r="BM9"/>
      <c r="BN9"/>
      <c r="BO9"/>
      <c r="BP9"/>
      <c r="BQ9"/>
      <c r="BR9"/>
      <c r="BS9"/>
      <c r="BT9"/>
      <c r="BU9"/>
    </row>
    <row r="10" spans="6:73" ht="15.95" customHeight="1" x14ac:dyDescent="0.3">
      <c r="F10" s="1461" t="s">
        <v>1889</v>
      </c>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c r="AG10" s="1461"/>
      <c r="AH10" s="1461"/>
      <c r="AI10" s="1461"/>
      <c r="AJ10" s="1461"/>
      <c r="AK10" s="1461"/>
      <c r="AL10" s="1461"/>
      <c r="AM10" s="1461"/>
      <c r="AN10" s="1461"/>
      <c r="AT10"/>
      <c r="AU10"/>
      <c r="AV10"/>
      <c r="AW10"/>
      <c r="AX10"/>
      <c r="AY10"/>
      <c r="AZ10"/>
      <c r="BA10"/>
      <c r="BB10"/>
      <c r="BC10"/>
      <c r="BD10"/>
      <c r="BE10"/>
      <c r="BF10"/>
      <c r="BG10"/>
      <c r="BH10"/>
      <c r="BI10"/>
      <c r="BJ10"/>
      <c r="BK10"/>
      <c r="BL10"/>
      <c r="BM10"/>
      <c r="BN10"/>
      <c r="BO10"/>
      <c r="BP10"/>
      <c r="BQ10"/>
      <c r="BR10"/>
      <c r="BS10"/>
      <c r="BT10"/>
      <c r="BU10"/>
    </row>
    <row r="11" spans="6:73" ht="15.95" customHeight="1" x14ac:dyDescent="0.25">
      <c r="F11" s="1462" t="s">
        <v>1883</v>
      </c>
      <c r="G11" s="1462"/>
      <c r="H11" s="1462"/>
      <c r="I11" s="1462"/>
      <c r="J11" s="1462"/>
      <c r="K11" s="1462"/>
      <c r="L11" s="1462"/>
      <c r="M11" s="1462"/>
      <c r="N11" s="1462"/>
      <c r="O11" s="1462"/>
      <c r="P11" s="1462"/>
      <c r="Q11" s="1462"/>
      <c r="R11" s="1462"/>
      <c r="S11" s="1462"/>
      <c r="T11" s="1462"/>
      <c r="U11" s="1462"/>
      <c r="V11" s="1462"/>
      <c r="W11" s="1462"/>
      <c r="X11" s="1462"/>
      <c r="Y11" s="1462"/>
      <c r="Z11" s="1462"/>
      <c r="AA11" s="1462"/>
      <c r="AB11" s="1462"/>
      <c r="AC11" s="1462"/>
      <c r="AD11" s="1462"/>
      <c r="AE11" s="1462"/>
      <c r="AF11" s="1462"/>
      <c r="AG11" s="1462"/>
      <c r="AH11" s="1462"/>
      <c r="AI11" s="1462"/>
      <c r="AJ11" s="1462"/>
      <c r="AK11" s="1462"/>
      <c r="AL11" s="1462"/>
      <c r="AM11" s="1462"/>
      <c r="AN11" s="1462"/>
      <c r="AT11"/>
      <c r="AU11"/>
      <c r="AV11"/>
      <c r="AW11"/>
      <c r="AX11"/>
      <c r="AY11"/>
      <c r="AZ11"/>
      <c r="BA11"/>
      <c r="BB11"/>
      <c r="BC11"/>
      <c r="BD11"/>
      <c r="BE11"/>
      <c r="BF11"/>
      <c r="BG11"/>
      <c r="BH11"/>
      <c r="BI11"/>
      <c r="BJ11"/>
      <c r="BK11"/>
      <c r="BL11"/>
      <c r="BM11"/>
      <c r="BN11"/>
      <c r="BO11"/>
      <c r="BP11"/>
      <c r="BQ11"/>
      <c r="BR11"/>
      <c r="BS11"/>
      <c r="BT11"/>
      <c r="BU11"/>
    </row>
    <row r="12" spans="6:73" ht="15.95" customHeight="1" x14ac:dyDescent="0.25">
      <c r="F12" s="373"/>
      <c r="G12" s="373"/>
      <c r="H12" s="373"/>
      <c r="I12" s="373"/>
      <c r="J12" s="373"/>
      <c r="K12" s="373"/>
      <c r="L12" s="373"/>
      <c r="M12" s="373"/>
      <c r="N12" s="373"/>
      <c r="O12" s="373"/>
      <c r="P12" s="373"/>
      <c r="Q12" s="373"/>
      <c r="R12" s="373"/>
      <c r="S12" s="373"/>
      <c r="T12" s="373"/>
      <c r="U12" s="373"/>
      <c r="V12" s="373"/>
      <c r="W12" s="373"/>
      <c r="X12" s="373"/>
      <c r="Y12" s="373"/>
      <c r="Z12" s="373"/>
      <c r="AA12" s="373"/>
      <c r="AB12" s="373"/>
      <c r="AC12" s="373"/>
      <c r="AD12" s="373"/>
      <c r="AE12" s="373"/>
      <c r="AF12" s="373"/>
      <c r="AG12" s="373"/>
      <c r="AH12" s="373"/>
      <c r="AI12" s="373"/>
      <c r="AJ12" s="373"/>
      <c r="AK12" s="373"/>
      <c r="AL12" s="373"/>
      <c r="AM12" s="373"/>
      <c r="AN12" s="373"/>
      <c r="AT12"/>
      <c r="AU12"/>
      <c r="AV12"/>
      <c r="AW12"/>
      <c r="AX12"/>
      <c r="AY12"/>
      <c r="AZ12"/>
      <c r="BA12"/>
      <c r="BB12"/>
      <c r="BC12"/>
      <c r="BD12"/>
      <c r="BE12"/>
      <c r="BF12"/>
      <c r="BG12"/>
      <c r="BH12"/>
      <c r="BI12"/>
      <c r="BJ12"/>
      <c r="BK12"/>
      <c r="BL12"/>
      <c r="BM12"/>
      <c r="BN12"/>
      <c r="BO12"/>
      <c r="BP12"/>
      <c r="BQ12"/>
      <c r="BR12"/>
      <c r="BS12"/>
      <c r="BT12"/>
      <c r="BU12"/>
    </row>
    <row r="13" spans="6:73" ht="15.95" customHeight="1" x14ac:dyDescent="0.25">
      <c r="F13" s="145"/>
      <c r="G13" s="145"/>
      <c r="H13" s="145"/>
      <c r="I13" s="273"/>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5"/>
      <c r="AL13" s="145"/>
      <c r="AM13" s="145"/>
      <c r="AN13" s="145"/>
      <c r="AT13"/>
      <c r="AU13"/>
      <c r="AV13"/>
      <c r="AW13"/>
      <c r="AX13"/>
      <c r="AY13"/>
      <c r="AZ13"/>
      <c r="BA13"/>
      <c r="BB13"/>
      <c r="BC13"/>
      <c r="BD13"/>
      <c r="BE13"/>
      <c r="BF13"/>
      <c r="BG13"/>
      <c r="BH13"/>
      <c r="BI13"/>
      <c r="BJ13"/>
      <c r="BK13"/>
      <c r="BL13"/>
      <c r="BM13"/>
      <c r="BN13"/>
      <c r="BO13"/>
      <c r="BP13"/>
      <c r="BQ13"/>
      <c r="BR13"/>
      <c r="BS13"/>
      <c r="BT13"/>
      <c r="BU13"/>
    </row>
    <row r="14" spans="6:73" ht="15.95" customHeight="1" x14ac:dyDescent="0.25">
      <c r="I14" s="374"/>
      <c r="J14" s="379"/>
      <c r="K14" s="379"/>
      <c r="L14" s="379"/>
      <c r="M14" s="379"/>
      <c r="N14" s="379"/>
      <c r="O14" s="379"/>
      <c r="P14" s="379"/>
      <c r="Q14" s="379"/>
      <c r="R14" s="379"/>
      <c r="S14" s="379"/>
      <c r="T14" s="379"/>
      <c r="U14" s="379"/>
      <c r="V14" s="379"/>
      <c r="W14" s="379"/>
      <c r="X14" s="379"/>
      <c r="Y14" s="379"/>
      <c r="Z14" s="379"/>
      <c r="AA14" s="379"/>
      <c r="AB14" s="379"/>
      <c r="AC14" s="379"/>
      <c r="AD14" s="379"/>
      <c r="AE14" s="379"/>
      <c r="AF14" s="379"/>
      <c r="AG14" s="379"/>
      <c r="AH14" s="379"/>
      <c r="AI14" s="379"/>
      <c r="AJ14" s="379"/>
      <c r="AK14" s="375"/>
      <c r="AT14"/>
      <c r="AU14"/>
      <c r="AV14"/>
      <c r="AW14"/>
      <c r="AX14"/>
      <c r="AY14"/>
      <c r="AZ14"/>
      <c r="BA14"/>
      <c r="BB14"/>
      <c r="BC14"/>
      <c r="BD14"/>
      <c r="BE14"/>
      <c r="BF14"/>
      <c r="BG14"/>
      <c r="BH14"/>
      <c r="BI14"/>
      <c r="BJ14"/>
      <c r="BK14"/>
      <c r="BL14"/>
      <c r="BM14"/>
      <c r="BN14"/>
      <c r="BO14"/>
      <c r="BP14"/>
      <c r="BQ14"/>
      <c r="BR14"/>
      <c r="BS14"/>
      <c r="BT14"/>
      <c r="BU14"/>
    </row>
    <row r="15" spans="6:73" ht="15.95" customHeight="1" x14ac:dyDescent="0.25">
      <c r="I15" s="374"/>
      <c r="J15" s="379"/>
      <c r="K15" s="379"/>
      <c r="L15" s="379"/>
      <c r="M15" s="379"/>
      <c r="N15" s="379"/>
      <c r="O15" s="379"/>
      <c r="P15" s="379"/>
      <c r="Q15" s="379"/>
      <c r="R15" s="379"/>
      <c r="S15" s="379"/>
      <c r="T15" s="379"/>
      <c r="U15" s="379"/>
      <c r="V15" s="379"/>
      <c r="W15" s="379"/>
      <c r="X15" s="379"/>
      <c r="Y15" s="379"/>
      <c r="Z15" s="379"/>
      <c r="AA15" s="379"/>
      <c r="AB15" s="379"/>
      <c r="AC15" s="379"/>
      <c r="AD15" s="379"/>
      <c r="AE15" s="379"/>
      <c r="AF15" s="379"/>
      <c r="AG15" s="379"/>
      <c r="AH15" s="379"/>
      <c r="AI15" s="379"/>
      <c r="AJ15" s="379"/>
      <c r="AK15" s="375"/>
      <c r="AT15"/>
      <c r="AU15"/>
      <c r="AV15"/>
      <c r="AW15"/>
      <c r="AX15"/>
      <c r="AY15"/>
      <c r="AZ15"/>
      <c r="BA15"/>
      <c r="BB15"/>
      <c r="BC15"/>
      <c r="BD15"/>
      <c r="BE15"/>
      <c r="BF15"/>
      <c r="BG15"/>
      <c r="BH15"/>
      <c r="BI15"/>
      <c r="BJ15"/>
      <c r="BK15"/>
      <c r="BL15"/>
      <c r="BM15"/>
      <c r="BN15"/>
      <c r="BO15"/>
      <c r="BP15"/>
      <c r="BQ15"/>
      <c r="BR15"/>
      <c r="BS15"/>
      <c r="BT15"/>
      <c r="BU15"/>
    </row>
    <row r="16" spans="6:73" ht="15.95" customHeight="1" x14ac:dyDescent="0.25">
      <c r="I16" s="374"/>
      <c r="J16" s="379"/>
      <c r="K16" s="379"/>
      <c r="L16" s="379"/>
      <c r="M16" s="379"/>
      <c r="N16" s="379"/>
      <c r="O16" s="379"/>
      <c r="P16" s="379"/>
      <c r="Q16" s="379"/>
      <c r="R16" s="379"/>
      <c r="S16" s="379"/>
      <c r="T16" s="379"/>
      <c r="U16" s="379"/>
      <c r="V16" s="379"/>
      <c r="W16" s="379"/>
      <c r="X16" s="379"/>
      <c r="Y16" s="379"/>
      <c r="Z16" s="379"/>
      <c r="AA16" s="379"/>
      <c r="AB16" s="379"/>
      <c r="AC16" s="379"/>
      <c r="AD16" s="379"/>
      <c r="AE16" s="379"/>
      <c r="AF16" s="379"/>
      <c r="AG16" s="379"/>
      <c r="AH16" s="379"/>
      <c r="AI16" s="379"/>
      <c r="AJ16" s="379"/>
      <c r="AK16" s="375"/>
      <c r="AT16"/>
      <c r="AU16"/>
      <c r="AV16"/>
      <c r="AW16"/>
      <c r="AX16"/>
      <c r="AY16"/>
      <c r="AZ16"/>
      <c r="BA16"/>
      <c r="BB16"/>
      <c r="BC16"/>
      <c r="BD16"/>
      <c r="BE16"/>
      <c r="BF16"/>
      <c r="BG16"/>
      <c r="BH16"/>
      <c r="BI16"/>
      <c r="BJ16"/>
      <c r="BK16"/>
      <c r="BL16"/>
      <c r="BM16"/>
      <c r="BN16"/>
      <c r="BO16"/>
      <c r="BP16"/>
      <c r="BQ16"/>
      <c r="BR16"/>
      <c r="BS16"/>
      <c r="BT16"/>
      <c r="BU16"/>
    </row>
    <row r="17" spans="9:73" ht="15.95" customHeight="1" x14ac:dyDescent="0.25">
      <c r="I17" s="374"/>
      <c r="J17" s="379"/>
      <c r="K17" s="379"/>
      <c r="L17" s="379"/>
      <c r="M17" s="379"/>
      <c r="N17" s="379"/>
      <c r="O17" s="379"/>
      <c r="P17" s="379"/>
      <c r="Q17" s="379"/>
      <c r="R17" s="379"/>
      <c r="S17" s="379"/>
      <c r="T17" s="379"/>
      <c r="U17" s="379"/>
      <c r="V17" s="379"/>
      <c r="W17" s="379"/>
      <c r="X17" s="379"/>
      <c r="Y17" s="379"/>
      <c r="Z17" s="379"/>
      <c r="AA17" s="379"/>
      <c r="AB17" s="379"/>
      <c r="AC17" s="379"/>
      <c r="AD17" s="379"/>
      <c r="AE17" s="379"/>
      <c r="AF17" s="379"/>
      <c r="AG17" s="379"/>
      <c r="AH17" s="379"/>
      <c r="AI17" s="379"/>
      <c r="AJ17" s="379"/>
      <c r="AK17" s="375"/>
      <c r="AT17"/>
      <c r="AU17"/>
      <c r="AV17"/>
      <c r="AW17"/>
      <c r="AX17"/>
      <c r="AY17"/>
      <c r="AZ17"/>
      <c r="BA17"/>
      <c r="BB17"/>
      <c r="BC17"/>
      <c r="BD17"/>
      <c r="BE17"/>
      <c r="BF17"/>
      <c r="BG17"/>
      <c r="BH17"/>
      <c r="BI17"/>
      <c r="BJ17"/>
      <c r="BK17"/>
      <c r="BL17"/>
      <c r="BM17"/>
      <c r="BN17"/>
      <c r="BO17"/>
      <c r="BP17"/>
      <c r="BQ17"/>
      <c r="BR17"/>
      <c r="BS17"/>
      <c r="BT17"/>
      <c r="BU17"/>
    </row>
    <row r="18" spans="9:73" ht="15.95" customHeight="1" x14ac:dyDescent="0.25">
      <c r="I18" s="374"/>
      <c r="J18" s="379"/>
      <c r="K18" s="1460" t="s">
        <v>1890</v>
      </c>
      <c r="L18" s="1460"/>
      <c r="M18" s="1460"/>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379"/>
      <c r="AK18" s="375"/>
      <c r="AT18"/>
      <c r="AU18"/>
      <c r="AV18"/>
      <c r="AW18"/>
      <c r="AX18"/>
      <c r="AY18"/>
      <c r="AZ18"/>
      <c r="BA18"/>
      <c r="BB18"/>
      <c r="BC18"/>
      <c r="BD18"/>
      <c r="BE18"/>
      <c r="BF18"/>
      <c r="BG18"/>
      <c r="BH18"/>
      <c r="BI18"/>
      <c r="BJ18"/>
      <c r="BK18"/>
      <c r="BL18"/>
      <c r="BM18"/>
      <c r="BN18"/>
      <c r="BO18"/>
      <c r="BP18"/>
      <c r="BQ18"/>
      <c r="BR18"/>
      <c r="BS18"/>
      <c r="BT18"/>
      <c r="BU18"/>
    </row>
    <row r="19" spans="9:73" ht="15.95" customHeight="1" x14ac:dyDescent="0.25">
      <c r="I19" s="374"/>
      <c r="J19" s="379"/>
      <c r="K19" s="1460"/>
      <c r="L19" s="1460"/>
      <c r="M19" s="1460"/>
      <c r="N19" s="1460"/>
      <c r="O19" s="1460"/>
      <c r="P19" s="1460"/>
      <c r="Q19" s="1460"/>
      <c r="R19" s="1460"/>
      <c r="S19" s="1460"/>
      <c r="T19" s="1460"/>
      <c r="U19" s="1460"/>
      <c r="V19" s="1460"/>
      <c r="W19" s="1460"/>
      <c r="X19" s="1460"/>
      <c r="Y19" s="1460"/>
      <c r="Z19" s="1460"/>
      <c r="AA19" s="1460"/>
      <c r="AB19" s="1460"/>
      <c r="AC19" s="1460"/>
      <c r="AD19" s="1460"/>
      <c r="AE19" s="1460"/>
      <c r="AF19" s="1460"/>
      <c r="AG19" s="1460"/>
      <c r="AH19" s="1460"/>
      <c r="AI19" s="1460"/>
      <c r="AJ19" s="379"/>
      <c r="AK19" s="375"/>
      <c r="AT19"/>
      <c r="AU19"/>
      <c r="AV19"/>
      <c r="AW19"/>
      <c r="AX19"/>
      <c r="AY19"/>
      <c r="AZ19"/>
      <c r="BA19"/>
      <c r="BB19"/>
      <c r="BC19"/>
      <c r="BD19"/>
      <c r="BE19"/>
      <c r="BF19"/>
      <c r="BG19"/>
      <c r="BH19"/>
      <c r="BI19"/>
      <c r="BJ19"/>
      <c r="BK19"/>
      <c r="BL19"/>
      <c r="BM19"/>
      <c r="BN19"/>
      <c r="BO19"/>
      <c r="BP19"/>
      <c r="BQ19"/>
      <c r="BR19"/>
      <c r="BS19"/>
      <c r="BT19"/>
      <c r="BU19"/>
    </row>
    <row r="20" spans="9:73" ht="15.95" customHeight="1" x14ac:dyDescent="0.25">
      <c r="I20" s="374"/>
      <c r="J20" s="380"/>
      <c r="K20" s="1459">
        <f>M02S02F01</f>
        <v>0</v>
      </c>
      <c r="L20" s="1459"/>
      <c r="M20" s="1459"/>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380"/>
      <c r="AK20" s="375"/>
      <c r="AT20"/>
      <c r="AU20"/>
      <c r="AV20"/>
      <c r="AW20"/>
      <c r="AX20"/>
      <c r="AY20"/>
      <c r="AZ20"/>
      <c r="BA20"/>
      <c r="BB20"/>
      <c r="BC20"/>
      <c r="BD20"/>
      <c r="BE20"/>
      <c r="BF20"/>
      <c r="BG20"/>
      <c r="BH20"/>
      <c r="BI20"/>
      <c r="BJ20"/>
      <c r="BK20"/>
      <c r="BL20"/>
      <c r="BM20"/>
      <c r="BN20"/>
      <c r="BO20"/>
      <c r="BP20"/>
      <c r="BQ20"/>
      <c r="BR20"/>
      <c r="BS20"/>
      <c r="BT20"/>
      <c r="BU20"/>
    </row>
    <row r="21" spans="9:73" ht="15.95" customHeight="1" x14ac:dyDescent="0.25">
      <c r="I21" s="374"/>
      <c r="J21" s="380"/>
      <c r="K21" s="1459"/>
      <c r="L21" s="1459"/>
      <c r="M21" s="1459"/>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380"/>
      <c r="AK21" s="375"/>
      <c r="AT21"/>
      <c r="AU21"/>
      <c r="AV21"/>
      <c r="AW21"/>
      <c r="AX21"/>
      <c r="AY21"/>
      <c r="AZ21"/>
      <c r="BA21"/>
      <c r="BB21"/>
      <c r="BC21"/>
      <c r="BD21"/>
      <c r="BE21"/>
      <c r="BF21"/>
      <c r="BG21"/>
      <c r="BH21"/>
      <c r="BI21"/>
      <c r="BJ21"/>
      <c r="BK21"/>
      <c r="BL21"/>
      <c r="BM21"/>
      <c r="BN21"/>
      <c r="BO21"/>
      <c r="BP21"/>
      <c r="BQ21"/>
      <c r="BR21"/>
      <c r="BS21"/>
      <c r="BT21"/>
      <c r="BU21"/>
    </row>
    <row r="22" spans="9:73" ht="15.95" customHeight="1" x14ac:dyDescent="0.25">
      <c r="I22" s="374"/>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375"/>
      <c r="AT22"/>
      <c r="AU22"/>
      <c r="AV22"/>
      <c r="AW22"/>
      <c r="AX22"/>
      <c r="AY22"/>
      <c r="AZ22"/>
      <c r="BA22"/>
      <c r="BB22"/>
      <c r="BC22"/>
      <c r="BD22"/>
      <c r="BE22"/>
      <c r="BF22"/>
      <c r="BG22"/>
      <c r="BH22"/>
      <c r="BI22"/>
      <c r="BJ22"/>
      <c r="BK22"/>
      <c r="BL22"/>
      <c r="BM22"/>
      <c r="BN22"/>
      <c r="BO22"/>
      <c r="BP22"/>
      <c r="BQ22"/>
      <c r="BR22"/>
      <c r="BS22"/>
      <c r="BT22"/>
      <c r="BU22"/>
    </row>
    <row r="23" spans="9:73" ht="15.95" customHeight="1" x14ac:dyDescent="0.25">
      <c r="I23" s="374"/>
      <c r="J23" s="381"/>
      <c r="K23" s="1443" t="s">
        <v>123</v>
      </c>
      <c r="L23" s="1443"/>
      <c r="M23" s="1443"/>
      <c r="N23" s="1443"/>
      <c r="O23" s="1443"/>
      <c r="P23" s="1458" t="s">
        <v>1421</v>
      </c>
      <c r="Q23" s="1458"/>
      <c r="R23" s="1458"/>
      <c r="S23" s="1458"/>
      <c r="T23" s="1458"/>
      <c r="U23" s="1458"/>
      <c r="V23" s="1458"/>
      <c r="W23" s="1458" t="s">
        <v>255</v>
      </c>
      <c r="X23" s="1458"/>
      <c r="Y23" s="1458"/>
      <c r="Z23" s="1458"/>
      <c r="AA23" s="1458"/>
      <c r="AB23" s="1458"/>
      <c r="AC23" s="1458"/>
      <c r="AD23" s="1458" t="s">
        <v>1424</v>
      </c>
      <c r="AE23" s="1458"/>
      <c r="AF23" s="1458"/>
      <c r="AG23" s="1458"/>
      <c r="AH23" s="1458"/>
      <c r="AI23" s="1458"/>
      <c r="AJ23" s="1458"/>
      <c r="AK23" s="375"/>
      <c r="AT23"/>
      <c r="AU23"/>
      <c r="AV23"/>
      <c r="AW23"/>
      <c r="AX23"/>
      <c r="AY23"/>
      <c r="AZ23"/>
      <c r="BA23"/>
      <c r="BB23"/>
      <c r="BC23"/>
      <c r="BD23"/>
      <c r="BE23"/>
      <c r="BF23"/>
      <c r="BG23"/>
      <c r="BH23"/>
      <c r="BI23"/>
      <c r="BJ23"/>
      <c r="BK23"/>
      <c r="BL23"/>
      <c r="BM23"/>
      <c r="BN23"/>
      <c r="BO23"/>
      <c r="BP23"/>
      <c r="BQ23"/>
      <c r="BR23"/>
      <c r="BS23"/>
      <c r="BT23"/>
      <c r="BU23"/>
    </row>
    <row r="24" spans="9:73" ht="15.95" customHeight="1" x14ac:dyDescent="0.25">
      <c r="I24" s="374"/>
      <c r="J24" s="381"/>
      <c r="K24" s="1443"/>
      <c r="L24" s="1443"/>
      <c r="M24" s="1443"/>
      <c r="N24" s="1443"/>
      <c r="O24" s="1443"/>
      <c r="P24" s="1456">
        <f>PROJID</f>
        <v>0</v>
      </c>
      <c r="Q24" s="1456"/>
      <c r="R24" s="1456"/>
      <c r="S24" s="1456"/>
      <c r="T24" s="1456"/>
      <c r="U24" s="1456"/>
      <c r="V24" s="1456"/>
      <c r="W24" s="1455">
        <f>M02S02F01</f>
        <v>0</v>
      </c>
      <c r="X24" s="1455"/>
      <c r="Y24" s="1455"/>
      <c r="Z24" s="1455"/>
      <c r="AA24" s="1455"/>
      <c r="AB24" s="1455"/>
      <c r="AC24" s="1455"/>
      <c r="AD24" s="1455">
        <f>M02S02F34</f>
        <v>0</v>
      </c>
      <c r="AE24" s="1455"/>
      <c r="AF24" s="1455"/>
      <c r="AG24" s="1455"/>
      <c r="AH24" s="1455"/>
      <c r="AI24" s="1455"/>
      <c r="AJ24" s="1455"/>
      <c r="AK24" s="375"/>
      <c r="AT24"/>
      <c r="AU24"/>
      <c r="AV24"/>
      <c r="AW24"/>
      <c r="AX24"/>
      <c r="AY24"/>
      <c r="AZ24"/>
      <c r="BA24"/>
      <c r="BB24"/>
      <c r="BC24"/>
      <c r="BD24"/>
      <c r="BE24"/>
      <c r="BF24"/>
      <c r="BG24"/>
      <c r="BH24"/>
      <c r="BI24"/>
      <c r="BJ24"/>
      <c r="BK24"/>
      <c r="BL24"/>
      <c r="BM24"/>
      <c r="BN24"/>
      <c r="BO24"/>
      <c r="BP24"/>
      <c r="BQ24"/>
      <c r="BR24"/>
      <c r="BS24"/>
      <c r="BT24"/>
      <c r="BU24"/>
    </row>
    <row r="25" spans="9:73" ht="15.95" customHeight="1" x14ac:dyDescent="0.25">
      <c r="I25" s="374"/>
      <c r="J25" s="381"/>
      <c r="K25" s="1443"/>
      <c r="L25" s="1443"/>
      <c r="M25" s="1443"/>
      <c r="N25" s="1443"/>
      <c r="O25" s="1443"/>
      <c r="P25" s="1455"/>
      <c r="Q25" s="1455"/>
      <c r="R25" s="1455"/>
      <c r="S25" s="1455"/>
      <c r="T25" s="1455"/>
      <c r="U25" s="1455"/>
      <c r="V25" s="1455"/>
      <c r="W25" s="1455">
        <f>M02S02F08</f>
        <v>0</v>
      </c>
      <c r="X25" s="1455"/>
      <c r="Y25" s="1455"/>
      <c r="Z25" s="1455"/>
      <c r="AA25" s="1455"/>
      <c r="AB25" s="1455"/>
      <c r="AC25" s="1455"/>
      <c r="AD25" s="1455">
        <f>M02S02F22</f>
        <v>0</v>
      </c>
      <c r="AE25" s="1455"/>
      <c r="AF25" s="1455"/>
      <c r="AG25" s="1455"/>
      <c r="AH25" s="1455"/>
      <c r="AI25" s="1455"/>
      <c r="AJ25" s="1455"/>
      <c r="AK25" s="375"/>
      <c r="AT25"/>
      <c r="AU25"/>
      <c r="AV25"/>
      <c r="AW25"/>
      <c r="AX25"/>
      <c r="AY25"/>
      <c r="AZ25"/>
      <c r="BA25"/>
      <c r="BB25"/>
      <c r="BC25"/>
      <c r="BD25"/>
      <c r="BE25"/>
      <c r="BF25"/>
      <c r="BG25"/>
      <c r="BH25"/>
      <c r="BI25"/>
      <c r="BJ25"/>
      <c r="BK25"/>
      <c r="BL25"/>
      <c r="BM25"/>
      <c r="BN25"/>
      <c r="BO25"/>
      <c r="BP25"/>
      <c r="BQ25"/>
      <c r="BR25"/>
      <c r="BS25"/>
      <c r="BT25"/>
      <c r="BU25"/>
    </row>
    <row r="26" spans="9:73" ht="15.95" customHeight="1" x14ac:dyDescent="0.25">
      <c r="I26" s="374"/>
      <c r="J26" s="381"/>
      <c r="K26" s="1443"/>
      <c r="L26" s="1443"/>
      <c r="M26" s="1443"/>
      <c r="N26" s="1443"/>
      <c r="O26" s="1443"/>
      <c r="P26" s="1455"/>
      <c r="Q26" s="1455"/>
      <c r="R26" s="1455"/>
      <c r="S26" s="1455"/>
      <c r="T26" s="1455"/>
      <c r="U26" s="1455"/>
      <c r="V26" s="1455"/>
      <c r="W26" s="1455" t="str">
        <f>CONCATENATE(M02S02F09,", ",M02S02F10," ",M02S02F11)</f>
        <v xml:space="preserve">,  </v>
      </c>
      <c r="X26" s="1455"/>
      <c r="Y26" s="1455"/>
      <c r="Z26" s="1455"/>
      <c r="AA26" s="1455"/>
      <c r="AB26" s="1455"/>
      <c r="AC26" s="1455"/>
      <c r="AD26" s="1455" t="str">
        <f>CONCATENATE(M02S02F23,", ",M02S02F24," ",M02S02F25)</f>
        <v xml:space="preserve">, MO </v>
      </c>
      <c r="AE26" s="1455"/>
      <c r="AF26" s="1455"/>
      <c r="AG26" s="1455"/>
      <c r="AH26" s="1455"/>
      <c r="AI26" s="1455"/>
      <c r="AJ26" s="1455"/>
      <c r="AK26" s="375"/>
      <c r="AT26"/>
      <c r="AU26"/>
      <c r="AV26"/>
      <c r="AW26"/>
      <c r="AX26"/>
      <c r="AY26"/>
      <c r="AZ26"/>
      <c r="BA26"/>
      <c r="BB26"/>
      <c r="BC26"/>
      <c r="BD26"/>
      <c r="BE26"/>
      <c r="BF26"/>
      <c r="BG26"/>
      <c r="BH26"/>
      <c r="BI26"/>
      <c r="BJ26"/>
      <c r="BK26"/>
      <c r="BL26"/>
      <c r="BM26"/>
      <c r="BN26"/>
      <c r="BO26"/>
      <c r="BP26"/>
      <c r="BQ26"/>
      <c r="BR26"/>
      <c r="BS26"/>
      <c r="BT26"/>
      <c r="BU26"/>
    </row>
    <row r="27" spans="9:73" ht="15.95" customHeight="1" x14ac:dyDescent="0.25">
      <c r="I27" s="374"/>
      <c r="J27" s="381"/>
      <c r="K27" s="1443"/>
      <c r="L27" s="1443"/>
      <c r="M27" s="1443"/>
      <c r="N27" s="1443"/>
      <c r="O27" s="1443"/>
      <c r="P27" s="1455"/>
      <c r="Q27" s="1455"/>
      <c r="R27" s="1455"/>
      <c r="S27" s="1455"/>
      <c r="T27" s="1455"/>
      <c r="U27" s="1455"/>
      <c r="V27" s="1455"/>
      <c r="W27" s="1455"/>
      <c r="X27" s="1455"/>
      <c r="Y27" s="1455"/>
      <c r="Z27" s="1455"/>
      <c r="AA27" s="1455"/>
      <c r="AB27" s="1455"/>
      <c r="AC27" s="1455"/>
      <c r="AD27" s="1455"/>
      <c r="AE27" s="1455"/>
      <c r="AF27" s="1455"/>
      <c r="AG27" s="1455"/>
      <c r="AH27" s="1455"/>
      <c r="AI27" s="1455"/>
      <c r="AJ27" s="1455"/>
      <c r="AK27" s="375"/>
      <c r="AT27"/>
      <c r="AU27"/>
      <c r="AV27"/>
      <c r="AW27"/>
      <c r="AX27"/>
      <c r="AY27"/>
      <c r="AZ27"/>
      <c r="BA27"/>
      <c r="BB27"/>
      <c r="BC27"/>
      <c r="BD27"/>
      <c r="BE27"/>
      <c r="BF27"/>
      <c r="BG27"/>
      <c r="BH27"/>
      <c r="BI27"/>
      <c r="BJ27"/>
      <c r="BK27"/>
      <c r="BL27"/>
      <c r="BM27"/>
      <c r="BN27"/>
      <c r="BO27"/>
      <c r="BP27"/>
      <c r="BQ27"/>
      <c r="BR27"/>
      <c r="BS27"/>
      <c r="BT27"/>
      <c r="BU27"/>
    </row>
    <row r="28" spans="9:73" ht="15.95" customHeight="1" x14ac:dyDescent="0.25">
      <c r="I28" s="374"/>
      <c r="J28" s="381"/>
      <c r="K28" s="1443"/>
      <c r="L28" s="1443"/>
      <c r="M28" s="1443"/>
      <c r="N28" s="1443"/>
      <c r="O28" s="1443"/>
      <c r="P28" s="1458" t="s">
        <v>1422</v>
      </c>
      <c r="Q28" s="1458"/>
      <c r="R28" s="1458"/>
      <c r="S28" s="1458"/>
      <c r="T28" s="1458"/>
      <c r="U28" s="1458"/>
      <c r="V28" s="1458"/>
      <c r="W28" s="1458" t="s">
        <v>1423</v>
      </c>
      <c r="X28" s="1458"/>
      <c r="Y28" s="1458"/>
      <c r="Z28" s="1458"/>
      <c r="AA28" s="1458"/>
      <c r="AB28" s="1458"/>
      <c r="AC28" s="1458"/>
      <c r="AD28" s="1458"/>
      <c r="AE28" s="1458"/>
      <c r="AF28" s="1458"/>
      <c r="AG28" s="1458"/>
      <c r="AH28" s="1458"/>
      <c r="AI28" s="1458"/>
      <c r="AJ28" s="1458"/>
      <c r="AK28" s="375"/>
      <c r="AT28"/>
      <c r="AU28"/>
      <c r="AV28"/>
      <c r="AW28"/>
      <c r="AX28"/>
      <c r="AY28"/>
      <c r="AZ28"/>
      <c r="BA28"/>
      <c r="BB28"/>
      <c r="BC28"/>
      <c r="BD28"/>
      <c r="BE28"/>
      <c r="BF28"/>
      <c r="BG28"/>
      <c r="BH28"/>
      <c r="BI28"/>
      <c r="BJ28"/>
      <c r="BK28"/>
      <c r="BL28"/>
      <c r="BM28"/>
      <c r="BN28"/>
      <c r="BO28"/>
      <c r="BP28"/>
      <c r="BQ28"/>
      <c r="BR28"/>
      <c r="BS28"/>
      <c r="BT28"/>
      <c r="BU28"/>
    </row>
    <row r="29" spans="9:73" ht="15.95" customHeight="1" x14ac:dyDescent="0.25">
      <c r="I29" s="374"/>
      <c r="J29" s="381"/>
      <c r="K29" s="1443"/>
      <c r="L29" s="1443"/>
      <c r="M29" s="1443"/>
      <c r="N29" s="1443"/>
      <c r="O29" s="1443"/>
      <c r="P29" s="1455">
        <f>M02S02F13</f>
        <v>0</v>
      </c>
      <c r="Q29" s="1455"/>
      <c r="R29" s="1455"/>
      <c r="S29" s="1455"/>
      <c r="T29" s="1455"/>
      <c r="U29" s="1455"/>
      <c r="V29" s="1455"/>
      <c r="W29" s="1455" t="str">
        <f>CONCATENATE(M02S02F02," ",M02S02F03)</f>
        <v xml:space="preserve"> </v>
      </c>
      <c r="X29" s="1455"/>
      <c r="Y29" s="1455"/>
      <c r="Z29" s="1455"/>
      <c r="AA29" s="1455"/>
      <c r="AB29" s="1455"/>
      <c r="AC29" s="1455"/>
      <c r="AD29" s="1455"/>
      <c r="AE29" s="1455"/>
      <c r="AF29" s="1455"/>
      <c r="AG29" s="1455"/>
      <c r="AH29" s="1455"/>
      <c r="AI29" s="1455"/>
      <c r="AJ29" s="1455"/>
      <c r="AK29" s="375"/>
      <c r="AT29"/>
      <c r="AU29"/>
      <c r="AV29"/>
      <c r="AW29"/>
      <c r="AX29"/>
      <c r="AY29"/>
      <c r="AZ29"/>
      <c r="BA29"/>
      <c r="BB29"/>
      <c r="BC29"/>
      <c r="BD29"/>
      <c r="BE29"/>
      <c r="BF29"/>
      <c r="BG29"/>
      <c r="BH29"/>
      <c r="BI29"/>
      <c r="BJ29"/>
      <c r="BK29"/>
      <c r="BL29"/>
      <c r="BM29"/>
      <c r="BN29"/>
      <c r="BO29"/>
      <c r="BP29"/>
      <c r="BQ29"/>
      <c r="BR29"/>
      <c r="BS29"/>
      <c r="BT29"/>
      <c r="BU29"/>
    </row>
    <row r="30" spans="9:73" ht="15.95" customHeight="1" x14ac:dyDescent="0.25">
      <c r="I30" s="374"/>
      <c r="J30" s="381"/>
      <c r="K30" s="1443"/>
      <c r="L30" s="1443"/>
      <c r="M30" s="1443"/>
      <c r="N30" s="1443"/>
      <c r="O30" s="1443"/>
      <c r="P30" s="1455"/>
      <c r="Q30" s="1455"/>
      <c r="R30" s="1455"/>
      <c r="S30" s="1455"/>
      <c r="T30" s="1455"/>
      <c r="U30" s="1455"/>
      <c r="V30" s="1455"/>
      <c r="W30" s="1457">
        <f>M02S02F05</f>
        <v>0</v>
      </c>
      <c r="X30" s="1457"/>
      <c r="Y30" s="1457"/>
      <c r="Z30" s="1457"/>
      <c r="AA30" s="1457"/>
      <c r="AB30" s="1457"/>
      <c r="AC30" s="1457"/>
      <c r="AD30" s="1457"/>
      <c r="AE30" s="1457"/>
      <c r="AF30" s="1457"/>
      <c r="AG30" s="1457"/>
      <c r="AH30" s="1457"/>
      <c r="AI30" s="1457"/>
      <c r="AJ30" s="1457"/>
      <c r="AK30" s="375"/>
      <c r="AT30"/>
      <c r="AU30"/>
      <c r="AV30"/>
      <c r="AW30"/>
      <c r="AX30"/>
      <c r="AY30"/>
      <c r="AZ30"/>
      <c r="BA30"/>
      <c r="BB30"/>
      <c r="BC30"/>
      <c r="BD30"/>
      <c r="BE30"/>
      <c r="BF30"/>
      <c r="BG30"/>
      <c r="BH30"/>
      <c r="BI30"/>
      <c r="BJ30"/>
      <c r="BK30"/>
      <c r="BL30"/>
      <c r="BM30"/>
      <c r="BN30"/>
      <c r="BO30"/>
      <c r="BP30"/>
      <c r="BQ30"/>
      <c r="BR30"/>
      <c r="BS30"/>
      <c r="BT30"/>
      <c r="BU30"/>
    </row>
    <row r="31" spans="9:73" ht="15.95" customHeight="1" x14ac:dyDescent="0.25">
      <c r="I31" s="374"/>
      <c r="J31" s="381"/>
      <c r="K31" s="1443"/>
      <c r="L31" s="1443"/>
      <c r="M31" s="1443"/>
      <c r="N31" s="1443"/>
      <c r="O31" s="1443"/>
      <c r="P31" s="1455"/>
      <c r="Q31" s="1455"/>
      <c r="R31" s="1455"/>
      <c r="S31" s="1455"/>
      <c r="T31" s="1455"/>
      <c r="U31" s="1455"/>
      <c r="V31" s="1455"/>
      <c r="W31" s="1455">
        <f>M02S02F07</f>
        <v>0</v>
      </c>
      <c r="X31" s="1455"/>
      <c r="Y31" s="1455"/>
      <c r="Z31" s="1455"/>
      <c r="AA31" s="1455"/>
      <c r="AB31" s="1455"/>
      <c r="AC31" s="1455"/>
      <c r="AD31" s="1455"/>
      <c r="AE31" s="1455"/>
      <c r="AF31" s="1455"/>
      <c r="AG31" s="1455"/>
      <c r="AH31" s="1455"/>
      <c r="AI31" s="1455"/>
      <c r="AJ31" s="1455"/>
      <c r="AK31" s="375"/>
      <c r="AT31"/>
      <c r="AU31"/>
      <c r="AV31"/>
      <c r="AW31"/>
      <c r="AX31"/>
      <c r="AY31"/>
      <c r="AZ31"/>
      <c r="BA31"/>
      <c r="BB31"/>
      <c r="BC31"/>
      <c r="BD31"/>
      <c r="BE31"/>
      <c r="BF31"/>
      <c r="BG31"/>
      <c r="BH31"/>
      <c r="BI31"/>
      <c r="BJ31"/>
      <c r="BK31"/>
      <c r="BL31"/>
      <c r="BM31"/>
      <c r="BN31"/>
      <c r="BO31"/>
      <c r="BP31"/>
      <c r="BQ31"/>
      <c r="BR31"/>
      <c r="BS31"/>
      <c r="BT31"/>
      <c r="BU31"/>
    </row>
    <row r="32" spans="9:73" ht="15.95" customHeight="1" x14ac:dyDescent="0.25">
      <c r="I32" s="374"/>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375"/>
      <c r="AT32"/>
      <c r="AU32"/>
      <c r="AV32"/>
      <c r="AW32"/>
      <c r="AX32"/>
      <c r="AY32"/>
      <c r="AZ32"/>
      <c r="BA32"/>
      <c r="BB32"/>
      <c r="BC32"/>
      <c r="BD32"/>
      <c r="BE32"/>
      <c r="BF32"/>
      <c r="BG32"/>
      <c r="BH32"/>
      <c r="BI32"/>
      <c r="BJ32"/>
      <c r="BK32"/>
      <c r="BL32"/>
      <c r="BM32"/>
      <c r="BN32"/>
      <c r="BO32"/>
      <c r="BP32"/>
      <c r="BQ32"/>
      <c r="BR32"/>
      <c r="BS32"/>
      <c r="BT32"/>
      <c r="BU32"/>
    </row>
    <row r="33" spans="9:73" ht="15.95" customHeight="1" x14ac:dyDescent="0.25">
      <c r="I33" s="374"/>
      <c r="J33" s="382"/>
      <c r="K33" s="1463" t="s">
        <v>1444</v>
      </c>
      <c r="L33" s="1463"/>
      <c r="M33" s="1463"/>
      <c r="N33" s="1463"/>
      <c r="O33" s="1463"/>
      <c r="P33" s="1454" t="s">
        <v>132</v>
      </c>
      <c r="Q33" s="1454"/>
      <c r="R33" s="1454"/>
      <c r="S33" s="1454"/>
      <c r="T33" s="1454"/>
      <c r="U33" s="1454"/>
      <c r="V33" s="1454"/>
      <c r="W33" s="1454" t="s">
        <v>125</v>
      </c>
      <c r="X33" s="1454"/>
      <c r="Y33" s="1454"/>
      <c r="Z33" s="1454"/>
      <c r="AA33" s="1454"/>
      <c r="AB33" s="1454"/>
      <c r="AC33" s="1454"/>
      <c r="AD33" s="1454" t="s">
        <v>111</v>
      </c>
      <c r="AE33" s="1454"/>
      <c r="AF33" s="1454"/>
      <c r="AG33" s="1454"/>
      <c r="AH33" s="1454"/>
      <c r="AI33" s="1454"/>
      <c r="AJ33" s="1454"/>
      <c r="AK33" s="375"/>
      <c r="AT33"/>
      <c r="AU33"/>
      <c r="AV33"/>
      <c r="AW33"/>
      <c r="AX33"/>
      <c r="AY33"/>
      <c r="AZ33"/>
      <c r="BA33"/>
      <c r="BB33"/>
      <c r="BC33"/>
      <c r="BD33"/>
      <c r="BE33"/>
      <c r="BF33"/>
      <c r="BG33"/>
      <c r="BH33"/>
      <c r="BI33"/>
      <c r="BJ33"/>
      <c r="BK33"/>
      <c r="BL33"/>
      <c r="BM33"/>
      <c r="BN33"/>
      <c r="BO33"/>
      <c r="BP33"/>
      <c r="BQ33"/>
      <c r="BR33"/>
      <c r="BS33"/>
      <c r="BT33"/>
      <c r="BU33"/>
    </row>
    <row r="34" spans="9:73" ht="15.95" customHeight="1" x14ac:dyDescent="0.25">
      <c r="I34" s="374"/>
      <c r="J34" s="382"/>
      <c r="K34" s="1463"/>
      <c r="L34" s="1463"/>
      <c r="M34" s="1463"/>
      <c r="N34" s="1463"/>
      <c r="O34" s="1463"/>
      <c r="P34" s="1453">
        <f>M02S03F02</f>
        <v>0</v>
      </c>
      <c r="Q34" s="1453"/>
      <c r="R34" s="1453"/>
      <c r="S34" s="1453"/>
      <c r="T34" s="1453"/>
      <c r="U34" s="1453"/>
      <c r="V34" s="1453"/>
      <c r="W34" s="1453" t="str">
        <f>CONCATENATE(M02S03F03," ",M02S03F04)</f>
        <v xml:space="preserve"> </v>
      </c>
      <c r="X34" s="1453"/>
      <c r="Y34" s="1453"/>
      <c r="Z34" s="1453"/>
      <c r="AA34" s="1453"/>
      <c r="AB34" s="1453"/>
      <c r="AC34" s="1453"/>
      <c r="AD34" s="1453">
        <f>M02S03F09</f>
        <v>0</v>
      </c>
      <c r="AE34" s="1453"/>
      <c r="AF34" s="1453"/>
      <c r="AG34" s="1453"/>
      <c r="AH34" s="1453"/>
      <c r="AI34" s="1453"/>
      <c r="AJ34" s="1453"/>
      <c r="AK34" s="375"/>
      <c r="AT34"/>
      <c r="AU34"/>
      <c r="AV34"/>
      <c r="AW34"/>
      <c r="AX34"/>
      <c r="AY34"/>
      <c r="AZ34"/>
      <c r="BA34"/>
      <c r="BB34"/>
      <c r="BC34"/>
      <c r="BD34"/>
      <c r="BE34"/>
      <c r="BF34"/>
      <c r="BG34"/>
      <c r="BH34"/>
      <c r="BI34"/>
      <c r="BJ34"/>
      <c r="BK34"/>
      <c r="BL34"/>
      <c r="BM34"/>
      <c r="BN34"/>
      <c r="BO34"/>
      <c r="BP34"/>
      <c r="BQ34"/>
      <c r="BR34"/>
      <c r="BS34"/>
      <c r="BT34"/>
      <c r="BU34"/>
    </row>
    <row r="35" spans="9:73" ht="15.95" customHeight="1" x14ac:dyDescent="0.25">
      <c r="I35" s="374"/>
      <c r="J35" s="382"/>
      <c r="K35" s="1463"/>
      <c r="L35" s="1463"/>
      <c r="M35" s="1463"/>
      <c r="N35" s="1463"/>
      <c r="O35" s="1463"/>
      <c r="P35" s="1453"/>
      <c r="Q35" s="1453"/>
      <c r="R35" s="1453"/>
      <c r="S35" s="1453"/>
      <c r="T35" s="1453"/>
      <c r="U35" s="1453"/>
      <c r="V35" s="1453"/>
      <c r="W35" s="1452">
        <f>M02S03F06</f>
        <v>0</v>
      </c>
      <c r="X35" s="1452"/>
      <c r="Y35" s="1452"/>
      <c r="Z35" s="1452"/>
      <c r="AA35" s="1452"/>
      <c r="AB35" s="1452"/>
      <c r="AC35" s="1452"/>
      <c r="AD35" s="1453" t="str">
        <f>CONCATENATE(M02S03F10,", ",M02S03F11," ",M02S03F12)</f>
        <v xml:space="preserve">,  </v>
      </c>
      <c r="AE35" s="1453"/>
      <c r="AF35" s="1453"/>
      <c r="AG35" s="1453"/>
      <c r="AH35" s="1453"/>
      <c r="AI35" s="1453"/>
      <c r="AJ35" s="1453"/>
      <c r="AK35" s="375"/>
      <c r="AT35"/>
      <c r="AU35"/>
      <c r="AV35"/>
      <c r="AW35"/>
      <c r="AX35"/>
      <c r="AY35"/>
      <c r="AZ35"/>
      <c r="BA35"/>
      <c r="BB35"/>
      <c r="BC35"/>
      <c r="BD35"/>
      <c r="BE35"/>
      <c r="BF35"/>
      <c r="BG35"/>
      <c r="BH35"/>
      <c r="BI35"/>
      <c r="BJ35"/>
      <c r="BK35"/>
      <c r="BL35"/>
      <c r="BM35"/>
      <c r="BN35"/>
      <c r="BO35"/>
      <c r="BP35"/>
      <c r="BQ35"/>
      <c r="BR35"/>
      <c r="BS35"/>
      <c r="BT35"/>
      <c r="BU35"/>
    </row>
    <row r="36" spans="9:73" ht="15.95" customHeight="1" x14ac:dyDescent="0.25">
      <c r="I36" s="374"/>
      <c r="J36" s="382"/>
      <c r="K36" s="1463"/>
      <c r="L36" s="1463"/>
      <c r="M36" s="1463"/>
      <c r="N36" s="1463"/>
      <c r="O36" s="1463"/>
      <c r="P36" s="1453"/>
      <c r="Q36" s="1453"/>
      <c r="R36" s="1453"/>
      <c r="S36" s="1453"/>
      <c r="T36" s="1453"/>
      <c r="U36" s="1453"/>
      <c r="V36" s="1453"/>
      <c r="W36" s="1453">
        <f>M02S03F08</f>
        <v>0</v>
      </c>
      <c r="X36" s="1453"/>
      <c r="Y36" s="1453"/>
      <c r="Z36" s="1453"/>
      <c r="AA36" s="1453"/>
      <c r="AB36" s="1453"/>
      <c r="AC36" s="1453"/>
      <c r="AD36" s="1453"/>
      <c r="AE36" s="1453"/>
      <c r="AF36" s="1453"/>
      <c r="AG36" s="1453"/>
      <c r="AH36" s="1453"/>
      <c r="AI36" s="1453"/>
      <c r="AJ36" s="1453"/>
      <c r="AK36" s="375"/>
      <c r="AT36"/>
      <c r="AU36"/>
      <c r="AV36"/>
      <c r="AW36"/>
      <c r="AX36"/>
      <c r="AY36"/>
      <c r="AZ36"/>
      <c r="BA36"/>
      <c r="BB36"/>
      <c r="BC36"/>
      <c r="BD36"/>
      <c r="BE36"/>
      <c r="BF36"/>
      <c r="BG36"/>
      <c r="BH36"/>
      <c r="BI36"/>
      <c r="BJ36"/>
      <c r="BK36"/>
      <c r="BL36"/>
      <c r="BM36"/>
      <c r="BN36"/>
      <c r="BO36"/>
      <c r="BP36"/>
      <c r="BQ36"/>
      <c r="BR36"/>
      <c r="BS36"/>
      <c r="BT36"/>
      <c r="BU36"/>
    </row>
    <row r="37" spans="9:73" ht="15.95" customHeight="1" x14ac:dyDescent="0.25">
      <c r="I37" s="374"/>
      <c r="J37" s="382"/>
      <c r="K37" s="1463"/>
      <c r="L37" s="1463"/>
      <c r="M37" s="1463"/>
      <c r="N37" s="1463"/>
      <c r="O37" s="1463"/>
      <c r="P37" s="1453"/>
      <c r="Q37" s="1453"/>
      <c r="R37" s="1453"/>
      <c r="S37" s="1453"/>
      <c r="T37" s="1453"/>
      <c r="U37" s="1453"/>
      <c r="V37" s="1453"/>
      <c r="W37" s="1453"/>
      <c r="X37" s="1453"/>
      <c r="Y37" s="1453"/>
      <c r="Z37" s="1453"/>
      <c r="AA37" s="1453"/>
      <c r="AB37" s="1453"/>
      <c r="AC37" s="1453"/>
      <c r="AD37" s="1453"/>
      <c r="AE37" s="1453"/>
      <c r="AF37" s="1453"/>
      <c r="AG37" s="1453"/>
      <c r="AH37" s="1453"/>
      <c r="AI37" s="1453"/>
      <c r="AJ37" s="1453"/>
      <c r="AK37" s="375"/>
      <c r="AT37"/>
      <c r="AU37"/>
      <c r="AV37"/>
      <c r="AW37"/>
      <c r="AX37"/>
      <c r="AY37"/>
      <c r="AZ37"/>
      <c r="BA37"/>
      <c r="BB37"/>
      <c r="BC37"/>
      <c r="BD37"/>
      <c r="BE37"/>
      <c r="BF37"/>
      <c r="BG37"/>
      <c r="BH37"/>
      <c r="BI37"/>
      <c r="BJ37"/>
      <c r="BK37"/>
      <c r="BL37"/>
      <c r="BM37"/>
      <c r="BN37"/>
      <c r="BO37"/>
      <c r="BP37"/>
      <c r="BQ37"/>
      <c r="BR37"/>
      <c r="BS37"/>
      <c r="BT37"/>
      <c r="BU37"/>
    </row>
    <row r="38" spans="9:73" ht="15.95" customHeight="1" x14ac:dyDescent="0.25">
      <c r="I38" s="374"/>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375"/>
      <c r="AT38"/>
      <c r="AU38"/>
      <c r="AV38"/>
      <c r="AW38"/>
      <c r="AX38"/>
      <c r="AY38"/>
      <c r="AZ38"/>
      <c r="BA38"/>
      <c r="BB38"/>
      <c r="BC38"/>
      <c r="BD38"/>
      <c r="BE38"/>
      <c r="BF38"/>
      <c r="BG38"/>
      <c r="BH38"/>
      <c r="BI38"/>
      <c r="BJ38"/>
      <c r="BK38"/>
      <c r="BL38"/>
      <c r="BM38"/>
      <c r="BN38"/>
      <c r="BO38"/>
      <c r="BP38"/>
      <c r="BQ38"/>
      <c r="BR38"/>
      <c r="BS38"/>
      <c r="BT38"/>
      <c r="BU38"/>
    </row>
    <row r="39" spans="9:73" ht="15.95" customHeight="1" x14ac:dyDescent="0.25">
      <c r="I39" s="374"/>
      <c r="J39" s="383"/>
      <c r="K39" s="1443" t="s">
        <v>1426</v>
      </c>
      <c r="L39" s="1443"/>
      <c r="M39" s="1443"/>
      <c r="N39" s="1443"/>
      <c r="O39" s="1443"/>
      <c r="P39" s="1443"/>
      <c r="Q39" s="1443"/>
      <c r="R39" s="1443"/>
      <c r="S39" s="1443"/>
      <c r="T39" s="1443"/>
      <c r="U39" s="1443"/>
      <c r="V39" s="1443"/>
      <c r="W39" s="1443"/>
      <c r="X39" s="1443"/>
      <c r="Y39" s="1443"/>
      <c r="Z39" s="1443"/>
      <c r="AA39" s="1443"/>
      <c r="AB39" s="1443"/>
      <c r="AC39" s="1443"/>
      <c r="AD39" s="1443"/>
      <c r="AE39" s="1443"/>
      <c r="AF39" s="1443"/>
      <c r="AG39" s="1443"/>
      <c r="AH39" s="1443"/>
      <c r="AI39" s="1443"/>
      <c r="AJ39" s="1443"/>
      <c r="AK39" s="375"/>
      <c r="AT39"/>
      <c r="AU39"/>
      <c r="AV39"/>
      <c r="AW39"/>
      <c r="AX39"/>
      <c r="AY39"/>
      <c r="AZ39"/>
      <c r="BA39"/>
      <c r="BB39"/>
      <c r="BC39"/>
      <c r="BD39"/>
      <c r="BE39"/>
      <c r="BF39"/>
      <c r="BG39"/>
      <c r="BH39"/>
      <c r="BI39"/>
      <c r="BJ39"/>
      <c r="BK39"/>
      <c r="BL39"/>
      <c r="BM39"/>
      <c r="BN39"/>
      <c r="BO39"/>
      <c r="BP39"/>
      <c r="BQ39"/>
      <c r="BR39"/>
      <c r="BS39"/>
      <c r="BT39"/>
      <c r="BU39"/>
    </row>
    <row r="40" spans="9:73" ht="15.95" customHeight="1" x14ac:dyDescent="0.25">
      <c r="I40" s="374"/>
      <c r="J40" s="383"/>
      <c r="K40" s="1443"/>
      <c r="L40" s="1443"/>
      <c r="M40" s="1443"/>
      <c r="N40" s="1443"/>
      <c r="O40" s="1443"/>
      <c r="P40" s="1443"/>
      <c r="Q40" s="1443"/>
      <c r="R40" s="1443"/>
      <c r="S40" s="1443"/>
      <c r="T40" s="1443"/>
      <c r="U40" s="1443"/>
      <c r="V40" s="1443"/>
      <c r="W40" s="1443"/>
      <c r="X40" s="1443"/>
      <c r="Y40" s="1443"/>
      <c r="Z40" s="1443"/>
      <c r="AA40" s="1443"/>
      <c r="AB40" s="1443"/>
      <c r="AC40" s="1443"/>
      <c r="AD40" s="1443"/>
      <c r="AE40" s="1443"/>
      <c r="AF40" s="1443"/>
      <c r="AG40" s="1443"/>
      <c r="AH40" s="1443"/>
      <c r="AI40" s="1443"/>
      <c r="AJ40" s="1443"/>
      <c r="AK40" s="375"/>
      <c r="AT40"/>
      <c r="AU40"/>
      <c r="AV40"/>
      <c r="AW40"/>
      <c r="AX40"/>
      <c r="AY40"/>
      <c r="AZ40"/>
      <c r="BA40"/>
      <c r="BB40"/>
      <c r="BC40"/>
      <c r="BD40"/>
      <c r="BE40"/>
      <c r="BF40"/>
      <c r="BG40"/>
      <c r="BH40"/>
      <c r="BI40"/>
      <c r="BJ40"/>
      <c r="BK40"/>
      <c r="BL40"/>
      <c r="BM40"/>
      <c r="BN40"/>
      <c r="BO40"/>
      <c r="BP40"/>
      <c r="BQ40"/>
      <c r="BR40"/>
      <c r="BS40"/>
      <c r="BT40"/>
      <c r="BU40"/>
    </row>
    <row r="41" spans="9:73" ht="15.95" customHeight="1" x14ac:dyDescent="0.25">
      <c r="I41" s="374"/>
      <c r="J41" s="383"/>
      <c r="K41" s="1445" t="s">
        <v>1428</v>
      </c>
      <c r="L41" s="1445"/>
      <c r="M41" s="1445"/>
      <c r="N41" s="1445"/>
      <c r="O41" s="1445"/>
      <c r="P41" s="1445" t="s">
        <v>1445</v>
      </c>
      <c r="Q41" s="1445"/>
      <c r="R41" s="1445"/>
      <c r="S41" s="1445"/>
      <c r="T41" s="1445"/>
      <c r="U41" s="1445"/>
      <c r="V41" s="1445"/>
      <c r="W41" s="1445" t="s">
        <v>1430</v>
      </c>
      <c r="X41" s="1445"/>
      <c r="Y41" s="1445"/>
      <c r="Z41" s="1445"/>
      <c r="AA41" s="1445"/>
      <c r="AB41" s="1445"/>
      <c r="AC41" s="1445"/>
      <c r="AD41" s="1440" t="s">
        <v>122</v>
      </c>
      <c r="AE41" s="1440"/>
      <c r="AF41" s="1440"/>
      <c r="AG41" s="1440"/>
      <c r="AH41" s="1440"/>
      <c r="AI41" s="1440"/>
      <c r="AJ41" s="384"/>
      <c r="AK41" s="375"/>
      <c r="AT41"/>
      <c r="AU41"/>
      <c r="AV41"/>
      <c r="AW41"/>
      <c r="AX41"/>
      <c r="AY41"/>
      <c r="AZ41"/>
      <c r="BA41"/>
      <c r="BB41"/>
      <c r="BC41"/>
      <c r="BD41"/>
      <c r="BE41"/>
      <c r="BF41"/>
      <c r="BG41"/>
      <c r="BH41"/>
      <c r="BI41"/>
      <c r="BJ41"/>
      <c r="BK41"/>
      <c r="BL41"/>
      <c r="BM41"/>
      <c r="BN41"/>
      <c r="BO41"/>
      <c r="BP41"/>
      <c r="BQ41"/>
      <c r="BR41"/>
      <c r="BS41"/>
      <c r="BT41"/>
      <c r="BU41"/>
    </row>
    <row r="42" spans="9:73" ht="15.95" hidden="1" customHeight="1" x14ac:dyDescent="0.25">
      <c r="I42" s="374"/>
      <c r="J42" s="383"/>
      <c r="K42" s="1446" t="s">
        <v>1876</v>
      </c>
      <c r="L42" s="1446"/>
      <c r="M42" s="1446"/>
      <c r="N42" s="1446"/>
      <c r="O42" s="1446"/>
      <c r="P42" s="1449">
        <f>'M05-S07'!AN45</f>
        <v>0</v>
      </c>
      <c r="Q42" s="1449"/>
      <c r="R42" s="1449"/>
      <c r="S42" s="1449"/>
      <c r="T42" s="1449"/>
      <c r="U42" s="1449"/>
      <c r="V42" s="1449"/>
      <c r="W42" s="1439">
        <f>M03S01F04</f>
        <v>0</v>
      </c>
      <c r="X42" s="1439"/>
      <c r="Y42" s="1439"/>
      <c r="Z42" s="1439"/>
      <c r="AA42" s="1439"/>
      <c r="AB42" s="1439"/>
      <c r="AC42" s="1439"/>
      <c r="AD42" s="1439" t="str">
        <f>M03S01F17</f>
        <v/>
      </c>
      <c r="AE42" s="1439"/>
      <c r="AF42" s="1439"/>
      <c r="AG42" s="1439"/>
      <c r="AH42" s="1439"/>
      <c r="AI42" s="1439"/>
      <c r="AJ42" s="384"/>
      <c r="AK42" s="375"/>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row>
    <row r="43" spans="9:73" ht="15.95" hidden="1" customHeight="1" x14ac:dyDescent="0.25">
      <c r="I43" s="374"/>
      <c r="J43" s="383"/>
      <c r="K43" s="1446" t="s">
        <v>1454</v>
      </c>
      <c r="L43" s="1446"/>
      <c r="M43" s="1446"/>
      <c r="N43" s="1446"/>
      <c r="O43" s="1446"/>
      <c r="P43" s="1449">
        <f>'M03-S02'!$Z$12</f>
        <v>0</v>
      </c>
      <c r="Q43" s="1449"/>
      <c r="R43" s="1449"/>
      <c r="S43" s="1449"/>
      <c r="T43" s="1449"/>
      <c r="U43" s="1449"/>
      <c r="V43" s="1449"/>
      <c r="W43" s="1439">
        <f>'M03-S02'!$V$12</f>
        <v>0</v>
      </c>
      <c r="X43" s="1439"/>
      <c r="Y43" s="1439"/>
      <c r="Z43" s="1439"/>
      <c r="AA43" s="1439"/>
      <c r="AB43" s="1439"/>
      <c r="AC43" s="1439"/>
      <c r="AD43" s="1439">
        <f>'M03-S02'!$R$12</f>
        <v>0</v>
      </c>
      <c r="AE43" s="1439"/>
      <c r="AF43" s="1439"/>
      <c r="AG43" s="1439"/>
      <c r="AH43" s="1439"/>
      <c r="AI43" s="1439"/>
      <c r="AJ43" s="384"/>
      <c r="AK43" s="375"/>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row>
    <row r="44" spans="9:73" ht="15.95" hidden="1" customHeight="1" x14ac:dyDescent="0.25">
      <c r="I44" s="374"/>
      <c r="J44" s="383"/>
      <c r="K44" s="1446" t="s">
        <v>1455</v>
      </c>
      <c r="L44" s="1446"/>
      <c r="M44" s="1446"/>
      <c r="N44" s="1446"/>
      <c r="O44" s="1446"/>
      <c r="P44" s="1449">
        <f>SUM(EXPORT!M10:M20)</f>
        <v>0</v>
      </c>
      <c r="Q44" s="1449"/>
      <c r="R44" s="1449"/>
      <c r="S44" s="1449"/>
      <c r="T44" s="1449"/>
      <c r="U44" s="1449"/>
      <c r="V44" s="1449"/>
      <c r="W44" s="1439">
        <f>COSTTOTALPRESE</f>
        <v>0</v>
      </c>
      <c r="X44" s="1439"/>
      <c r="Y44" s="1439"/>
      <c r="Z44" s="1439"/>
      <c r="AA44" s="1439"/>
      <c r="AB44" s="1439"/>
      <c r="AC44" s="1439"/>
      <c r="AD44" s="1439">
        <f>INCENTOTALPRESE</f>
        <v>0</v>
      </c>
      <c r="AE44" s="1439"/>
      <c r="AF44" s="1439"/>
      <c r="AG44" s="1439"/>
      <c r="AH44" s="1439"/>
      <c r="AI44" s="1439"/>
      <c r="AJ44" s="385"/>
      <c r="AK44" s="375"/>
      <c r="AT44"/>
      <c r="AU44"/>
      <c r="AV44"/>
      <c r="AW44"/>
      <c r="AX44"/>
      <c r="AY44"/>
      <c r="AZ44"/>
      <c r="BA44"/>
      <c r="BB44"/>
      <c r="BC44"/>
      <c r="BD44"/>
      <c r="BE44"/>
      <c r="BF44"/>
      <c r="BG44"/>
      <c r="BH44"/>
      <c r="BI44"/>
      <c r="BJ44"/>
      <c r="BK44"/>
      <c r="BL44"/>
      <c r="BM44"/>
      <c r="BN44"/>
      <c r="BO44"/>
      <c r="BP44"/>
      <c r="BQ44"/>
      <c r="BR44"/>
      <c r="BS44"/>
      <c r="BT44"/>
      <c r="BU44"/>
    </row>
    <row r="45" spans="9:73" ht="15.95" customHeight="1" x14ac:dyDescent="0.25">
      <c r="I45" s="374"/>
      <c r="J45" s="383"/>
      <c r="K45" s="1447" t="s">
        <v>1877</v>
      </c>
      <c r="L45" s="1447"/>
      <c r="M45" s="1447"/>
      <c r="N45" s="1447"/>
      <c r="O45" s="1447"/>
      <c r="P45" s="1450">
        <f>SUM(EXPORT!M63:M178)</f>
        <v>0</v>
      </c>
      <c r="Q45" s="1450"/>
      <c r="R45" s="1450"/>
      <c r="S45" s="1450"/>
      <c r="T45" s="1450"/>
      <c r="U45" s="1450"/>
      <c r="V45" s="1450"/>
      <c r="W45" s="1441">
        <f>COSTTOTALALLCUSE</f>
        <v>0</v>
      </c>
      <c r="X45" s="1441"/>
      <c r="Y45" s="1441"/>
      <c r="Z45" s="1441"/>
      <c r="AA45" s="1441"/>
      <c r="AB45" s="1441"/>
      <c r="AC45" s="1441"/>
      <c r="AD45" s="1441">
        <f>INCENTOTALCUSE</f>
        <v>0</v>
      </c>
      <c r="AE45" s="1441"/>
      <c r="AF45" s="1441"/>
      <c r="AG45" s="1441"/>
      <c r="AH45" s="1441"/>
      <c r="AI45" s="1441"/>
      <c r="AJ45" s="385"/>
      <c r="AK45" s="375"/>
      <c r="AT45"/>
      <c r="AU45"/>
      <c r="AV45"/>
      <c r="AW45"/>
      <c r="AX45"/>
      <c r="AY45"/>
      <c r="AZ45"/>
      <c r="BA45"/>
      <c r="BB45"/>
      <c r="BC45"/>
      <c r="BD45"/>
      <c r="BE45"/>
      <c r="BF45"/>
      <c r="BG45"/>
      <c r="BH45"/>
      <c r="BI45"/>
      <c r="BJ45"/>
      <c r="BK45"/>
      <c r="BL45"/>
      <c r="BM45"/>
      <c r="BN45"/>
      <c r="BO45"/>
      <c r="BP45"/>
      <c r="BQ45"/>
      <c r="BR45"/>
      <c r="BS45"/>
      <c r="BT45"/>
      <c r="BU45"/>
    </row>
    <row r="46" spans="9:73" ht="15.95" customHeight="1" x14ac:dyDescent="0.25">
      <c r="I46" s="374"/>
      <c r="J46" s="383"/>
      <c r="K46" s="1448"/>
      <c r="L46" s="1448"/>
      <c r="M46" s="1448"/>
      <c r="N46" s="1448"/>
      <c r="O46" s="1448"/>
      <c r="P46" s="1451"/>
      <c r="Q46" s="1451"/>
      <c r="R46" s="1451"/>
      <c r="S46" s="1451"/>
      <c r="T46" s="1451"/>
      <c r="U46" s="1451"/>
      <c r="V46" s="1451"/>
      <c r="W46" s="1442"/>
      <c r="X46" s="1442"/>
      <c r="Y46" s="1442"/>
      <c r="Z46" s="1442"/>
      <c r="AA46" s="1442"/>
      <c r="AB46" s="1442"/>
      <c r="AC46" s="1442"/>
      <c r="AD46" s="1442"/>
      <c r="AE46" s="1442"/>
      <c r="AF46" s="1442"/>
      <c r="AG46" s="1442"/>
      <c r="AH46" s="1442"/>
      <c r="AI46" s="1442"/>
      <c r="AJ46" s="386"/>
      <c r="AK46" s="375"/>
      <c r="AT46"/>
      <c r="AU46"/>
      <c r="AV46"/>
      <c r="AW46"/>
      <c r="AX46"/>
      <c r="AY46"/>
      <c r="AZ46"/>
      <c r="BA46"/>
      <c r="BB46"/>
      <c r="BC46"/>
      <c r="BD46"/>
      <c r="BE46"/>
      <c r="BF46"/>
      <c r="BG46"/>
      <c r="BH46"/>
      <c r="BI46"/>
      <c r="BJ46"/>
      <c r="BK46"/>
      <c r="BL46"/>
      <c r="BM46"/>
      <c r="BN46"/>
      <c r="BO46"/>
      <c r="BP46"/>
      <c r="BQ46"/>
      <c r="BR46"/>
      <c r="BS46"/>
      <c r="BT46"/>
      <c r="BU46"/>
    </row>
    <row r="47" spans="9:73" ht="15.95" customHeight="1" x14ac:dyDescent="0.25">
      <c r="I47" s="374"/>
      <c r="J47" s="383"/>
      <c r="K47" s="386"/>
      <c r="L47" s="386"/>
      <c r="M47" s="386"/>
      <c r="N47" s="386"/>
      <c r="O47" s="386"/>
      <c r="P47" s="386"/>
      <c r="Q47" s="386"/>
      <c r="R47" s="386"/>
      <c r="S47" s="386"/>
      <c r="T47" s="386"/>
      <c r="U47" s="386"/>
      <c r="V47" s="386"/>
      <c r="W47" s="386"/>
      <c r="X47" s="386"/>
      <c r="Y47" s="386"/>
      <c r="Z47" s="386"/>
      <c r="AA47" s="386"/>
      <c r="AB47" s="386"/>
      <c r="AC47" s="386"/>
      <c r="AD47" s="386"/>
      <c r="AE47" s="386"/>
      <c r="AF47" s="386"/>
      <c r="AG47" s="386"/>
      <c r="AH47" s="386"/>
      <c r="AI47" s="386"/>
      <c r="AJ47" s="386"/>
      <c r="AK47" s="375"/>
      <c r="AT47"/>
      <c r="AU47"/>
      <c r="AV47"/>
      <c r="AW47"/>
      <c r="AX47"/>
      <c r="AY47"/>
      <c r="AZ47"/>
      <c r="BA47"/>
      <c r="BB47"/>
      <c r="BC47"/>
      <c r="BD47"/>
      <c r="BE47"/>
      <c r="BF47"/>
      <c r="BG47"/>
      <c r="BH47"/>
      <c r="BI47"/>
      <c r="BJ47"/>
      <c r="BK47"/>
      <c r="BL47"/>
      <c r="BM47"/>
      <c r="BN47"/>
      <c r="BO47"/>
      <c r="BP47"/>
      <c r="BQ47"/>
      <c r="BR47"/>
      <c r="BS47"/>
      <c r="BT47"/>
      <c r="BU47"/>
    </row>
    <row r="48" spans="9:73" ht="15.95" customHeight="1" x14ac:dyDescent="0.25">
      <c r="I48" s="374"/>
      <c r="AK48" s="375"/>
      <c r="AT48"/>
      <c r="AU48"/>
      <c r="AV48"/>
      <c r="AW48"/>
      <c r="AX48"/>
      <c r="AY48"/>
      <c r="AZ48"/>
      <c r="BA48"/>
      <c r="BB48"/>
      <c r="BC48"/>
      <c r="BD48"/>
      <c r="BE48"/>
      <c r="BF48"/>
      <c r="BG48"/>
      <c r="BH48"/>
      <c r="BI48"/>
      <c r="BJ48"/>
      <c r="BK48"/>
      <c r="BL48"/>
      <c r="BM48"/>
      <c r="BN48"/>
      <c r="BO48"/>
      <c r="BP48"/>
      <c r="BQ48"/>
      <c r="BR48"/>
      <c r="BS48"/>
      <c r="BT48"/>
      <c r="BU48"/>
    </row>
    <row r="49" spans="9:73" ht="15.95" customHeight="1" x14ac:dyDescent="0.25">
      <c r="I49" s="374"/>
      <c r="J49" s="382"/>
      <c r="K49" s="1444" t="s">
        <v>1446</v>
      </c>
      <c r="L49" s="1444"/>
      <c r="M49" s="1444"/>
      <c r="N49" s="1444"/>
      <c r="O49" s="1444"/>
      <c r="P49" s="1444"/>
      <c r="Q49" s="1444"/>
      <c r="R49" s="1444"/>
      <c r="S49" s="1444"/>
      <c r="T49" s="1444"/>
      <c r="U49" s="1444"/>
      <c r="V49" s="1444"/>
      <c r="W49" s="1444"/>
      <c r="X49" s="1444"/>
      <c r="Y49" s="1444"/>
      <c r="Z49" s="1444"/>
      <c r="AA49" s="1444"/>
      <c r="AB49" s="1444"/>
      <c r="AC49" s="1444"/>
      <c r="AD49" s="1444"/>
      <c r="AE49" s="1444"/>
      <c r="AF49" s="1444"/>
      <c r="AG49" s="1444"/>
      <c r="AH49" s="1444"/>
      <c r="AI49" s="1444"/>
      <c r="AJ49" s="1444"/>
      <c r="AK49" s="375"/>
      <c r="AT49"/>
      <c r="AU49"/>
      <c r="AV49"/>
      <c r="AW49"/>
      <c r="AX49"/>
      <c r="AY49"/>
      <c r="AZ49"/>
      <c r="BA49"/>
      <c r="BB49"/>
      <c r="BC49"/>
      <c r="BD49"/>
      <c r="BE49"/>
      <c r="BF49"/>
      <c r="BG49"/>
      <c r="BH49"/>
      <c r="BI49"/>
      <c r="BJ49"/>
      <c r="BK49"/>
      <c r="BL49"/>
      <c r="BM49"/>
      <c r="BN49"/>
      <c r="BO49"/>
      <c r="BP49"/>
      <c r="BQ49"/>
      <c r="BR49"/>
      <c r="BS49"/>
      <c r="BT49"/>
      <c r="BU49"/>
    </row>
    <row r="50" spans="9:73" ht="15.95" customHeight="1" x14ac:dyDescent="0.25">
      <c r="I50" s="374"/>
      <c r="J50" s="382"/>
      <c r="K50" s="1444"/>
      <c r="L50" s="1444"/>
      <c r="M50" s="1444"/>
      <c r="N50" s="1444"/>
      <c r="O50" s="1444"/>
      <c r="P50" s="1444"/>
      <c r="Q50" s="1444"/>
      <c r="R50" s="1444"/>
      <c r="S50" s="1444"/>
      <c r="T50" s="1444"/>
      <c r="U50" s="1444"/>
      <c r="V50" s="1444"/>
      <c r="W50" s="1444"/>
      <c r="X50" s="1444"/>
      <c r="Y50" s="1444"/>
      <c r="Z50" s="1444"/>
      <c r="AA50" s="1444"/>
      <c r="AB50" s="1444"/>
      <c r="AC50" s="1444"/>
      <c r="AD50" s="1444"/>
      <c r="AE50" s="1444"/>
      <c r="AF50" s="1444"/>
      <c r="AG50" s="1444"/>
      <c r="AH50" s="1444"/>
      <c r="AI50" s="1444"/>
      <c r="AJ50" s="1444"/>
      <c r="AK50" s="375"/>
      <c r="AT50"/>
      <c r="AU50"/>
      <c r="AV50"/>
      <c r="AW50"/>
      <c r="AX50"/>
      <c r="AY50"/>
      <c r="AZ50"/>
      <c r="BA50"/>
      <c r="BB50"/>
      <c r="BC50"/>
      <c r="BD50"/>
      <c r="BE50"/>
      <c r="BF50"/>
      <c r="BG50"/>
      <c r="BH50"/>
      <c r="BI50"/>
      <c r="BJ50"/>
      <c r="BK50"/>
      <c r="BL50"/>
      <c r="BM50"/>
      <c r="BN50"/>
      <c r="BO50"/>
      <c r="BP50"/>
      <c r="BQ50"/>
      <c r="BR50"/>
      <c r="BS50"/>
      <c r="BT50"/>
      <c r="BU50"/>
    </row>
    <row r="51" spans="9:73" ht="15.95" customHeight="1" x14ac:dyDescent="0.25">
      <c r="I51" s="374"/>
      <c r="J51" s="382"/>
      <c r="K51" s="382"/>
      <c r="L51" s="387" t="s">
        <v>1427</v>
      </c>
      <c r="M51" s="388"/>
      <c r="N51" s="388"/>
      <c r="O51" s="388"/>
      <c r="P51" s="388"/>
      <c r="Q51" s="388"/>
      <c r="R51" s="388"/>
      <c r="S51" s="388"/>
      <c r="T51" s="388"/>
      <c r="U51" s="388"/>
      <c r="V51" s="387" t="s">
        <v>120</v>
      </c>
      <c r="W51" s="388"/>
      <c r="X51" s="388"/>
      <c r="Y51" s="388"/>
      <c r="Z51" s="388"/>
      <c r="AA51" s="388"/>
      <c r="AB51" s="388"/>
      <c r="AC51" s="388"/>
      <c r="AD51" s="388"/>
      <c r="AE51" s="387" t="s">
        <v>135</v>
      </c>
      <c r="AF51" s="388"/>
      <c r="AG51" s="388"/>
      <c r="AH51" s="388"/>
      <c r="AI51" s="388"/>
      <c r="AJ51" s="388"/>
      <c r="AK51" s="375"/>
      <c r="AT51"/>
      <c r="AU51"/>
      <c r="AV51"/>
      <c r="AW51"/>
      <c r="AX51"/>
      <c r="AY51"/>
      <c r="AZ51"/>
      <c r="BA51"/>
      <c r="BB51"/>
      <c r="BC51"/>
      <c r="BD51"/>
      <c r="BE51"/>
      <c r="BF51"/>
      <c r="BG51"/>
      <c r="BH51"/>
      <c r="BI51"/>
      <c r="BJ51"/>
      <c r="BK51"/>
      <c r="BL51"/>
      <c r="BM51"/>
      <c r="BN51"/>
      <c r="BO51"/>
      <c r="BP51"/>
      <c r="BQ51"/>
      <c r="BR51"/>
      <c r="BS51"/>
      <c r="BT51"/>
      <c r="BU51"/>
    </row>
    <row r="52" spans="9:73" ht="15.95" customHeight="1" x14ac:dyDescent="0.25">
      <c r="I52" s="374"/>
      <c r="J52" s="1469" t="str">
        <f ca="1">IF(CELL("protect",L52)=1,"eSignature Signed","")</f>
        <v/>
      </c>
      <c r="K52" s="1469"/>
      <c r="L52" s="1470"/>
      <c r="M52" s="1470"/>
      <c r="N52" s="1470"/>
      <c r="O52" s="1470"/>
      <c r="P52" s="1470"/>
      <c r="Q52" s="1470"/>
      <c r="R52" s="1470"/>
      <c r="S52" s="1470"/>
      <c r="T52" s="1470"/>
      <c r="U52" s="1470"/>
      <c r="V52" s="1471" t="str">
        <f>IF(L52="","",L52)</f>
        <v/>
      </c>
      <c r="W52" s="1471"/>
      <c r="X52" s="1471"/>
      <c r="Y52" s="1471"/>
      <c r="Z52" s="1471"/>
      <c r="AA52" s="1471"/>
      <c r="AB52" s="1471"/>
      <c r="AC52" s="1471"/>
      <c r="AD52" s="1471"/>
      <c r="AE52" s="1468"/>
      <c r="AF52" s="1468"/>
      <c r="AG52" s="1468"/>
      <c r="AH52" s="1468"/>
      <c r="AI52" s="1468"/>
      <c r="AJ52" s="1468"/>
      <c r="AK52" s="375"/>
      <c r="AT52"/>
      <c r="AU52"/>
      <c r="AV52"/>
      <c r="AW52"/>
      <c r="AX52"/>
      <c r="AY52"/>
      <c r="AZ52"/>
      <c r="BA52"/>
      <c r="BB52"/>
      <c r="BC52"/>
      <c r="BD52"/>
      <c r="BE52"/>
      <c r="BF52"/>
      <c r="BG52"/>
      <c r="BH52"/>
      <c r="BI52"/>
      <c r="BJ52"/>
      <c r="BK52"/>
      <c r="BL52"/>
      <c r="BM52"/>
      <c r="BN52"/>
      <c r="BO52"/>
      <c r="BP52"/>
      <c r="BQ52"/>
      <c r="BR52"/>
      <c r="BS52"/>
      <c r="BT52"/>
      <c r="BU52"/>
    </row>
    <row r="53" spans="9:73" ht="15.95" customHeight="1" x14ac:dyDescent="0.25">
      <c r="I53" s="374"/>
      <c r="J53" s="1469"/>
      <c r="K53" s="1469"/>
      <c r="L53" s="388"/>
      <c r="M53" s="388"/>
      <c r="N53" s="388"/>
      <c r="O53" s="388"/>
      <c r="P53" s="388"/>
      <c r="Q53" s="388"/>
      <c r="R53" s="388"/>
      <c r="S53" s="388"/>
      <c r="T53" s="388"/>
      <c r="U53" s="388"/>
      <c r="V53" s="388"/>
      <c r="W53" s="388"/>
      <c r="X53" s="388"/>
      <c r="Y53" s="388"/>
      <c r="Z53" s="388"/>
      <c r="AA53" s="388"/>
      <c r="AB53" s="388"/>
      <c r="AC53" s="388"/>
      <c r="AD53" s="388"/>
      <c r="AE53" s="388"/>
      <c r="AF53" s="388"/>
      <c r="AG53" s="388"/>
      <c r="AH53" s="388"/>
      <c r="AI53" s="388"/>
      <c r="AJ53" s="388"/>
      <c r="AK53" s="375"/>
      <c r="AT53"/>
      <c r="AU53"/>
      <c r="AV53"/>
      <c r="AW53"/>
      <c r="AX53"/>
      <c r="AY53"/>
      <c r="AZ53"/>
      <c r="BA53"/>
      <c r="BB53"/>
      <c r="BC53"/>
      <c r="BD53"/>
      <c r="BE53"/>
      <c r="BF53"/>
      <c r="BG53"/>
      <c r="BH53"/>
      <c r="BI53"/>
      <c r="BJ53"/>
      <c r="BK53"/>
      <c r="BL53"/>
      <c r="BM53"/>
      <c r="BN53"/>
      <c r="BO53"/>
      <c r="BP53"/>
      <c r="BQ53"/>
      <c r="BR53"/>
      <c r="BS53"/>
      <c r="BT53"/>
      <c r="BU53"/>
    </row>
    <row r="54" spans="9:73" ht="15.95" customHeight="1" x14ac:dyDescent="0.25">
      <c r="I54" s="374"/>
      <c r="J54"/>
      <c r="K54"/>
      <c r="L54"/>
      <c r="M54"/>
      <c r="N54"/>
      <c r="O54"/>
      <c r="P54"/>
      <c r="Q54"/>
      <c r="R54"/>
      <c r="S54" s="1473" t="s">
        <v>2309</v>
      </c>
      <c r="T54" s="1473"/>
      <c r="U54" s="1473"/>
      <c r="V54" s="1473"/>
      <c r="W54" s="1473"/>
      <c r="X54" s="1473"/>
      <c r="Y54" s="1473"/>
      <c r="Z54" s="1473"/>
      <c r="AA54" s="1473"/>
      <c r="AB54"/>
      <c r="AC54"/>
      <c r="AD54"/>
      <c r="AE54"/>
      <c r="AF54"/>
      <c r="AG54"/>
      <c r="AH54"/>
      <c r="AI54"/>
      <c r="AJ54"/>
      <c r="AK54" s="375"/>
      <c r="AT54"/>
      <c r="AU54"/>
      <c r="AV54"/>
      <c r="AW54"/>
      <c r="AX54"/>
      <c r="AY54"/>
      <c r="AZ54"/>
      <c r="BA54"/>
      <c r="BB54"/>
      <c r="BC54"/>
      <c r="BD54"/>
      <c r="BE54"/>
      <c r="BF54"/>
      <c r="BG54"/>
      <c r="BH54"/>
      <c r="BI54"/>
      <c r="BJ54"/>
      <c r="BK54"/>
      <c r="BL54"/>
      <c r="BM54"/>
      <c r="BN54"/>
      <c r="BO54"/>
      <c r="BP54"/>
      <c r="BQ54"/>
      <c r="BR54"/>
      <c r="BS54"/>
      <c r="BT54"/>
      <c r="BU54"/>
    </row>
    <row r="55" spans="9:73" ht="15.95" customHeight="1" x14ac:dyDescent="0.25">
      <c r="I55" s="374"/>
      <c r="J55"/>
      <c r="K55"/>
      <c r="L55"/>
      <c r="M55"/>
      <c r="N55"/>
      <c r="O55"/>
      <c r="P55"/>
      <c r="Q55"/>
      <c r="R55"/>
      <c r="S55" s="1473"/>
      <c r="T55" s="1473"/>
      <c r="U55" s="1473"/>
      <c r="V55" s="1473"/>
      <c r="W55" s="1473"/>
      <c r="X55" s="1473"/>
      <c r="Y55" s="1473"/>
      <c r="Z55" s="1473"/>
      <c r="AA55" s="1473"/>
      <c r="AB55"/>
      <c r="AC55"/>
      <c r="AD55"/>
      <c r="AE55"/>
      <c r="AF55"/>
      <c r="AG55"/>
      <c r="AH55"/>
      <c r="AI55"/>
      <c r="AJ55"/>
      <c r="AK55" s="375"/>
      <c r="AT55"/>
      <c r="AU55"/>
      <c r="AV55"/>
      <c r="AW55"/>
      <c r="AX55"/>
      <c r="AY55"/>
      <c r="AZ55"/>
      <c r="BA55"/>
      <c r="BB55"/>
      <c r="BC55"/>
      <c r="BD55"/>
      <c r="BE55"/>
      <c r="BF55"/>
      <c r="BG55"/>
      <c r="BH55"/>
      <c r="BI55"/>
      <c r="BJ55"/>
      <c r="BK55"/>
      <c r="BL55"/>
      <c r="BM55"/>
      <c r="BN55"/>
      <c r="BO55"/>
      <c r="BP55"/>
      <c r="BQ55"/>
      <c r="BR55"/>
      <c r="BS55"/>
      <c r="BT55"/>
      <c r="BU55"/>
    </row>
    <row r="56" spans="9:73" ht="15.95" customHeight="1" x14ac:dyDescent="0.25">
      <c r="I56" s="374"/>
      <c r="J56"/>
      <c r="K56"/>
      <c r="L56"/>
      <c r="M56"/>
      <c r="N56"/>
      <c r="O56"/>
      <c r="P56"/>
      <c r="Q56"/>
      <c r="R56"/>
      <c r="T56" s="1474" t="s">
        <v>2310</v>
      </c>
      <c r="U56" s="1474"/>
      <c r="V56" s="1474"/>
      <c r="W56" s="1474"/>
      <c r="X56" s="1474"/>
      <c r="Y56" s="1474"/>
      <c r="Z56" s="1474"/>
      <c r="AB56"/>
      <c r="AC56"/>
      <c r="AD56"/>
      <c r="AE56"/>
      <c r="AF56"/>
      <c r="AG56"/>
      <c r="AH56"/>
      <c r="AI56"/>
      <c r="AJ56"/>
      <c r="AK56" s="375"/>
      <c r="AT56"/>
      <c r="AU56"/>
      <c r="AV56"/>
      <c r="AW56"/>
      <c r="AX56"/>
      <c r="AY56"/>
      <c r="AZ56"/>
      <c r="BA56"/>
      <c r="BB56"/>
      <c r="BC56"/>
      <c r="BD56"/>
      <c r="BE56"/>
      <c r="BF56"/>
      <c r="BG56"/>
      <c r="BH56"/>
      <c r="BI56"/>
      <c r="BJ56"/>
      <c r="BK56"/>
      <c r="BL56"/>
      <c r="BM56"/>
      <c r="BN56"/>
      <c r="BO56"/>
      <c r="BP56"/>
      <c r="BQ56"/>
      <c r="BR56"/>
      <c r="BS56"/>
      <c r="BT56"/>
      <c r="BU56"/>
    </row>
    <row r="57" spans="9:73" ht="15.95" customHeight="1" x14ac:dyDescent="0.25">
      <c r="I57" s="374"/>
      <c r="J57"/>
      <c r="K57"/>
      <c r="L57"/>
      <c r="M57"/>
      <c r="N57"/>
      <c r="O57"/>
      <c r="P57"/>
      <c r="Q57"/>
      <c r="R57"/>
      <c r="T57" s="1475"/>
      <c r="U57" s="1475"/>
      <c r="V57" s="1475"/>
      <c r="W57" s="1475"/>
      <c r="X57" s="1475"/>
      <c r="Y57" s="1475"/>
      <c r="Z57" s="1475"/>
      <c r="AB57"/>
      <c r="AC57"/>
      <c r="AD57"/>
      <c r="AE57"/>
      <c r="AF57"/>
      <c r="AG57"/>
      <c r="AH57"/>
      <c r="AI57"/>
      <c r="AJ57"/>
      <c r="AK57" s="375"/>
      <c r="AT57"/>
      <c r="AU57"/>
      <c r="AV57"/>
      <c r="AW57"/>
      <c r="AX57"/>
      <c r="AY57"/>
      <c r="AZ57"/>
      <c r="BA57"/>
      <c r="BB57"/>
      <c r="BC57"/>
      <c r="BD57"/>
      <c r="BE57"/>
      <c r="BF57"/>
      <c r="BG57"/>
      <c r="BH57"/>
      <c r="BI57"/>
      <c r="BJ57"/>
      <c r="BK57"/>
      <c r="BL57"/>
      <c r="BM57"/>
      <c r="BN57"/>
      <c r="BO57"/>
      <c r="BP57"/>
      <c r="BQ57"/>
      <c r="BR57"/>
      <c r="BS57"/>
      <c r="BT57"/>
      <c r="BU57"/>
    </row>
    <row r="58" spans="9:73" ht="15.95" customHeight="1" x14ac:dyDescent="0.25">
      <c r="I58" s="374"/>
      <c r="J58"/>
      <c r="K58"/>
      <c r="L58"/>
      <c r="M58"/>
      <c r="N58"/>
      <c r="O58"/>
      <c r="P58"/>
      <c r="Q58"/>
      <c r="R58"/>
      <c r="S58" s="1465" t="s">
        <v>2312</v>
      </c>
      <c r="T58" s="1465"/>
      <c r="U58" s="1465"/>
      <c r="V58" s="1465"/>
      <c r="W58" s="1465"/>
      <c r="X58" s="1465"/>
      <c r="Y58" s="1465"/>
      <c r="Z58" s="1465"/>
      <c r="AA58" s="1465"/>
      <c r="AB58"/>
      <c r="AC58"/>
      <c r="AD58"/>
      <c r="AE58"/>
      <c r="AF58"/>
      <c r="AG58"/>
      <c r="AH58"/>
      <c r="AI58"/>
      <c r="AJ58"/>
      <c r="AK58" s="375"/>
      <c r="AT58"/>
      <c r="AU58"/>
      <c r="AV58"/>
      <c r="AW58"/>
      <c r="AX58"/>
      <c r="AY58"/>
      <c r="AZ58"/>
      <c r="BA58"/>
      <c r="BB58"/>
      <c r="BC58"/>
      <c r="BD58"/>
      <c r="BE58"/>
      <c r="BF58"/>
      <c r="BG58"/>
      <c r="BH58"/>
      <c r="BI58"/>
      <c r="BJ58"/>
      <c r="BK58"/>
      <c r="BL58"/>
      <c r="BM58"/>
      <c r="BN58"/>
      <c r="BO58"/>
      <c r="BP58"/>
      <c r="BQ58"/>
      <c r="BR58"/>
      <c r="BS58"/>
      <c r="BT58"/>
      <c r="BU58"/>
    </row>
    <row r="59" spans="9:73" ht="15.95" customHeight="1" x14ac:dyDescent="0.25">
      <c r="I59" s="374"/>
      <c r="J59"/>
      <c r="K59"/>
      <c r="L59"/>
      <c r="M59"/>
      <c r="N59"/>
      <c r="O59"/>
      <c r="P59"/>
      <c r="Q59"/>
      <c r="R59"/>
      <c r="S59" s="1465"/>
      <c r="T59" s="1465"/>
      <c r="U59" s="1465"/>
      <c r="V59" s="1465"/>
      <c r="W59" s="1465"/>
      <c r="X59" s="1465"/>
      <c r="Y59" s="1465"/>
      <c r="Z59" s="1465"/>
      <c r="AA59" s="1465"/>
      <c r="AB59"/>
      <c r="AC59"/>
      <c r="AD59"/>
      <c r="AE59"/>
      <c r="AF59"/>
      <c r="AG59"/>
      <c r="AH59"/>
      <c r="AI59"/>
      <c r="AJ59"/>
      <c r="AK59" s="375"/>
      <c r="AT59"/>
      <c r="AU59"/>
      <c r="AV59"/>
      <c r="AW59"/>
      <c r="AX59"/>
      <c r="AY59"/>
      <c r="AZ59"/>
      <c r="BA59"/>
      <c r="BB59"/>
      <c r="BC59"/>
      <c r="BD59"/>
      <c r="BE59"/>
      <c r="BF59"/>
      <c r="BG59"/>
      <c r="BH59"/>
      <c r="BI59"/>
      <c r="BJ59"/>
      <c r="BK59"/>
      <c r="BL59"/>
      <c r="BM59"/>
      <c r="BN59"/>
      <c r="BO59"/>
      <c r="BP59"/>
      <c r="BQ59"/>
      <c r="BR59"/>
      <c r="BS59"/>
      <c r="BT59"/>
      <c r="BU59"/>
    </row>
    <row r="60" spans="9:73" ht="15.95" customHeight="1" x14ac:dyDescent="0.25">
      <c r="I60" s="374"/>
      <c r="J60"/>
      <c r="K60"/>
      <c r="L60"/>
      <c r="M60"/>
      <c r="N60"/>
      <c r="O60"/>
      <c r="P60"/>
      <c r="Q60"/>
      <c r="R60"/>
      <c r="S60" s="1465"/>
      <c r="T60" s="1465"/>
      <c r="U60" s="1465"/>
      <c r="V60" s="1465"/>
      <c r="W60" s="1465"/>
      <c r="X60" s="1465"/>
      <c r="Y60" s="1465"/>
      <c r="Z60" s="1465"/>
      <c r="AA60" s="1465"/>
      <c r="AB60"/>
      <c r="AC60"/>
      <c r="AD60"/>
      <c r="AE60"/>
      <c r="AF60"/>
      <c r="AG60"/>
      <c r="AH60"/>
      <c r="AI60"/>
      <c r="AJ60"/>
      <c r="AK60" s="375"/>
      <c r="AT60"/>
      <c r="AU60"/>
      <c r="AV60"/>
      <c r="AW60"/>
      <c r="AX60"/>
      <c r="AY60"/>
      <c r="AZ60"/>
      <c r="BA60"/>
      <c r="BB60"/>
      <c r="BC60"/>
      <c r="BD60"/>
      <c r="BE60"/>
      <c r="BF60"/>
      <c r="BG60"/>
      <c r="BH60"/>
      <c r="BI60"/>
      <c r="BJ60"/>
      <c r="BK60"/>
      <c r="BL60"/>
      <c r="BM60"/>
      <c r="BN60"/>
      <c r="BO60"/>
      <c r="BP60"/>
      <c r="BQ60"/>
      <c r="BR60"/>
      <c r="BS60"/>
      <c r="BT60"/>
      <c r="BU60"/>
    </row>
    <row r="61" spans="9:73" ht="15.95" customHeight="1" x14ac:dyDescent="0.25">
      <c r="I61" s="374"/>
      <c r="J61"/>
      <c r="K61"/>
      <c r="L61"/>
      <c r="M61"/>
      <c r="N61"/>
      <c r="O61"/>
      <c r="P61"/>
      <c r="Q61"/>
      <c r="R61"/>
      <c r="AB61"/>
      <c r="AC61"/>
      <c r="AD61"/>
      <c r="AE61"/>
      <c r="AF61"/>
      <c r="AG61"/>
      <c r="AH61"/>
      <c r="AI61"/>
      <c r="AJ61"/>
      <c r="AK61" s="375"/>
      <c r="AT61"/>
      <c r="AU61"/>
      <c r="AV61"/>
      <c r="AW61"/>
      <c r="AX61"/>
      <c r="AY61"/>
      <c r="AZ61"/>
      <c r="BA61"/>
      <c r="BB61"/>
      <c r="BC61"/>
      <c r="BD61"/>
      <c r="BE61"/>
      <c r="BF61"/>
      <c r="BG61"/>
      <c r="BH61"/>
      <c r="BI61"/>
      <c r="BJ61"/>
      <c r="BK61"/>
      <c r="BL61"/>
      <c r="BM61"/>
      <c r="BN61"/>
      <c r="BO61"/>
      <c r="BP61"/>
      <c r="BQ61"/>
      <c r="BR61"/>
      <c r="BS61"/>
      <c r="BT61"/>
      <c r="BU61"/>
    </row>
    <row r="62" spans="9:73" ht="15.95" customHeight="1" x14ac:dyDescent="0.25">
      <c r="I62" s="374"/>
      <c r="J62"/>
      <c r="K62"/>
      <c r="L62"/>
      <c r="M62"/>
      <c r="N62"/>
      <c r="O62"/>
      <c r="P62"/>
      <c r="Q62"/>
      <c r="R62"/>
      <c r="S62" s="145"/>
      <c r="T62" s="1474" t="s">
        <v>2311</v>
      </c>
      <c r="U62" s="1474"/>
      <c r="V62" s="1474"/>
      <c r="W62" s="1474"/>
      <c r="X62" s="1474"/>
      <c r="Y62" s="1474"/>
      <c r="Z62" s="1474"/>
      <c r="AA62" s="145"/>
      <c r="AI62"/>
      <c r="AJ62"/>
      <c r="AK62" s="375"/>
      <c r="AT62"/>
      <c r="AU62"/>
      <c r="AV62"/>
      <c r="AW62"/>
      <c r="AX62"/>
      <c r="AY62"/>
      <c r="AZ62"/>
      <c r="BA62"/>
      <c r="BB62"/>
      <c r="BC62"/>
      <c r="BD62"/>
      <c r="BE62"/>
      <c r="BF62"/>
      <c r="BG62"/>
      <c r="BH62"/>
      <c r="BI62"/>
      <c r="BJ62"/>
      <c r="BK62"/>
      <c r="BL62"/>
      <c r="BM62"/>
      <c r="BN62"/>
      <c r="BO62"/>
      <c r="BP62"/>
      <c r="BQ62"/>
      <c r="BR62"/>
      <c r="BS62"/>
      <c r="BT62"/>
      <c r="BU62"/>
    </row>
    <row r="63" spans="9:73" ht="15.95" customHeight="1" x14ac:dyDescent="0.25">
      <c r="I63" s="374"/>
      <c r="J63"/>
      <c r="K63"/>
      <c r="L63"/>
      <c r="M63"/>
      <c r="N63"/>
      <c r="O63"/>
      <c r="P63"/>
      <c r="Q63"/>
      <c r="R63"/>
      <c r="S63" s="145"/>
      <c r="T63" s="1475"/>
      <c r="U63" s="1475"/>
      <c r="V63" s="1475"/>
      <c r="W63" s="1475"/>
      <c r="X63" s="1475"/>
      <c r="Y63" s="1475"/>
      <c r="Z63" s="1475"/>
      <c r="AA63" s="145"/>
      <c r="AI63"/>
      <c r="AJ63"/>
      <c r="AK63" s="375"/>
      <c r="AT63"/>
      <c r="AU63"/>
      <c r="AV63"/>
      <c r="AW63"/>
      <c r="AX63"/>
      <c r="AY63"/>
      <c r="AZ63"/>
      <c r="BA63"/>
      <c r="BB63"/>
      <c r="BC63"/>
      <c r="BD63"/>
      <c r="BE63"/>
      <c r="BF63"/>
      <c r="BG63"/>
      <c r="BH63"/>
      <c r="BI63"/>
      <c r="BJ63"/>
      <c r="BK63"/>
      <c r="BL63"/>
      <c r="BM63"/>
      <c r="BN63"/>
      <c r="BO63"/>
      <c r="BP63"/>
      <c r="BQ63"/>
      <c r="BR63"/>
      <c r="BS63"/>
      <c r="BT63"/>
      <c r="BU63"/>
    </row>
    <row r="64" spans="9:73" ht="15.95" customHeight="1" x14ac:dyDescent="0.25">
      <c r="I64" s="374"/>
      <c r="J64"/>
      <c r="K64"/>
      <c r="L64"/>
      <c r="M64"/>
      <c r="N64"/>
      <c r="O64"/>
      <c r="P64"/>
      <c r="Q64"/>
      <c r="R64"/>
      <c r="S64" s="1466" t="s">
        <v>2313</v>
      </c>
      <c r="T64" s="1466"/>
      <c r="U64" s="1466"/>
      <c r="V64" s="1466"/>
      <c r="W64" s="1466"/>
      <c r="X64" s="1466"/>
      <c r="Y64" s="1466"/>
      <c r="Z64" s="1466"/>
      <c r="AA64" s="1466"/>
      <c r="AC64" s="389"/>
      <c r="AD64" s="389"/>
      <c r="AE64" s="389"/>
      <c r="AF64" s="389"/>
      <c r="AG64" s="389"/>
      <c r="AH64" s="389"/>
      <c r="AI64"/>
      <c r="AJ64"/>
      <c r="AK64" s="375"/>
      <c r="AT64"/>
      <c r="AU64"/>
      <c r="AV64"/>
      <c r="AW64"/>
      <c r="AX64"/>
      <c r="AY64"/>
      <c r="AZ64"/>
      <c r="BA64"/>
      <c r="BB64"/>
      <c r="BC64"/>
      <c r="BD64"/>
      <c r="BE64"/>
      <c r="BF64"/>
      <c r="BG64"/>
      <c r="BH64"/>
      <c r="BI64"/>
      <c r="BJ64"/>
      <c r="BK64"/>
      <c r="BL64"/>
      <c r="BM64"/>
      <c r="BN64"/>
      <c r="BO64"/>
      <c r="BP64"/>
      <c r="BQ64"/>
      <c r="BR64"/>
      <c r="BS64"/>
      <c r="BT64"/>
      <c r="BU64"/>
    </row>
    <row r="65" spans="8:73" ht="15.95" customHeight="1" x14ac:dyDescent="0.25">
      <c r="I65" s="374"/>
      <c r="J65" s="145"/>
      <c r="K65" s="390"/>
      <c r="L65" s="390"/>
      <c r="M65" s="390"/>
      <c r="N65" s="390"/>
      <c r="O65" s="390"/>
      <c r="P65" s="390"/>
      <c r="Q65" s="390"/>
      <c r="S65" s="1466"/>
      <c r="T65" s="1466"/>
      <c r="U65" s="1466"/>
      <c r="V65" s="1466"/>
      <c r="W65" s="1466"/>
      <c r="X65" s="1466"/>
      <c r="Y65" s="1466"/>
      <c r="Z65" s="1466"/>
      <c r="AA65" s="1466"/>
      <c r="AB65" s="389"/>
      <c r="AC65" s="389"/>
      <c r="AD65" s="389"/>
      <c r="AE65" s="389"/>
      <c r="AF65" s="389"/>
      <c r="AG65" s="389"/>
      <c r="AH65" s="389"/>
      <c r="AI65"/>
      <c r="AJ65"/>
      <c r="AK65" s="375"/>
      <c r="AT65"/>
      <c r="AU65"/>
      <c r="AV65"/>
      <c r="AW65"/>
      <c r="AX65"/>
      <c r="AY65"/>
      <c r="AZ65"/>
      <c r="BA65"/>
      <c r="BB65"/>
      <c r="BC65"/>
      <c r="BD65"/>
      <c r="BE65"/>
      <c r="BF65"/>
      <c r="BG65"/>
      <c r="BH65"/>
      <c r="BI65"/>
      <c r="BJ65"/>
      <c r="BK65"/>
      <c r="BL65"/>
      <c r="BM65"/>
      <c r="BN65"/>
      <c r="BO65"/>
      <c r="BP65"/>
      <c r="BQ65"/>
      <c r="BR65"/>
      <c r="BS65"/>
      <c r="BT65"/>
      <c r="BU65"/>
    </row>
    <row r="66" spans="8:73" ht="15.95" customHeight="1" x14ac:dyDescent="0.25">
      <c r="I66" s="374"/>
      <c r="K66" s="689"/>
      <c r="L66" s="689"/>
      <c r="M66" s="689"/>
      <c r="N66" s="689"/>
      <c r="O66" s="689"/>
      <c r="P66" s="689"/>
      <c r="Q66" s="689"/>
      <c r="R66" s="689"/>
      <c r="S66" s="689"/>
      <c r="T66" s="689"/>
      <c r="U66" s="689"/>
      <c r="V66" s="689"/>
      <c r="W66" s="689"/>
      <c r="X66" s="689"/>
      <c r="Y66" s="689"/>
      <c r="Z66" s="689"/>
      <c r="AA66" s="689"/>
      <c r="AB66" s="389"/>
      <c r="AC66" s="389"/>
      <c r="AD66" s="389"/>
      <c r="AE66" s="389"/>
      <c r="AF66" s="389"/>
      <c r="AG66" s="389"/>
      <c r="AH66" s="389"/>
      <c r="AI66" s="689"/>
      <c r="AJ66" s="689"/>
      <c r="AK66" s="375"/>
      <c r="AT66"/>
      <c r="AU66"/>
      <c r="AV66"/>
      <c r="AW66"/>
      <c r="AX66"/>
      <c r="AY66"/>
      <c r="AZ66"/>
      <c r="BA66"/>
      <c r="BB66"/>
      <c r="BC66"/>
      <c r="BD66"/>
      <c r="BE66"/>
      <c r="BF66"/>
      <c r="BG66"/>
      <c r="BH66"/>
      <c r="BI66"/>
      <c r="BJ66"/>
      <c r="BK66"/>
      <c r="BL66"/>
      <c r="BM66"/>
      <c r="BN66"/>
      <c r="BO66"/>
      <c r="BP66"/>
      <c r="BQ66"/>
      <c r="BR66"/>
      <c r="BS66"/>
      <c r="BT66"/>
      <c r="BU66"/>
    </row>
    <row r="67" spans="8:73" ht="15.95" customHeight="1" x14ac:dyDescent="0.25">
      <c r="I67" s="374"/>
      <c r="J67" s="1464" t="s">
        <v>2308</v>
      </c>
      <c r="K67" s="1464"/>
      <c r="L67" s="1464"/>
      <c r="M67" s="1464"/>
      <c r="N67" s="1464"/>
      <c r="O67" s="1464"/>
      <c r="P67" s="1464"/>
      <c r="Q67" s="1464"/>
      <c r="R67" s="1464"/>
      <c r="S67" s="1464"/>
      <c r="T67" s="1464"/>
      <c r="U67" s="1464"/>
      <c r="V67" s="1464"/>
      <c r="W67" s="1464"/>
      <c r="X67" s="1464"/>
      <c r="Y67" s="1464"/>
      <c r="Z67" s="1464"/>
      <c r="AA67" s="1464"/>
      <c r="AB67" s="1464"/>
      <c r="AC67" s="1464"/>
      <c r="AD67" s="1464"/>
      <c r="AE67" s="1464"/>
      <c r="AF67" s="1464"/>
      <c r="AG67" s="1464"/>
      <c r="AH67" s="1464"/>
      <c r="AI67" s="1464"/>
      <c r="AJ67" s="1464"/>
      <c r="AK67" s="375"/>
      <c r="AT67"/>
      <c r="AU67"/>
      <c r="AV67"/>
      <c r="AW67"/>
      <c r="AX67"/>
      <c r="AY67"/>
      <c r="AZ67"/>
      <c r="BA67"/>
      <c r="BB67"/>
      <c r="BC67"/>
      <c r="BD67"/>
      <c r="BE67"/>
      <c r="BF67"/>
      <c r="BG67"/>
      <c r="BH67"/>
      <c r="BI67"/>
      <c r="BJ67"/>
      <c r="BK67"/>
      <c r="BL67"/>
      <c r="BM67"/>
      <c r="BN67"/>
      <c r="BO67"/>
      <c r="BP67"/>
      <c r="BQ67"/>
      <c r="BR67"/>
      <c r="BS67"/>
      <c r="BT67"/>
      <c r="BU67"/>
    </row>
    <row r="68" spans="8:73" ht="15.95" customHeight="1" x14ac:dyDescent="0.25">
      <c r="I68" s="374"/>
      <c r="J68" s="1464"/>
      <c r="K68" s="1464"/>
      <c r="L68" s="1464"/>
      <c r="M68" s="1464"/>
      <c r="N68" s="1464"/>
      <c r="O68" s="1464"/>
      <c r="P68" s="1464"/>
      <c r="Q68" s="1464"/>
      <c r="R68" s="1464"/>
      <c r="S68" s="1464"/>
      <c r="T68" s="1464"/>
      <c r="U68" s="1464"/>
      <c r="V68" s="1464"/>
      <c r="W68" s="1464"/>
      <c r="X68" s="1464"/>
      <c r="Y68" s="1464"/>
      <c r="Z68" s="1464"/>
      <c r="AA68" s="1464"/>
      <c r="AB68" s="1464"/>
      <c r="AC68" s="1464"/>
      <c r="AD68" s="1464"/>
      <c r="AE68" s="1464"/>
      <c r="AF68" s="1464"/>
      <c r="AG68" s="1464"/>
      <c r="AH68" s="1464"/>
      <c r="AI68" s="1464"/>
      <c r="AJ68" s="1464"/>
      <c r="AK68" s="375"/>
      <c r="AT68"/>
      <c r="AU68"/>
      <c r="AV68"/>
      <c r="AW68"/>
      <c r="AX68"/>
      <c r="AY68"/>
      <c r="AZ68"/>
      <c r="BA68"/>
      <c r="BB68"/>
      <c r="BC68"/>
      <c r="BD68"/>
      <c r="BE68"/>
      <c r="BF68"/>
      <c r="BG68"/>
      <c r="BH68"/>
      <c r="BI68"/>
      <c r="BJ68"/>
      <c r="BK68"/>
      <c r="BL68"/>
      <c r="BM68"/>
      <c r="BN68"/>
      <c r="BO68"/>
      <c r="BP68"/>
      <c r="BQ68"/>
      <c r="BR68"/>
      <c r="BS68"/>
      <c r="BT68"/>
      <c r="BU68"/>
    </row>
    <row r="69" spans="8:73" ht="15.95" customHeight="1" x14ac:dyDescent="0.25">
      <c r="I69" s="374"/>
      <c r="J69" s="1464"/>
      <c r="K69" s="1464"/>
      <c r="L69" s="1464"/>
      <c r="M69" s="1464"/>
      <c r="N69" s="1464"/>
      <c r="O69" s="1464"/>
      <c r="P69" s="1464"/>
      <c r="Q69" s="1464"/>
      <c r="R69" s="1464"/>
      <c r="S69" s="1464"/>
      <c r="T69" s="1464"/>
      <c r="U69" s="1464"/>
      <c r="V69" s="1464"/>
      <c r="W69" s="1464"/>
      <c r="X69" s="1464"/>
      <c r="Y69" s="1464"/>
      <c r="Z69" s="1464"/>
      <c r="AA69" s="1464"/>
      <c r="AB69" s="1464"/>
      <c r="AC69" s="1464"/>
      <c r="AD69" s="1464"/>
      <c r="AE69" s="1464"/>
      <c r="AF69" s="1464"/>
      <c r="AG69" s="1464"/>
      <c r="AH69" s="1464"/>
      <c r="AI69" s="1464"/>
      <c r="AJ69" s="1464"/>
      <c r="AK69" s="375"/>
      <c r="AT69"/>
      <c r="AU69"/>
      <c r="AV69"/>
      <c r="AW69"/>
      <c r="AX69"/>
      <c r="AY69"/>
      <c r="AZ69"/>
      <c r="BA69"/>
      <c r="BB69"/>
      <c r="BC69"/>
      <c r="BD69"/>
      <c r="BE69"/>
      <c r="BF69"/>
      <c r="BG69"/>
      <c r="BH69"/>
      <c r="BI69"/>
      <c r="BJ69"/>
      <c r="BK69"/>
      <c r="BL69"/>
      <c r="BM69"/>
      <c r="BN69"/>
      <c r="BO69"/>
      <c r="BP69"/>
      <c r="BQ69"/>
      <c r="BR69"/>
      <c r="BS69"/>
      <c r="BT69"/>
      <c r="BU69"/>
    </row>
    <row r="70" spans="8:73" ht="15.95" customHeight="1" x14ac:dyDescent="0.25">
      <c r="I70" s="374"/>
      <c r="J70" s="1464"/>
      <c r="K70" s="1464"/>
      <c r="L70" s="1464"/>
      <c r="M70" s="1464"/>
      <c r="N70" s="1464"/>
      <c r="O70" s="1464"/>
      <c r="P70" s="1464"/>
      <c r="Q70" s="1464"/>
      <c r="R70" s="1464"/>
      <c r="S70" s="1464"/>
      <c r="T70" s="1464"/>
      <c r="U70" s="1464"/>
      <c r="V70" s="1464"/>
      <c r="W70" s="1464"/>
      <c r="X70" s="1464"/>
      <c r="Y70" s="1464"/>
      <c r="Z70" s="1464"/>
      <c r="AA70" s="1464"/>
      <c r="AB70" s="1464"/>
      <c r="AC70" s="1464"/>
      <c r="AD70" s="1464"/>
      <c r="AE70" s="1464"/>
      <c r="AF70" s="1464"/>
      <c r="AG70" s="1464"/>
      <c r="AH70" s="1464"/>
      <c r="AI70" s="1464"/>
      <c r="AJ70" s="1464"/>
      <c r="AK70" s="375"/>
      <c r="AT70"/>
      <c r="AU70"/>
      <c r="AV70"/>
      <c r="AW70"/>
      <c r="AX70"/>
      <c r="AY70"/>
      <c r="AZ70"/>
      <c r="BA70"/>
      <c r="BB70"/>
      <c r="BC70"/>
      <c r="BD70"/>
      <c r="BE70"/>
      <c r="BF70"/>
      <c r="BG70"/>
      <c r="BH70"/>
      <c r="BI70"/>
      <c r="BJ70"/>
      <c r="BK70"/>
      <c r="BL70"/>
      <c r="BM70"/>
      <c r="BN70"/>
      <c r="BO70"/>
      <c r="BP70"/>
      <c r="BQ70"/>
      <c r="BR70"/>
      <c r="BS70"/>
      <c r="BT70"/>
      <c r="BU70"/>
    </row>
    <row r="71" spans="8:73" ht="15.95" customHeight="1" x14ac:dyDescent="0.25">
      <c r="I71" s="374"/>
      <c r="J71" s="1464"/>
      <c r="K71" s="1464"/>
      <c r="L71" s="1464"/>
      <c r="M71" s="1464"/>
      <c r="N71" s="1464"/>
      <c r="O71" s="1464"/>
      <c r="P71" s="1464"/>
      <c r="Q71" s="1464"/>
      <c r="R71" s="1464"/>
      <c r="S71" s="1464"/>
      <c r="T71" s="1464"/>
      <c r="U71" s="1464"/>
      <c r="V71" s="1464"/>
      <c r="W71" s="1464"/>
      <c r="X71" s="1464"/>
      <c r="Y71" s="1464"/>
      <c r="Z71" s="1464"/>
      <c r="AA71" s="1464"/>
      <c r="AB71" s="1464"/>
      <c r="AC71" s="1464"/>
      <c r="AD71" s="1464"/>
      <c r="AE71" s="1464"/>
      <c r="AF71" s="1464"/>
      <c r="AG71" s="1464"/>
      <c r="AH71" s="1464"/>
      <c r="AI71" s="1464"/>
      <c r="AJ71" s="1464"/>
      <c r="AK71" s="375"/>
      <c r="AT71"/>
      <c r="AU71"/>
      <c r="AV71"/>
      <c r="AW71"/>
      <c r="AX71"/>
      <c r="AY71"/>
      <c r="AZ71"/>
      <c r="BA71"/>
      <c r="BB71"/>
      <c r="BC71"/>
      <c r="BD71"/>
      <c r="BE71"/>
      <c r="BF71"/>
      <c r="BG71"/>
      <c r="BH71"/>
      <c r="BI71"/>
      <c r="BJ71"/>
      <c r="BK71"/>
      <c r="BL71"/>
      <c r="BM71"/>
      <c r="BN71"/>
      <c r="BO71"/>
      <c r="BP71"/>
      <c r="BQ71"/>
      <c r="BR71"/>
      <c r="BS71"/>
      <c r="BT71"/>
      <c r="BU71"/>
    </row>
    <row r="72" spans="8:73" ht="15.95" customHeight="1" x14ac:dyDescent="0.25">
      <c r="I72" s="374"/>
      <c r="J72" s="1464"/>
      <c r="K72" s="1464"/>
      <c r="L72" s="1464"/>
      <c r="M72" s="1464"/>
      <c r="N72" s="1464"/>
      <c r="O72" s="1464"/>
      <c r="P72" s="1464"/>
      <c r="Q72" s="1464"/>
      <c r="R72" s="1464"/>
      <c r="S72" s="1464"/>
      <c r="T72" s="1464"/>
      <c r="U72" s="1464"/>
      <c r="V72" s="1464"/>
      <c r="W72" s="1464"/>
      <c r="X72" s="1464"/>
      <c r="Y72" s="1464"/>
      <c r="Z72" s="1464"/>
      <c r="AA72" s="1464"/>
      <c r="AB72" s="1464"/>
      <c r="AC72" s="1464"/>
      <c r="AD72" s="1464"/>
      <c r="AE72" s="1464"/>
      <c r="AF72" s="1464"/>
      <c r="AG72" s="1464"/>
      <c r="AH72" s="1464"/>
      <c r="AI72" s="1464"/>
      <c r="AJ72" s="1464"/>
      <c r="AK72" s="375"/>
      <c r="AT72"/>
      <c r="AU72"/>
      <c r="AV72"/>
      <c r="AW72"/>
      <c r="AX72"/>
      <c r="AY72"/>
      <c r="AZ72"/>
      <c r="BA72"/>
      <c r="BB72"/>
      <c r="BC72"/>
      <c r="BD72"/>
      <c r="BE72"/>
      <c r="BF72"/>
      <c r="BG72"/>
      <c r="BH72"/>
      <c r="BI72"/>
      <c r="BJ72"/>
      <c r="BK72"/>
      <c r="BL72"/>
      <c r="BM72"/>
      <c r="BN72"/>
      <c r="BO72"/>
      <c r="BP72"/>
      <c r="BQ72"/>
      <c r="BR72"/>
      <c r="BS72"/>
      <c r="BT72"/>
      <c r="BU72"/>
    </row>
    <row r="73" spans="8:73" ht="15.95" customHeight="1" x14ac:dyDescent="0.25">
      <c r="I73" s="374"/>
      <c r="J73" s="1464"/>
      <c r="K73" s="1464"/>
      <c r="L73" s="1464"/>
      <c r="M73" s="1464"/>
      <c r="N73" s="1464"/>
      <c r="O73" s="1464"/>
      <c r="P73" s="1464"/>
      <c r="Q73" s="1464"/>
      <c r="R73" s="1464"/>
      <c r="S73" s="1464"/>
      <c r="T73" s="1464"/>
      <c r="U73" s="1464"/>
      <c r="V73" s="1464"/>
      <c r="W73" s="1464"/>
      <c r="X73" s="1464"/>
      <c r="Y73" s="1464"/>
      <c r="Z73" s="1464"/>
      <c r="AA73" s="1464"/>
      <c r="AB73" s="1464"/>
      <c r="AC73" s="1464"/>
      <c r="AD73" s="1464"/>
      <c r="AE73" s="1464"/>
      <c r="AF73" s="1464"/>
      <c r="AG73" s="1464"/>
      <c r="AH73" s="1464"/>
      <c r="AI73" s="1464"/>
      <c r="AJ73" s="1464"/>
      <c r="AK73" s="375"/>
      <c r="AT73"/>
      <c r="AU73"/>
      <c r="AV73"/>
      <c r="AW73"/>
      <c r="AX73"/>
      <c r="AY73"/>
      <c r="AZ73"/>
      <c r="BA73"/>
      <c r="BB73"/>
      <c r="BC73"/>
      <c r="BD73"/>
      <c r="BE73"/>
      <c r="BF73"/>
      <c r="BG73"/>
      <c r="BH73"/>
      <c r="BI73"/>
      <c r="BJ73"/>
      <c r="BK73"/>
      <c r="BL73"/>
      <c r="BM73"/>
      <c r="BN73"/>
      <c r="BO73"/>
      <c r="BP73"/>
      <c r="BQ73"/>
      <c r="BR73"/>
      <c r="BS73"/>
      <c r="BT73"/>
      <c r="BU73"/>
    </row>
    <row r="74" spans="8:73" ht="15.95" customHeight="1" x14ac:dyDescent="0.25">
      <c r="I74" s="374"/>
      <c r="J74" s="1472" t="s">
        <v>1435</v>
      </c>
      <c r="K74" s="1472"/>
      <c r="L74" s="1472"/>
      <c r="M74" s="1472"/>
      <c r="N74" s="1472"/>
      <c r="O74" s="1472"/>
      <c r="P74" s="1472"/>
      <c r="Q74" s="1472"/>
      <c r="R74" s="1472"/>
      <c r="S74" s="1472"/>
      <c r="T74" s="1472"/>
      <c r="U74" s="1472"/>
      <c r="V74" s="1472"/>
      <c r="W74" s="1472"/>
      <c r="X74" s="1472"/>
      <c r="Y74" s="1472"/>
      <c r="Z74" s="1472"/>
      <c r="AA74" s="1472"/>
      <c r="AB74" s="1472"/>
      <c r="AC74" s="1472"/>
      <c r="AD74" s="1472"/>
      <c r="AE74" s="1472"/>
      <c r="AF74" s="1472"/>
      <c r="AG74" s="1472"/>
      <c r="AH74" s="1472"/>
      <c r="AI74" s="1472"/>
      <c r="AJ74" s="1472"/>
      <c r="AK74" s="375"/>
      <c r="AT74"/>
      <c r="AU74"/>
      <c r="AV74"/>
      <c r="AW74"/>
      <c r="AX74"/>
      <c r="AY74"/>
      <c r="AZ74"/>
      <c r="BA74"/>
      <c r="BB74"/>
      <c r="BC74"/>
      <c r="BD74"/>
      <c r="BE74"/>
      <c r="BF74"/>
      <c r="BG74"/>
      <c r="BH74"/>
      <c r="BI74"/>
      <c r="BJ74"/>
      <c r="BK74"/>
      <c r="BL74"/>
      <c r="BM74"/>
      <c r="BN74"/>
      <c r="BO74"/>
      <c r="BP74"/>
      <c r="BQ74"/>
      <c r="BR74"/>
      <c r="BS74"/>
      <c r="BT74"/>
      <c r="BU74"/>
    </row>
    <row r="75" spans="8:73" ht="15.95" customHeight="1" x14ac:dyDescent="0.25">
      <c r="I75" s="374"/>
      <c r="J75" s="1472"/>
      <c r="K75" s="1472"/>
      <c r="L75" s="1472"/>
      <c r="M75" s="1472"/>
      <c r="N75" s="1472"/>
      <c r="O75" s="1472"/>
      <c r="P75" s="1472"/>
      <c r="Q75" s="1472"/>
      <c r="R75" s="1472"/>
      <c r="S75" s="1472"/>
      <c r="T75" s="1472"/>
      <c r="U75" s="1472"/>
      <c r="V75" s="1472"/>
      <c r="W75" s="1472"/>
      <c r="X75" s="1472"/>
      <c r="Y75" s="1472"/>
      <c r="Z75" s="1472"/>
      <c r="AA75" s="1472"/>
      <c r="AB75" s="1472"/>
      <c r="AC75" s="1472"/>
      <c r="AD75" s="1472"/>
      <c r="AE75" s="1472"/>
      <c r="AF75" s="1472"/>
      <c r="AG75" s="1472"/>
      <c r="AH75" s="1472"/>
      <c r="AI75" s="1472"/>
      <c r="AJ75" s="1472"/>
      <c r="AK75" s="375"/>
      <c r="AT75"/>
      <c r="AU75"/>
      <c r="AV75"/>
      <c r="AW75"/>
      <c r="AX75"/>
      <c r="AY75"/>
      <c r="AZ75"/>
      <c r="BA75"/>
      <c r="BB75"/>
      <c r="BC75"/>
      <c r="BD75"/>
      <c r="BE75"/>
      <c r="BF75"/>
      <c r="BG75"/>
      <c r="BH75"/>
      <c r="BI75"/>
      <c r="BJ75"/>
      <c r="BK75"/>
      <c r="BL75"/>
      <c r="BM75"/>
      <c r="BN75"/>
      <c r="BO75"/>
      <c r="BP75"/>
      <c r="BQ75"/>
      <c r="BR75"/>
      <c r="BS75"/>
      <c r="BT75"/>
      <c r="BU75"/>
    </row>
    <row r="76" spans="8:73" ht="15.95" customHeight="1" x14ac:dyDescent="0.25">
      <c r="I76" s="376"/>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c r="AJ76" s="377"/>
      <c r="AK76" s="378"/>
      <c r="AT76"/>
      <c r="AU76"/>
      <c r="AV76"/>
      <c r="AW76"/>
      <c r="AX76"/>
      <c r="AY76"/>
      <c r="AZ76"/>
      <c r="BA76"/>
      <c r="BB76"/>
      <c r="BC76"/>
      <c r="BD76"/>
      <c r="BE76"/>
      <c r="BF76"/>
      <c r="BG76"/>
      <c r="BH76"/>
      <c r="BI76"/>
      <c r="BJ76"/>
      <c r="BK76"/>
      <c r="BL76"/>
      <c r="BM76"/>
      <c r="BN76"/>
      <c r="BO76"/>
      <c r="BP76"/>
      <c r="BQ76"/>
      <c r="BR76"/>
      <c r="BS76"/>
      <c r="BT76"/>
      <c r="BU76"/>
    </row>
    <row r="77" spans="8:73" ht="15.95" customHeight="1" x14ac:dyDescent="0.25">
      <c r="AT77"/>
      <c r="AU77"/>
      <c r="AV77"/>
      <c r="AW77"/>
      <c r="AX77"/>
      <c r="AY77"/>
      <c r="AZ77"/>
      <c r="BA77"/>
      <c r="BB77"/>
      <c r="BC77"/>
      <c r="BD77"/>
      <c r="BE77"/>
      <c r="BF77"/>
      <c r="BG77"/>
      <c r="BH77"/>
      <c r="BI77"/>
      <c r="BJ77"/>
      <c r="BK77"/>
      <c r="BL77"/>
      <c r="BM77"/>
      <c r="BN77"/>
      <c r="BO77"/>
      <c r="BP77"/>
      <c r="BQ77"/>
      <c r="BR77"/>
      <c r="BS77"/>
      <c r="BT77"/>
      <c r="BU77"/>
    </row>
    <row r="78" spans="8:73" ht="15.75" hidden="1" customHeight="1" x14ac:dyDescent="0.25">
      <c r="AT78"/>
      <c r="AU78"/>
      <c r="AV78"/>
      <c r="AW78"/>
      <c r="AX78"/>
      <c r="AY78"/>
      <c r="AZ78"/>
      <c r="BA78"/>
      <c r="BB78"/>
      <c r="BC78"/>
      <c r="BD78"/>
      <c r="BE78"/>
      <c r="BF78"/>
      <c r="BG78"/>
      <c r="BH78"/>
      <c r="BI78"/>
      <c r="BJ78"/>
      <c r="BK78"/>
      <c r="BL78"/>
      <c r="BM78"/>
      <c r="BN78"/>
      <c r="BO78"/>
      <c r="BP78"/>
      <c r="BQ78"/>
      <c r="BR78"/>
      <c r="BS78"/>
      <c r="BT78"/>
      <c r="BU78"/>
    </row>
    <row r="79" spans="8:73" ht="15.95" hidden="1" customHeight="1" x14ac:dyDescent="0.25">
      <c r="H79"/>
      <c r="I79"/>
      <c r="AT79"/>
      <c r="AU79"/>
      <c r="AV79"/>
      <c r="AW79"/>
      <c r="AX79"/>
      <c r="AY79"/>
      <c r="AZ79"/>
      <c r="BA79"/>
      <c r="BB79"/>
      <c r="BC79"/>
      <c r="BD79"/>
      <c r="BE79"/>
      <c r="BF79"/>
      <c r="BG79"/>
      <c r="BH79"/>
      <c r="BI79"/>
      <c r="BJ79"/>
      <c r="BK79"/>
      <c r="BL79"/>
      <c r="BM79"/>
      <c r="BN79"/>
      <c r="BO79"/>
      <c r="BP79"/>
      <c r="BQ79"/>
      <c r="BR79"/>
      <c r="BS79"/>
      <c r="BT79"/>
      <c r="BU79"/>
    </row>
    <row r="80" spans="8:73" ht="15.95" hidden="1" customHeight="1" x14ac:dyDescent="0.25">
      <c r="H80"/>
      <c r="I80"/>
      <c r="AT80"/>
      <c r="AU80"/>
      <c r="AV80"/>
      <c r="AW80"/>
      <c r="AX80"/>
      <c r="AY80"/>
      <c r="AZ80"/>
      <c r="BA80"/>
      <c r="BB80"/>
      <c r="BC80"/>
      <c r="BD80"/>
      <c r="BE80"/>
      <c r="BF80"/>
      <c r="BG80"/>
      <c r="BH80"/>
      <c r="BI80"/>
      <c r="BJ80"/>
      <c r="BK80"/>
      <c r="BL80"/>
      <c r="BM80"/>
      <c r="BN80"/>
      <c r="BO80"/>
      <c r="BP80"/>
      <c r="BQ80"/>
      <c r="BR80"/>
      <c r="BS80"/>
      <c r="BT80"/>
      <c r="BU80"/>
    </row>
    <row r="81" spans="46:73" ht="15.95" hidden="1" customHeight="1" x14ac:dyDescent="0.25">
      <c r="AT81"/>
      <c r="AU81"/>
      <c r="AV81"/>
      <c r="AW81"/>
      <c r="AX81"/>
      <c r="AY81"/>
      <c r="AZ81"/>
      <c r="BA81"/>
      <c r="BB81"/>
      <c r="BC81"/>
      <c r="BD81"/>
      <c r="BE81"/>
      <c r="BF81"/>
      <c r="BG81"/>
      <c r="BH81"/>
      <c r="BI81"/>
      <c r="BJ81"/>
      <c r="BK81"/>
      <c r="BL81"/>
      <c r="BM81"/>
      <c r="BN81"/>
      <c r="BO81"/>
      <c r="BP81"/>
      <c r="BQ81"/>
      <c r="BR81"/>
      <c r="BS81"/>
      <c r="BT81"/>
      <c r="BU81"/>
    </row>
    <row r="82" spans="46:73" ht="15.95" hidden="1" customHeight="1" x14ac:dyDescent="0.25">
      <c r="AT82"/>
      <c r="AU82"/>
      <c r="AV82"/>
      <c r="AW82"/>
      <c r="AX82"/>
      <c r="AY82"/>
      <c r="AZ82"/>
      <c r="BA82"/>
      <c r="BB82"/>
      <c r="BC82"/>
      <c r="BD82"/>
      <c r="BE82"/>
      <c r="BF82"/>
      <c r="BG82"/>
      <c r="BH82"/>
      <c r="BI82"/>
      <c r="BJ82"/>
      <c r="BK82"/>
      <c r="BL82"/>
      <c r="BM82"/>
      <c r="BN82"/>
      <c r="BO82"/>
      <c r="BP82"/>
      <c r="BQ82"/>
      <c r="BR82"/>
      <c r="BS82"/>
      <c r="BT82"/>
      <c r="BU82"/>
    </row>
    <row r="83" spans="46:73" ht="15.95" hidden="1" customHeight="1" x14ac:dyDescent="0.25">
      <c r="AT83"/>
      <c r="AU83"/>
      <c r="AV83"/>
      <c r="AW83"/>
      <c r="AX83"/>
      <c r="AY83"/>
      <c r="AZ83"/>
      <c r="BA83"/>
      <c r="BB83"/>
      <c r="BC83"/>
      <c r="BD83"/>
      <c r="BE83"/>
      <c r="BF83"/>
      <c r="BG83"/>
      <c r="BH83"/>
      <c r="BI83"/>
      <c r="BJ83"/>
      <c r="BK83"/>
      <c r="BL83"/>
      <c r="BM83"/>
      <c r="BN83"/>
      <c r="BO83"/>
      <c r="BP83"/>
      <c r="BQ83"/>
      <c r="BR83"/>
      <c r="BS83"/>
      <c r="BT83"/>
      <c r="BU83"/>
    </row>
    <row r="84" spans="46:73" ht="15.95" hidden="1" customHeight="1" x14ac:dyDescent="0.25">
      <c r="AT84"/>
      <c r="AU84"/>
      <c r="AV84"/>
      <c r="AW84"/>
      <c r="AX84"/>
      <c r="AY84"/>
      <c r="AZ84"/>
      <c r="BA84"/>
      <c r="BB84"/>
      <c r="BC84"/>
      <c r="BD84"/>
      <c r="BE84"/>
      <c r="BF84"/>
      <c r="BG84"/>
      <c r="BH84"/>
      <c r="BI84"/>
      <c r="BJ84"/>
      <c r="BK84"/>
      <c r="BL84"/>
      <c r="BM84"/>
      <c r="BN84"/>
      <c r="BO84"/>
      <c r="BP84"/>
      <c r="BQ84"/>
      <c r="BR84"/>
      <c r="BS84"/>
      <c r="BT84"/>
      <c r="BU84"/>
    </row>
    <row r="85" spans="46:73" ht="15.95" hidden="1" customHeight="1" x14ac:dyDescent="0.25">
      <c r="AT85"/>
      <c r="AU85"/>
      <c r="AV85"/>
      <c r="AW85"/>
      <c r="AX85"/>
      <c r="AY85"/>
      <c r="AZ85"/>
      <c r="BA85"/>
      <c r="BB85"/>
      <c r="BC85"/>
      <c r="BD85"/>
      <c r="BE85"/>
      <c r="BF85"/>
      <c r="BG85"/>
      <c r="BH85"/>
      <c r="BI85"/>
      <c r="BJ85"/>
      <c r="BK85"/>
      <c r="BL85"/>
      <c r="BM85"/>
      <c r="BN85"/>
      <c r="BO85"/>
      <c r="BP85"/>
      <c r="BQ85"/>
      <c r="BR85"/>
      <c r="BS85"/>
      <c r="BT85"/>
      <c r="BU85"/>
    </row>
    <row r="86" spans="46:73" ht="15.95" hidden="1" customHeight="1" x14ac:dyDescent="0.25">
      <c r="AT86"/>
      <c r="AU86"/>
      <c r="AV86"/>
      <c r="AW86"/>
      <c r="AX86"/>
      <c r="AY86"/>
      <c r="AZ86"/>
      <c r="BA86"/>
      <c r="BB86"/>
      <c r="BC86"/>
      <c r="BD86"/>
      <c r="BE86"/>
      <c r="BF86"/>
      <c r="BG86"/>
      <c r="BH86"/>
      <c r="BI86"/>
      <c r="BJ86"/>
      <c r="BK86"/>
      <c r="BL86"/>
      <c r="BM86"/>
      <c r="BN86"/>
      <c r="BO86"/>
      <c r="BP86"/>
      <c r="BQ86"/>
      <c r="BR86"/>
      <c r="BS86"/>
      <c r="BT86"/>
      <c r="BU86"/>
    </row>
    <row r="87" spans="46:73" ht="15.95" hidden="1" customHeight="1" x14ac:dyDescent="0.25">
      <c r="AT87"/>
      <c r="AU87"/>
      <c r="AV87"/>
      <c r="AW87"/>
      <c r="AX87"/>
      <c r="AY87"/>
      <c r="AZ87"/>
      <c r="BA87"/>
      <c r="BB87"/>
      <c r="BC87"/>
      <c r="BD87"/>
      <c r="BE87"/>
      <c r="BF87"/>
      <c r="BG87"/>
      <c r="BH87"/>
      <c r="BI87"/>
      <c r="BJ87"/>
      <c r="BK87"/>
      <c r="BL87"/>
      <c r="BM87"/>
      <c r="BN87"/>
      <c r="BO87"/>
      <c r="BP87"/>
      <c r="BQ87"/>
      <c r="BR87"/>
      <c r="BS87"/>
      <c r="BT87"/>
      <c r="BU87"/>
    </row>
    <row r="88" spans="46:73" ht="15.95" hidden="1" customHeight="1" x14ac:dyDescent="0.25">
      <c r="AT88"/>
      <c r="AU88"/>
      <c r="AV88"/>
      <c r="AW88"/>
      <c r="AX88"/>
      <c r="AY88"/>
      <c r="AZ88"/>
      <c r="BA88"/>
      <c r="BB88"/>
      <c r="BC88"/>
      <c r="BD88"/>
      <c r="BE88"/>
      <c r="BF88"/>
      <c r="BG88"/>
      <c r="BH88"/>
      <c r="BI88"/>
      <c r="BJ88"/>
      <c r="BK88"/>
      <c r="BL88"/>
      <c r="BM88"/>
      <c r="BN88"/>
      <c r="BO88"/>
      <c r="BP88"/>
      <c r="BQ88"/>
      <c r="BR88"/>
      <c r="BS88"/>
      <c r="BT88"/>
      <c r="BU88"/>
    </row>
    <row r="89" spans="46:73" ht="15.95" hidden="1" customHeight="1" x14ac:dyDescent="0.25">
      <c r="AT89"/>
      <c r="AU89"/>
      <c r="AV89"/>
      <c r="AW89"/>
      <c r="AX89"/>
      <c r="AY89"/>
      <c r="AZ89"/>
      <c r="BA89"/>
      <c r="BB89"/>
      <c r="BC89"/>
      <c r="BD89"/>
      <c r="BE89"/>
      <c r="BF89"/>
      <c r="BG89"/>
      <c r="BH89"/>
      <c r="BI89"/>
      <c r="BJ89"/>
      <c r="BK89"/>
      <c r="BL89"/>
      <c r="BM89"/>
      <c r="BN89"/>
      <c r="BO89"/>
      <c r="BP89"/>
      <c r="BQ89"/>
      <c r="BR89"/>
      <c r="BS89"/>
      <c r="BT89"/>
      <c r="BU89"/>
    </row>
    <row r="90" spans="46:73" ht="15.95" hidden="1" customHeight="1" x14ac:dyDescent="0.25">
      <c r="AT90"/>
      <c r="AU90"/>
      <c r="AV90"/>
      <c r="AW90"/>
      <c r="AX90"/>
      <c r="AY90"/>
      <c r="AZ90"/>
      <c r="BA90"/>
      <c r="BB90"/>
      <c r="BC90"/>
      <c r="BD90"/>
      <c r="BE90"/>
      <c r="BF90"/>
      <c r="BG90"/>
      <c r="BH90"/>
      <c r="BI90"/>
      <c r="BJ90"/>
      <c r="BK90"/>
      <c r="BL90"/>
      <c r="BM90"/>
      <c r="BN90"/>
      <c r="BO90"/>
      <c r="BP90"/>
      <c r="BQ90"/>
      <c r="BR90"/>
      <c r="BS90"/>
      <c r="BT90"/>
      <c r="BU90"/>
    </row>
    <row r="91" spans="46:73" ht="15.95" hidden="1" customHeight="1" x14ac:dyDescent="0.25">
      <c r="AT91"/>
      <c r="AU91"/>
      <c r="AV91"/>
      <c r="AW91"/>
      <c r="AX91"/>
      <c r="AY91"/>
      <c r="AZ91"/>
      <c r="BA91"/>
      <c r="BB91"/>
      <c r="BC91"/>
      <c r="BD91"/>
      <c r="BE91"/>
      <c r="BF91"/>
      <c r="BG91"/>
      <c r="BH91"/>
      <c r="BI91"/>
      <c r="BJ91"/>
      <c r="BK91"/>
      <c r="BL91"/>
      <c r="BM91"/>
      <c r="BN91"/>
      <c r="BO91"/>
      <c r="BP91"/>
      <c r="BQ91"/>
      <c r="BR91"/>
      <c r="BS91"/>
      <c r="BT91"/>
      <c r="BU91"/>
    </row>
    <row r="92" spans="46:73" ht="15.95" hidden="1" customHeight="1" x14ac:dyDescent="0.25">
      <c r="AT92"/>
      <c r="AU92"/>
      <c r="AV92"/>
      <c r="AW92"/>
      <c r="AX92"/>
      <c r="AY92"/>
      <c r="AZ92"/>
      <c r="BA92"/>
      <c r="BB92"/>
      <c r="BC92"/>
      <c r="BD92"/>
      <c r="BE92"/>
      <c r="BF92"/>
      <c r="BG92"/>
      <c r="BH92"/>
      <c r="BI92"/>
      <c r="BJ92"/>
      <c r="BK92"/>
      <c r="BL92"/>
      <c r="BM92"/>
      <c r="BN92"/>
      <c r="BO92"/>
      <c r="BP92"/>
      <c r="BQ92"/>
      <c r="BR92"/>
      <c r="BS92"/>
      <c r="BT92"/>
      <c r="BU92"/>
    </row>
    <row r="93" spans="46:73" ht="15.95" hidden="1" customHeight="1" x14ac:dyDescent="0.25">
      <c r="AT93"/>
      <c r="AU93"/>
      <c r="AV93"/>
      <c r="AW93"/>
      <c r="AX93"/>
      <c r="AY93"/>
      <c r="AZ93"/>
      <c r="BA93"/>
      <c r="BB93"/>
      <c r="BC93"/>
      <c r="BD93"/>
      <c r="BE93"/>
      <c r="BF93"/>
      <c r="BG93"/>
      <c r="BH93"/>
      <c r="BI93"/>
      <c r="BJ93"/>
      <c r="BK93"/>
      <c r="BL93"/>
      <c r="BM93"/>
      <c r="BN93"/>
      <c r="BO93"/>
      <c r="BP93"/>
      <c r="BQ93"/>
      <c r="BR93"/>
      <c r="BS93"/>
      <c r="BT93"/>
      <c r="BU93"/>
    </row>
    <row r="94" spans="46:73" ht="15.95" hidden="1" customHeight="1" x14ac:dyDescent="0.25">
      <c r="AT94"/>
      <c r="AU94"/>
      <c r="AV94"/>
      <c r="AW94"/>
      <c r="AX94"/>
      <c r="AY94"/>
      <c r="AZ94"/>
      <c r="BA94"/>
      <c r="BB94"/>
      <c r="BC94"/>
      <c r="BD94"/>
      <c r="BE94"/>
      <c r="BF94"/>
      <c r="BG94"/>
      <c r="BH94"/>
      <c r="BI94"/>
      <c r="BJ94"/>
      <c r="BK94"/>
      <c r="BL94"/>
      <c r="BM94"/>
      <c r="BN94"/>
      <c r="BO94"/>
      <c r="BP94"/>
      <c r="BQ94"/>
      <c r="BR94"/>
      <c r="BS94"/>
      <c r="BT94"/>
      <c r="BU94"/>
    </row>
    <row r="95" spans="46:73" ht="15.95" hidden="1" customHeight="1" x14ac:dyDescent="0.25">
      <c r="AT95"/>
      <c r="AU95"/>
      <c r="AV95"/>
      <c r="AW95"/>
      <c r="AX95"/>
      <c r="AY95"/>
      <c r="AZ95"/>
      <c r="BA95"/>
      <c r="BB95"/>
      <c r="BC95"/>
      <c r="BD95"/>
      <c r="BE95"/>
      <c r="BF95"/>
      <c r="BG95"/>
      <c r="BH95"/>
      <c r="BI95"/>
      <c r="BJ95"/>
      <c r="BK95"/>
      <c r="BL95"/>
      <c r="BM95"/>
      <c r="BN95"/>
      <c r="BO95"/>
      <c r="BP95"/>
      <c r="BQ95"/>
      <c r="BR95"/>
      <c r="BS95"/>
      <c r="BT95"/>
      <c r="BU95"/>
    </row>
    <row r="96" spans="46:73" ht="15.95" hidden="1" customHeight="1" x14ac:dyDescent="0.25">
      <c r="AT96"/>
      <c r="AU96"/>
      <c r="AV96"/>
      <c r="AW96"/>
      <c r="AX96"/>
      <c r="AY96"/>
      <c r="AZ96"/>
      <c r="BA96"/>
      <c r="BB96"/>
      <c r="BC96"/>
      <c r="BD96"/>
      <c r="BE96"/>
      <c r="BF96"/>
      <c r="BG96"/>
      <c r="BH96"/>
      <c r="BI96"/>
      <c r="BJ96"/>
      <c r="BK96"/>
      <c r="BL96"/>
      <c r="BM96"/>
      <c r="BN96"/>
      <c r="BO96"/>
      <c r="BP96"/>
      <c r="BQ96"/>
      <c r="BR96"/>
      <c r="BS96"/>
      <c r="BT96"/>
      <c r="BU96"/>
    </row>
    <row r="97" spans="46:73" ht="15.95" hidden="1" customHeight="1" x14ac:dyDescent="0.25">
      <c r="AT97"/>
      <c r="AU97"/>
      <c r="AV97"/>
      <c r="AW97"/>
      <c r="AX97"/>
      <c r="AY97"/>
      <c r="AZ97"/>
      <c r="BA97"/>
      <c r="BB97"/>
      <c r="BC97"/>
      <c r="BD97"/>
      <c r="BE97"/>
      <c r="BF97"/>
      <c r="BG97"/>
      <c r="BH97"/>
      <c r="BI97"/>
      <c r="BJ97"/>
      <c r="BK97"/>
      <c r="BL97"/>
      <c r="BM97"/>
      <c r="BN97"/>
      <c r="BO97"/>
      <c r="BP97"/>
      <c r="BQ97"/>
      <c r="BR97"/>
      <c r="BS97"/>
      <c r="BT97"/>
      <c r="BU97"/>
    </row>
    <row r="98" spans="46:73" ht="15.95" hidden="1" customHeight="1" x14ac:dyDescent="0.25">
      <c r="AT98"/>
      <c r="AU98"/>
      <c r="AV98"/>
      <c r="AW98"/>
      <c r="AX98"/>
      <c r="AY98"/>
      <c r="AZ98"/>
      <c r="BA98"/>
      <c r="BB98"/>
      <c r="BC98"/>
      <c r="BD98"/>
      <c r="BE98"/>
      <c r="BF98"/>
      <c r="BG98"/>
      <c r="BH98"/>
      <c r="BI98"/>
      <c r="BJ98"/>
      <c r="BK98"/>
      <c r="BL98"/>
      <c r="BM98"/>
      <c r="BN98"/>
      <c r="BO98"/>
      <c r="BP98"/>
      <c r="BQ98"/>
      <c r="BR98"/>
      <c r="BS98"/>
      <c r="BT98"/>
      <c r="BU98"/>
    </row>
    <row r="99" spans="46:73" ht="15.95" hidden="1" customHeight="1" x14ac:dyDescent="0.25">
      <c r="AT99"/>
      <c r="AU99"/>
      <c r="AV99"/>
      <c r="AW99"/>
      <c r="AX99"/>
      <c r="AY99"/>
      <c r="AZ99"/>
      <c r="BA99"/>
      <c r="BB99"/>
      <c r="BC99"/>
      <c r="BD99"/>
      <c r="BE99"/>
      <c r="BF99"/>
      <c r="BG99"/>
      <c r="BH99"/>
      <c r="BI99"/>
      <c r="BJ99"/>
      <c r="BK99"/>
      <c r="BL99"/>
      <c r="BM99"/>
      <c r="BN99"/>
      <c r="BO99"/>
      <c r="BP99"/>
      <c r="BQ99"/>
      <c r="BR99"/>
      <c r="BS99"/>
      <c r="BT99"/>
      <c r="BU99"/>
    </row>
    <row r="100" spans="46:73" ht="15.95" hidden="1" customHeight="1" x14ac:dyDescent="0.25">
      <c r="AT100"/>
      <c r="AU100"/>
      <c r="AV100"/>
      <c r="AW100"/>
      <c r="AX100"/>
      <c r="AY100"/>
      <c r="AZ100"/>
      <c r="BA100"/>
      <c r="BB100"/>
      <c r="BC100"/>
      <c r="BD100"/>
      <c r="BE100"/>
      <c r="BF100"/>
      <c r="BG100"/>
      <c r="BH100"/>
      <c r="BI100"/>
      <c r="BJ100"/>
      <c r="BK100"/>
      <c r="BL100"/>
      <c r="BM100"/>
      <c r="BN100"/>
      <c r="BO100"/>
      <c r="BP100"/>
      <c r="BQ100"/>
      <c r="BR100"/>
      <c r="BS100"/>
      <c r="BT100"/>
      <c r="BU100"/>
    </row>
    <row r="101" spans="46:73" ht="15.95" hidden="1" customHeight="1" x14ac:dyDescent="0.25">
      <c r="AT101"/>
      <c r="AU101"/>
      <c r="AV101"/>
      <c r="AW101"/>
      <c r="AX101"/>
      <c r="AY101"/>
      <c r="AZ101"/>
      <c r="BA101"/>
      <c r="BB101"/>
      <c r="BC101"/>
      <c r="BD101"/>
      <c r="BE101"/>
      <c r="BF101"/>
      <c r="BG101"/>
      <c r="BH101"/>
      <c r="BI101"/>
      <c r="BJ101"/>
      <c r="BK101"/>
      <c r="BL101"/>
      <c r="BM101"/>
      <c r="BN101"/>
      <c r="BO101"/>
      <c r="BP101"/>
      <c r="BQ101"/>
      <c r="BR101"/>
      <c r="BS101"/>
      <c r="BT101"/>
      <c r="BU101"/>
    </row>
    <row r="102" spans="46:73" ht="15.95" hidden="1" customHeight="1" x14ac:dyDescent="0.25">
      <c r="AT102"/>
      <c r="AU102"/>
      <c r="AV102"/>
      <c r="AW102"/>
      <c r="AX102"/>
      <c r="AY102"/>
      <c r="AZ102"/>
      <c r="BA102"/>
      <c r="BB102"/>
      <c r="BC102"/>
      <c r="BD102"/>
      <c r="BE102"/>
      <c r="BF102"/>
      <c r="BG102"/>
      <c r="BH102"/>
      <c r="BI102"/>
      <c r="BJ102"/>
      <c r="BK102"/>
      <c r="BL102"/>
      <c r="BM102"/>
      <c r="BN102"/>
      <c r="BO102"/>
      <c r="BP102"/>
      <c r="BQ102"/>
      <c r="BR102"/>
      <c r="BS102"/>
      <c r="BT102"/>
      <c r="BU102"/>
    </row>
    <row r="103" spans="46:73" ht="15.95" hidden="1" customHeight="1" x14ac:dyDescent="0.25">
      <c r="AT103"/>
      <c r="AU103"/>
      <c r="AV103"/>
      <c r="AW103"/>
      <c r="AX103"/>
      <c r="AY103"/>
      <c r="AZ103"/>
      <c r="BA103"/>
      <c r="BB103"/>
      <c r="BC103"/>
      <c r="BD103"/>
      <c r="BE103"/>
      <c r="BF103"/>
      <c r="BG103"/>
      <c r="BH103"/>
      <c r="BI103"/>
      <c r="BJ103"/>
      <c r="BK103"/>
      <c r="BL103"/>
      <c r="BM103"/>
      <c r="BN103"/>
      <c r="BO103"/>
      <c r="BP103"/>
      <c r="BQ103"/>
      <c r="BR103"/>
      <c r="BS103"/>
      <c r="BT103"/>
      <c r="BU103"/>
    </row>
    <row r="104" spans="46:73" ht="15.95" hidden="1" customHeight="1" x14ac:dyDescent="0.25">
      <c r="AT104"/>
      <c r="AU104"/>
      <c r="AV104"/>
      <c r="AW104"/>
      <c r="AX104"/>
      <c r="AY104"/>
      <c r="AZ104"/>
      <c r="BA104"/>
      <c r="BB104"/>
      <c r="BC104"/>
      <c r="BD104"/>
      <c r="BE104"/>
      <c r="BF104"/>
      <c r="BG104"/>
      <c r="BH104"/>
      <c r="BI104"/>
      <c r="BJ104"/>
      <c r="BK104"/>
      <c r="BL104"/>
      <c r="BM104"/>
      <c r="BN104"/>
      <c r="BO104"/>
      <c r="BP104"/>
      <c r="BQ104"/>
      <c r="BR104"/>
      <c r="BS104"/>
      <c r="BT104"/>
      <c r="BU104"/>
    </row>
    <row r="105" spans="46:73" ht="15.95" hidden="1" customHeight="1" x14ac:dyDescent="0.25">
      <c r="AT105"/>
      <c r="AU105"/>
      <c r="AV105"/>
      <c r="AW105"/>
      <c r="AX105"/>
      <c r="AY105"/>
      <c r="AZ105"/>
      <c r="BA105"/>
      <c r="BB105"/>
      <c r="BC105"/>
      <c r="BD105"/>
      <c r="BE105"/>
      <c r="BF105"/>
      <c r="BG105"/>
      <c r="BH105"/>
      <c r="BI105"/>
      <c r="BJ105"/>
      <c r="BK105"/>
      <c r="BL105"/>
      <c r="BM105"/>
      <c r="BN105"/>
      <c r="BO105"/>
      <c r="BP105"/>
      <c r="BQ105"/>
      <c r="BR105"/>
      <c r="BS105"/>
      <c r="BT105"/>
      <c r="BU105"/>
    </row>
    <row r="106" spans="46:73" ht="15.95" hidden="1" customHeight="1" x14ac:dyDescent="0.25">
      <c r="AT106"/>
      <c r="AU106"/>
      <c r="AV106"/>
      <c r="AW106"/>
      <c r="AX106"/>
      <c r="AY106"/>
      <c r="AZ106"/>
      <c r="BA106"/>
      <c r="BB106"/>
      <c r="BC106"/>
      <c r="BD106"/>
      <c r="BE106"/>
      <c r="BF106"/>
      <c r="BG106"/>
      <c r="BH106"/>
      <c r="BI106"/>
      <c r="BJ106"/>
      <c r="BK106"/>
      <c r="BL106"/>
      <c r="BM106"/>
      <c r="BN106"/>
      <c r="BO106"/>
      <c r="BP106"/>
      <c r="BQ106"/>
      <c r="BR106"/>
      <c r="BS106"/>
      <c r="BT106"/>
      <c r="BU106"/>
    </row>
    <row r="107" spans="46:73" ht="15.95" hidden="1" customHeight="1" x14ac:dyDescent="0.25">
      <c r="AT107"/>
      <c r="AU107"/>
      <c r="AV107"/>
      <c r="AW107"/>
      <c r="AX107"/>
      <c r="AY107"/>
      <c r="AZ107"/>
      <c r="BA107"/>
      <c r="BB107"/>
      <c r="BC107"/>
      <c r="BD107"/>
      <c r="BE107"/>
      <c r="BF107"/>
      <c r="BG107"/>
      <c r="BH107"/>
      <c r="BI107"/>
      <c r="BJ107"/>
      <c r="BK107"/>
      <c r="BL107"/>
      <c r="BM107"/>
      <c r="BN107"/>
      <c r="BO107"/>
      <c r="BP107"/>
      <c r="BQ107"/>
      <c r="BR107"/>
      <c r="BS107"/>
      <c r="BT107"/>
      <c r="BU107"/>
    </row>
    <row r="108" spans="46:73" ht="15.95" hidden="1" customHeight="1" x14ac:dyDescent="0.25">
      <c r="AT108"/>
      <c r="AU108"/>
      <c r="AV108"/>
      <c r="AW108"/>
      <c r="AX108"/>
      <c r="AY108"/>
      <c r="AZ108"/>
      <c r="BA108"/>
      <c r="BB108"/>
      <c r="BC108"/>
      <c r="BD108"/>
      <c r="BE108"/>
      <c r="BF108"/>
      <c r="BG108"/>
      <c r="BH108"/>
      <c r="BI108"/>
      <c r="BJ108"/>
      <c r="BK108"/>
      <c r="BL108"/>
      <c r="BM108"/>
      <c r="BN108"/>
      <c r="BO108"/>
      <c r="BP108"/>
      <c r="BQ108"/>
      <c r="BR108"/>
      <c r="BS108"/>
      <c r="BT108"/>
      <c r="BU108"/>
    </row>
    <row r="109" spans="46:73" ht="15.95" hidden="1" customHeight="1" x14ac:dyDescent="0.25">
      <c r="AT109"/>
      <c r="AU109"/>
      <c r="AV109"/>
      <c r="AW109"/>
      <c r="AX109"/>
      <c r="AY109"/>
      <c r="AZ109"/>
      <c r="BA109"/>
      <c r="BB109"/>
      <c r="BC109"/>
      <c r="BD109"/>
      <c r="BE109"/>
      <c r="BF109"/>
      <c r="BG109"/>
      <c r="BH109"/>
      <c r="BI109"/>
      <c r="BJ109"/>
      <c r="BK109"/>
      <c r="BL109"/>
      <c r="BM109"/>
      <c r="BN109"/>
      <c r="BO109"/>
      <c r="BP109"/>
      <c r="BQ109"/>
      <c r="BR109"/>
      <c r="BS109"/>
      <c r="BT109"/>
      <c r="BU109"/>
    </row>
    <row r="110" spans="46:73" ht="15.95" hidden="1" customHeight="1" x14ac:dyDescent="0.25">
      <c r="AT110"/>
      <c r="AU110"/>
      <c r="AV110"/>
      <c r="AW110"/>
      <c r="AX110"/>
      <c r="AY110"/>
      <c r="AZ110"/>
      <c r="BA110"/>
      <c r="BB110"/>
      <c r="BC110"/>
      <c r="BD110"/>
      <c r="BE110"/>
      <c r="BF110"/>
      <c r="BG110"/>
      <c r="BH110"/>
      <c r="BI110"/>
      <c r="BJ110"/>
      <c r="BK110"/>
      <c r="BL110"/>
      <c r="BM110"/>
      <c r="BN110"/>
      <c r="BO110"/>
      <c r="BP110"/>
      <c r="BQ110"/>
      <c r="BR110"/>
      <c r="BS110"/>
      <c r="BT110"/>
      <c r="BU110"/>
    </row>
    <row r="111" spans="46:73" ht="15.95" hidden="1" customHeight="1" x14ac:dyDescent="0.25">
      <c r="AT111"/>
      <c r="AU111"/>
      <c r="AV111"/>
      <c r="AW111"/>
      <c r="AX111"/>
      <c r="AY111"/>
      <c r="AZ111"/>
      <c r="BA111"/>
      <c r="BB111"/>
      <c r="BC111"/>
      <c r="BD111"/>
      <c r="BE111"/>
      <c r="BF111"/>
      <c r="BG111"/>
      <c r="BH111"/>
      <c r="BI111"/>
      <c r="BJ111"/>
      <c r="BK111"/>
      <c r="BL111"/>
      <c r="BM111"/>
      <c r="BN111"/>
      <c r="BO111"/>
      <c r="BP111"/>
      <c r="BQ111"/>
      <c r="BR111"/>
      <c r="BS111"/>
      <c r="BT111"/>
      <c r="BU111"/>
    </row>
    <row r="112" spans="46:73" ht="15.95" hidden="1" customHeight="1" x14ac:dyDescent="0.25">
      <c r="AT112"/>
      <c r="AU112"/>
      <c r="AV112"/>
      <c r="AW112"/>
      <c r="AX112"/>
      <c r="AY112"/>
      <c r="AZ112"/>
      <c r="BA112"/>
      <c r="BB112"/>
      <c r="BC112"/>
      <c r="BD112"/>
      <c r="BE112"/>
      <c r="BF112"/>
      <c r="BG112"/>
      <c r="BH112"/>
      <c r="BI112"/>
      <c r="BJ112"/>
      <c r="BK112"/>
      <c r="BL112"/>
      <c r="BM112"/>
      <c r="BN112"/>
      <c r="BO112"/>
      <c r="BP112"/>
      <c r="BQ112"/>
      <c r="BR112"/>
      <c r="BS112"/>
      <c r="BT112"/>
      <c r="BU112"/>
    </row>
    <row r="113" spans="46:73" ht="15.95" hidden="1" customHeight="1" x14ac:dyDescent="0.25">
      <c r="AT113"/>
      <c r="AU113"/>
      <c r="AV113"/>
      <c r="AW113"/>
      <c r="AX113"/>
      <c r="AY113"/>
      <c r="AZ113"/>
      <c r="BA113"/>
      <c r="BB113"/>
      <c r="BC113"/>
      <c r="BD113"/>
      <c r="BE113"/>
      <c r="BF113"/>
      <c r="BG113"/>
      <c r="BH113"/>
      <c r="BI113"/>
      <c r="BJ113"/>
      <c r="BK113"/>
      <c r="BL113"/>
      <c r="BM113"/>
      <c r="BN113"/>
      <c r="BO113"/>
      <c r="BP113"/>
      <c r="BQ113"/>
      <c r="BR113"/>
      <c r="BS113"/>
      <c r="BT113"/>
      <c r="BU113"/>
    </row>
    <row r="114" spans="46:73" ht="15.95" hidden="1" customHeight="1" x14ac:dyDescent="0.25">
      <c r="AT114"/>
      <c r="AU114"/>
      <c r="AV114"/>
      <c r="AW114"/>
      <c r="AX114"/>
      <c r="AY114"/>
      <c r="AZ114"/>
      <c r="BA114"/>
      <c r="BB114"/>
      <c r="BC114"/>
      <c r="BD114"/>
      <c r="BE114"/>
      <c r="BF114"/>
      <c r="BG114"/>
      <c r="BH114"/>
      <c r="BI114"/>
      <c r="BJ114"/>
      <c r="BK114"/>
      <c r="BL114"/>
      <c r="BM114"/>
      <c r="BN114"/>
      <c r="BO114"/>
      <c r="BP114"/>
      <c r="BQ114"/>
      <c r="BR114"/>
      <c r="BS114"/>
      <c r="BT114"/>
      <c r="BU114"/>
    </row>
    <row r="115" spans="46:73" ht="15.95" hidden="1" customHeight="1" x14ac:dyDescent="0.25">
      <c r="AT115"/>
      <c r="AU115"/>
      <c r="AV115"/>
      <c r="AW115"/>
      <c r="AX115"/>
      <c r="AY115"/>
      <c r="AZ115"/>
      <c r="BA115"/>
      <c r="BB115"/>
      <c r="BC115"/>
      <c r="BD115"/>
      <c r="BE115"/>
      <c r="BF115"/>
      <c r="BG115"/>
      <c r="BH115"/>
      <c r="BI115"/>
      <c r="BJ115"/>
      <c r="BK115"/>
      <c r="BL115"/>
      <c r="BM115"/>
      <c r="BN115"/>
      <c r="BO115"/>
      <c r="BP115"/>
      <c r="BQ115"/>
      <c r="BR115"/>
      <c r="BS115"/>
      <c r="BT115"/>
      <c r="BU115"/>
    </row>
    <row r="116" spans="46:73" ht="15.95" hidden="1" customHeight="1" x14ac:dyDescent="0.25">
      <c r="AT116"/>
      <c r="AU116"/>
      <c r="AV116"/>
      <c r="AW116"/>
      <c r="AX116"/>
      <c r="AY116"/>
      <c r="AZ116"/>
      <c r="BA116"/>
      <c r="BB116"/>
      <c r="BC116"/>
      <c r="BD116"/>
      <c r="BE116"/>
      <c r="BF116"/>
      <c r="BG116"/>
      <c r="BH116"/>
      <c r="BI116"/>
      <c r="BJ116"/>
      <c r="BK116"/>
      <c r="BL116"/>
      <c r="BM116"/>
      <c r="BN116"/>
      <c r="BO116"/>
      <c r="BP116"/>
      <c r="BQ116"/>
      <c r="BR116"/>
      <c r="BS116"/>
      <c r="BT116"/>
      <c r="BU116"/>
    </row>
    <row r="117" spans="46:73" ht="15.95" hidden="1" customHeight="1" x14ac:dyDescent="0.25">
      <c r="AT117"/>
      <c r="AU117"/>
      <c r="AV117"/>
      <c r="AW117"/>
      <c r="AX117"/>
      <c r="AY117"/>
      <c r="AZ117"/>
      <c r="BA117"/>
      <c r="BB117"/>
      <c r="BC117"/>
      <c r="BD117"/>
      <c r="BE117"/>
      <c r="BF117"/>
      <c r="BG117"/>
      <c r="BH117"/>
      <c r="BI117"/>
      <c r="BJ117"/>
      <c r="BK117"/>
      <c r="BL117"/>
      <c r="BM117"/>
      <c r="BN117"/>
      <c r="BO117"/>
      <c r="BP117"/>
      <c r="BQ117"/>
      <c r="BR117"/>
      <c r="BS117"/>
      <c r="BT117"/>
      <c r="BU117"/>
    </row>
    <row r="118" spans="46:73" ht="15.95" hidden="1" customHeight="1" x14ac:dyDescent="0.25">
      <c r="AT118"/>
      <c r="AU118"/>
      <c r="AV118"/>
      <c r="AW118"/>
      <c r="AX118"/>
      <c r="AY118"/>
      <c r="AZ118"/>
      <c r="BA118"/>
      <c r="BB118"/>
      <c r="BC118"/>
      <c r="BD118"/>
      <c r="BE118"/>
      <c r="BF118"/>
      <c r="BG118"/>
      <c r="BH118"/>
      <c r="BI118"/>
      <c r="BJ118"/>
      <c r="BK118"/>
      <c r="BL118"/>
      <c r="BM118"/>
      <c r="BN118"/>
      <c r="BO118"/>
      <c r="BP118"/>
      <c r="BQ118"/>
      <c r="BR118"/>
      <c r="BS118"/>
      <c r="BT118"/>
      <c r="BU118"/>
    </row>
    <row r="119" spans="46:73" ht="15.95" hidden="1" customHeight="1" x14ac:dyDescent="0.25">
      <c r="AT119"/>
      <c r="AU119"/>
      <c r="AV119"/>
      <c r="AW119"/>
      <c r="AX119"/>
      <c r="AY119"/>
      <c r="AZ119"/>
      <c r="BA119"/>
      <c r="BB119"/>
      <c r="BC119"/>
      <c r="BD119"/>
      <c r="BE119"/>
      <c r="BF119"/>
      <c r="BG119"/>
      <c r="BH119"/>
      <c r="BI119"/>
      <c r="BJ119"/>
      <c r="BK119"/>
      <c r="BL119"/>
      <c r="BM119"/>
      <c r="BN119"/>
      <c r="BO119"/>
      <c r="BP119"/>
      <c r="BQ119"/>
      <c r="BR119"/>
      <c r="BS119"/>
      <c r="BT119"/>
      <c r="BU119"/>
    </row>
    <row r="120" spans="46:73" ht="15.95" hidden="1" customHeight="1" x14ac:dyDescent="0.25">
      <c r="AT120"/>
      <c r="AU120"/>
      <c r="AV120"/>
      <c r="AW120"/>
      <c r="AX120"/>
      <c r="AY120"/>
      <c r="AZ120"/>
      <c r="BA120"/>
      <c r="BB120"/>
      <c r="BC120"/>
      <c r="BD120"/>
      <c r="BE120"/>
      <c r="BF120"/>
      <c r="BG120"/>
      <c r="BH120"/>
      <c r="BI120"/>
      <c r="BJ120"/>
      <c r="BK120"/>
      <c r="BL120"/>
      <c r="BM120"/>
      <c r="BN120"/>
      <c r="BO120"/>
      <c r="BP120"/>
      <c r="BQ120"/>
      <c r="BR120"/>
      <c r="BS120"/>
      <c r="BT120"/>
      <c r="BU120"/>
    </row>
    <row r="121" spans="46:73" ht="15.95" hidden="1" customHeight="1" x14ac:dyDescent="0.25">
      <c r="AT121"/>
      <c r="AU121"/>
      <c r="AV121"/>
      <c r="AW121"/>
      <c r="AX121"/>
      <c r="AY121"/>
      <c r="AZ121"/>
      <c r="BA121"/>
      <c r="BB121"/>
      <c r="BC121"/>
      <c r="BD121"/>
      <c r="BE121"/>
      <c r="BF121"/>
      <c r="BG121"/>
      <c r="BH121"/>
      <c r="BI121"/>
      <c r="BJ121"/>
      <c r="BK121"/>
      <c r="BL121"/>
      <c r="BM121"/>
      <c r="BN121"/>
      <c r="BO121"/>
      <c r="BP121"/>
      <c r="BQ121"/>
      <c r="BR121"/>
      <c r="BS121"/>
      <c r="BT121"/>
      <c r="BU121"/>
    </row>
    <row r="122" spans="46:73" ht="15.95" hidden="1" customHeight="1" x14ac:dyDescent="0.25">
      <c r="AT122"/>
      <c r="AU122"/>
      <c r="AV122"/>
      <c r="AW122"/>
      <c r="AX122"/>
      <c r="AY122"/>
      <c r="AZ122"/>
      <c r="BA122"/>
      <c r="BB122"/>
      <c r="BC122"/>
      <c r="BD122"/>
      <c r="BE122"/>
      <c r="BF122"/>
      <c r="BG122"/>
      <c r="BH122"/>
      <c r="BI122"/>
      <c r="BJ122"/>
      <c r="BK122"/>
      <c r="BL122"/>
      <c r="BM122"/>
      <c r="BN122"/>
      <c r="BO122"/>
      <c r="BP122"/>
      <c r="BQ122"/>
      <c r="BR122"/>
      <c r="BS122"/>
      <c r="BT122"/>
      <c r="BU122"/>
    </row>
    <row r="123" spans="46:73" ht="15.95" hidden="1" customHeight="1" x14ac:dyDescent="0.25">
      <c r="AT123"/>
      <c r="AU123"/>
      <c r="AV123"/>
      <c r="AW123"/>
      <c r="AX123"/>
      <c r="AY123"/>
      <c r="AZ123"/>
      <c r="BA123"/>
      <c r="BB123"/>
      <c r="BC123"/>
      <c r="BD123"/>
      <c r="BE123"/>
      <c r="BF123"/>
      <c r="BG123"/>
      <c r="BH123"/>
      <c r="BI123"/>
      <c r="BJ123"/>
      <c r="BK123"/>
      <c r="BL123"/>
      <c r="BM123"/>
      <c r="BN123"/>
      <c r="BO123"/>
      <c r="BP123"/>
      <c r="BQ123"/>
      <c r="BR123"/>
      <c r="BS123"/>
      <c r="BT123"/>
      <c r="BU123"/>
    </row>
    <row r="124" spans="46:73" ht="15.95" hidden="1" customHeight="1" x14ac:dyDescent="0.25">
      <c r="AT124"/>
      <c r="AU124"/>
      <c r="AV124"/>
      <c r="AW124"/>
      <c r="AX124"/>
      <c r="AY124"/>
      <c r="AZ124"/>
      <c r="BA124"/>
      <c r="BB124"/>
      <c r="BC124"/>
      <c r="BD124"/>
      <c r="BE124"/>
      <c r="BF124"/>
      <c r="BG124"/>
      <c r="BH124"/>
      <c r="BI124"/>
      <c r="BJ124"/>
      <c r="BK124"/>
      <c r="BL124"/>
      <c r="BM124"/>
      <c r="BN124"/>
      <c r="BO124"/>
      <c r="BP124"/>
      <c r="BQ124"/>
      <c r="BR124"/>
      <c r="BS124"/>
      <c r="BT124"/>
      <c r="BU124"/>
    </row>
    <row r="125" spans="46:73" ht="15.95" hidden="1" customHeight="1" x14ac:dyDescent="0.25">
      <c r="AT125"/>
      <c r="AU125"/>
      <c r="AV125"/>
      <c r="AW125"/>
      <c r="AX125"/>
      <c r="AY125"/>
      <c r="AZ125"/>
      <c r="BA125"/>
      <c r="BB125"/>
      <c r="BC125"/>
      <c r="BD125"/>
      <c r="BE125"/>
      <c r="BF125"/>
      <c r="BG125"/>
      <c r="BH125"/>
      <c r="BI125"/>
      <c r="BJ125"/>
      <c r="BK125"/>
      <c r="BL125"/>
      <c r="BM125"/>
      <c r="BN125"/>
      <c r="BO125"/>
      <c r="BP125"/>
      <c r="BQ125"/>
      <c r="BR125"/>
      <c r="BS125"/>
      <c r="BT125"/>
      <c r="BU125"/>
    </row>
    <row r="126" spans="46:73" ht="15.95" hidden="1" customHeight="1" x14ac:dyDescent="0.25">
      <c r="AT126"/>
      <c r="AU126"/>
      <c r="AV126"/>
      <c r="AW126"/>
      <c r="AX126"/>
      <c r="AY126"/>
      <c r="AZ126"/>
      <c r="BA126"/>
      <c r="BB126"/>
      <c r="BC126"/>
      <c r="BD126"/>
      <c r="BE126"/>
      <c r="BF126"/>
      <c r="BG126"/>
      <c r="BH126"/>
      <c r="BI126"/>
      <c r="BJ126"/>
      <c r="BK126"/>
      <c r="BL126"/>
      <c r="BM126"/>
      <c r="BN126"/>
      <c r="BO126"/>
      <c r="BP126"/>
      <c r="BQ126"/>
      <c r="BR126"/>
      <c r="BS126"/>
      <c r="BT126"/>
      <c r="BU126"/>
    </row>
    <row r="127" spans="46:73" ht="15.95" hidden="1" customHeight="1" x14ac:dyDescent="0.25">
      <c r="AT127"/>
      <c r="AU127"/>
      <c r="AV127"/>
      <c r="AW127"/>
      <c r="AX127"/>
      <c r="AY127"/>
      <c r="AZ127"/>
      <c r="BA127"/>
      <c r="BB127"/>
      <c r="BC127"/>
      <c r="BD127"/>
      <c r="BE127"/>
      <c r="BF127"/>
      <c r="BG127"/>
      <c r="BH127"/>
      <c r="BI127"/>
      <c r="BJ127"/>
      <c r="BK127"/>
      <c r="BL127"/>
      <c r="BM127"/>
      <c r="BN127"/>
      <c r="BO127"/>
      <c r="BP127"/>
      <c r="BQ127"/>
      <c r="BR127"/>
      <c r="BS127"/>
      <c r="BT127"/>
      <c r="BU127"/>
    </row>
    <row r="128" spans="46:73" ht="15.95" hidden="1" customHeight="1" x14ac:dyDescent="0.25">
      <c r="AT128"/>
      <c r="AU128"/>
      <c r="AV128"/>
      <c r="AW128"/>
      <c r="AX128"/>
      <c r="AY128"/>
      <c r="AZ128"/>
      <c r="BA128"/>
      <c r="BB128"/>
      <c r="BC128"/>
      <c r="BD128"/>
      <c r="BE128"/>
      <c r="BF128"/>
      <c r="BG128"/>
      <c r="BH128"/>
      <c r="BI128"/>
      <c r="BJ128"/>
      <c r="BK128"/>
      <c r="BL128"/>
      <c r="BM128"/>
      <c r="BN128"/>
      <c r="BO128"/>
      <c r="BP128"/>
      <c r="BQ128"/>
      <c r="BR128"/>
      <c r="BS128"/>
      <c r="BT128"/>
      <c r="BU128"/>
    </row>
    <row r="129" spans="46:73" ht="15.95" hidden="1" customHeight="1" x14ac:dyDescent="0.25">
      <c r="AT129"/>
      <c r="AU129"/>
      <c r="AV129"/>
      <c r="AW129"/>
      <c r="AX129"/>
      <c r="AY129"/>
      <c r="AZ129"/>
      <c r="BA129"/>
      <c r="BB129"/>
      <c r="BC129"/>
      <c r="BD129"/>
      <c r="BE129"/>
      <c r="BF129"/>
      <c r="BG129"/>
      <c r="BH129"/>
      <c r="BI129"/>
      <c r="BJ129"/>
      <c r="BK129"/>
      <c r="BL129"/>
      <c r="BM129"/>
      <c r="BN129"/>
      <c r="BO129"/>
      <c r="BP129"/>
      <c r="BQ129"/>
      <c r="BR129"/>
      <c r="BS129"/>
      <c r="BT129"/>
      <c r="BU129"/>
    </row>
    <row r="130" spans="46:73" ht="15.95" hidden="1" customHeight="1" x14ac:dyDescent="0.25">
      <c r="AT130"/>
      <c r="AU130"/>
      <c r="AV130"/>
      <c r="AW130"/>
      <c r="AX130"/>
      <c r="AY130"/>
      <c r="AZ130"/>
      <c r="BA130"/>
      <c r="BB130"/>
      <c r="BC130"/>
      <c r="BD130"/>
      <c r="BE130"/>
      <c r="BF130"/>
      <c r="BG130"/>
      <c r="BH130"/>
      <c r="BI130"/>
      <c r="BJ130"/>
      <c r="BK130"/>
      <c r="BL130"/>
      <c r="BM130"/>
      <c r="BN130"/>
      <c r="BO130"/>
      <c r="BP130"/>
      <c r="BQ130"/>
      <c r="BR130"/>
      <c r="BS130"/>
      <c r="BT130"/>
      <c r="BU130"/>
    </row>
    <row r="131" spans="46:73" ht="15.95" hidden="1" customHeight="1" x14ac:dyDescent="0.25">
      <c r="AT131"/>
      <c r="AU131"/>
      <c r="AV131"/>
      <c r="AW131"/>
      <c r="AX131"/>
      <c r="AY131"/>
      <c r="AZ131"/>
      <c r="BA131"/>
      <c r="BB131"/>
      <c r="BC131"/>
      <c r="BD131"/>
      <c r="BE131"/>
      <c r="BF131"/>
      <c r="BG131"/>
      <c r="BH131"/>
      <c r="BI131"/>
      <c r="BJ131"/>
      <c r="BK131"/>
      <c r="BL131"/>
      <c r="BM131"/>
      <c r="BN131"/>
      <c r="BO131"/>
      <c r="BP131"/>
      <c r="BQ131"/>
      <c r="BR131"/>
      <c r="BS131"/>
      <c r="BT131"/>
      <c r="BU131"/>
    </row>
    <row r="132" spans="46:73" ht="15.95" hidden="1" customHeight="1" x14ac:dyDescent="0.25">
      <c r="AT132"/>
      <c r="AU132"/>
      <c r="AV132"/>
      <c r="AW132"/>
      <c r="AX132"/>
      <c r="AY132"/>
      <c r="AZ132"/>
      <c r="BA132"/>
      <c r="BB132"/>
      <c r="BC132"/>
      <c r="BD132"/>
      <c r="BE132"/>
      <c r="BF132"/>
      <c r="BG132"/>
      <c r="BH132"/>
      <c r="BI132"/>
      <c r="BJ132"/>
      <c r="BK132"/>
      <c r="BL132"/>
      <c r="BM132"/>
      <c r="BN132"/>
      <c r="BO132"/>
      <c r="BP132"/>
      <c r="BQ132"/>
      <c r="BR132"/>
      <c r="BS132"/>
      <c r="BT132"/>
      <c r="BU132"/>
    </row>
    <row r="133" spans="46:73" ht="15.95" hidden="1" customHeight="1" x14ac:dyDescent="0.25">
      <c r="AT133"/>
      <c r="AU133"/>
      <c r="AV133"/>
      <c r="AW133"/>
      <c r="AX133"/>
      <c r="AY133"/>
      <c r="AZ133"/>
      <c r="BA133"/>
      <c r="BB133"/>
      <c r="BC133"/>
      <c r="BD133"/>
      <c r="BE133"/>
      <c r="BF133"/>
      <c r="BG133"/>
      <c r="BH133"/>
      <c r="BI133"/>
      <c r="BJ133"/>
      <c r="BK133"/>
      <c r="BL133"/>
      <c r="BM133"/>
      <c r="BN133"/>
      <c r="BO133"/>
      <c r="BP133"/>
      <c r="BQ133"/>
      <c r="BR133"/>
      <c r="BS133"/>
      <c r="BT133"/>
      <c r="BU133"/>
    </row>
    <row r="134" spans="46:73" ht="15.95" hidden="1" customHeight="1" x14ac:dyDescent="0.25">
      <c r="AT134"/>
      <c r="AU134"/>
      <c r="AV134"/>
      <c r="AW134"/>
      <c r="AX134"/>
      <c r="AY134"/>
      <c r="AZ134"/>
      <c r="BA134"/>
      <c r="BB134"/>
      <c r="BC134"/>
      <c r="BD134"/>
      <c r="BE134"/>
      <c r="BF134"/>
      <c r="BG134"/>
      <c r="BH134"/>
      <c r="BI134"/>
      <c r="BJ134"/>
      <c r="BK134"/>
      <c r="BL134"/>
      <c r="BM134"/>
      <c r="BN134"/>
      <c r="BO134"/>
      <c r="BP134"/>
      <c r="BQ134"/>
      <c r="BR134"/>
      <c r="BS134"/>
      <c r="BT134"/>
      <c r="BU134"/>
    </row>
    <row r="135" spans="46:73" ht="15.95" hidden="1" customHeight="1" x14ac:dyDescent="0.25">
      <c r="AT135"/>
      <c r="AU135"/>
      <c r="AV135"/>
      <c r="AW135"/>
      <c r="AX135"/>
      <c r="AY135"/>
      <c r="AZ135"/>
      <c r="BA135"/>
      <c r="BB135"/>
      <c r="BC135"/>
      <c r="BD135"/>
      <c r="BE135"/>
      <c r="BF135"/>
      <c r="BG135"/>
      <c r="BH135"/>
      <c r="BI135"/>
      <c r="BJ135"/>
      <c r="BK135"/>
      <c r="BL135"/>
      <c r="BM135"/>
      <c r="BN135"/>
      <c r="BO135"/>
      <c r="BP135"/>
      <c r="BQ135"/>
      <c r="BR135"/>
      <c r="BS135"/>
      <c r="BT135"/>
      <c r="BU135"/>
    </row>
    <row r="136" spans="46:73" ht="15.95" hidden="1" customHeight="1" x14ac:dyDescent="0.25">
      <c r="AT136"/>
      <c r="AU136"/>
      <c r="AV136"/>
      <c r="AW136"/>
      <c r="AX136"/>
      <c r="AY136"/>
      <c r="AZ136"/>
      <c r="BA136"/>
      <c r="BB136"/>
      <c r="BC136"/>
      <c r="BD136"/>
      <c r="BE136"/>
      <c r="BF136"/>
      <c r="BG136"/>
      <c r="BH136"/>
      <c r="BI136"/>
      <c r="BJ136"/>
      <c r="BK136"/>
      <c r="BL136"/>
      <c r="BM136"/>
      <c r="BN136"/>
      <c r="BO136"/>
      <c r="BP136"/>
      <c r="BQ136"/>
      <c r="BR136"/>
      <c r="BS136"/>
      <c r="BT136"/>
      <c r="BU136"/>
    </row>
    <row r="137" spans="46:73" ht="15.95" hidden="1" customHeight="1" x14ac:dyDescent="0.25">
      <c r="AT137"/>
      <c r="AU137"/>
      <c r="AV137"/>
      <c r="AW137"/>
      <c r="AX137"/>
      <c r="AY137"/>
      <c r="AZ137"/>
      <c r="BA137"/>
      <c r="BB137"/>
      <c r="BC137"/>
      <c r="BD137"/>
      <c r="BE137"/>
      <c r="BF137"/>
      <c r="BG137"/>
      <c r="BH137"/>
      <c r="BI137"/>
      <c r="BJ137"/>
      <c r="BK137"/>
      <c r="BL137"/>
      <c r="BM137"/>
      <c r="BN137"/>
      <c r="BO137"/>
      <c r="BP137"/>
      <c r="BQ137"/>
      <c r="BR137"/>
      <c r="BS137"/>
      <c r="BT137"/>
      <c r="BU137"/>
    </row>
    <row r="138" spans="46:73" ht="15.95" hidden="1" customHeight="1" x14ac:dyDescent="0.25">
      <c r="AT138"/>
      <c r="AU138"/>
      <c r="AV138"/>
      <c r="AW138"/>
      <c r="AX138"/>
      <c r="AY138"/>
      <c r="AZ138"/>
      <c r="BA138"/>
      <c r="BB138"/>
      <c r="BC138"/>
      <c r="BD138"/>
      <c r="BE138"/>
      <c r="BF138"/>
      <c r="BG138"/>
      <c r="BH138"/>
      <c r="BI138"/>
      <c r="BJ138"/>
      <c r="BK138"/>
      <c r="BL138"/>
      <c r="BM138"/>
      <c r="BN138"/>
      <c r="BO138"/>
      <c r="BP138"/>
      <c r="BQ138"/>
      <c r="BR138"/>
      <c r="BS138"/>
      <c r="BT138"/>
      <c r="BU138"/>
    </row>
    <row r="139" spans="46:73" ht="15.95" hidden="1" customHeight="1" x14ac:dyDescent="0.25">
      <c r="AT139"/>
      <c r="AU139"/>
      <c r="AV139"/>
      <c r="AW139"/>
      <c r="AX139"/>
      <c r="AY139"/>
      <c r="AZ139"/>
      <c r="BA139"/>
      <c r="BB139"/>
      <c r="BC139"/>
      <c r="BD139"/>
      <c r="BE139"/>
      <c r="BF139"/>
      <c r="BG139"/>
      <c r="BH139"/>
      <c r="BI139"/>
      <c r="BJ139"/>
      <c r="BK139"/>
      <c r="BL139"/>
      <c r="BM139"/>
      <c r="BN139"/>
      <c r="BO139"/>
      <c r="BP139"/>
      <c r="BQ139"/>
      <c r="BR139"/>
      <c r="BS139"/>
      <c r="BT139"/>
      <c r="BU139"/>
    </row>
    <row r="140" spans="46:73" ht="15.95" hidden="1" customHeight="1" x14ac:dyDescent="0.25">
      <c r="AT140"/>
      <c r="AU140"/>
      <c r="AV140"/>
      <c r="AW140"/>
      <c r="AX140"/>
      <c r="AY140"/>
      <c r="AZ140"/>
      <c r="BA140"/>
      <c r="BB140"/>
      <c r="BC140"/>
      <c r="BD140"/>
      <c r="BE140"/>
      <c r="BF140"/>
      <c r="BG140"/>
      <c r="BH140"/>
      <c r="BI140"/>
      <c r="BJ140"/>
      <c r="BK140"/>
      <c r="BL140"/>
      <c r="BM140"/>
      <c r="BN140"/>
      <c r="BO140"/>
      <c r="BP140"/>
      <c r="BQ140"/>
      <c r="BR140"/>
      <c r="BS140"/>
      <c r="BT140"/>
      <c r="BU140"/>
    </row>
    <row r="141" spans="46:73" ht="15.95" hidden="1" customHeight="1" x14ac:dyDescent="0.25">
      <c r="AT141"/>
      <c r="AU141"/>
      <c r="AV141"/>
      <c r="AW141"/>
      <c r="AX141"/>
      <c r="AY141"/>
      <c r="AZ141"/>
      <c r="BA141"/>
      <c r="BB141"/>
      <c r="BC141"/>
      <c r="BD141"/>
      <c r="BE141"/>
      <c r="BF141"/>
      <c r="BG141"/>
      <c r="BH141"/>
      <c r="BI141"/>
      <c r="BJ141"/>
      <c r="BK141"/>
      <c r="BL141"/>
      <c r="BM141"/>
      <c r="BN141"/>
      <c r="BO141"/>
      <c r="BP141"/>
      <c r="BQ141"/>
      <c r="BR141"/>
      <c r="BS141"/>
      <c r="BT141"/>
      <c r="BU141"/>
    </row>
    <row r="142" spans="46:73" ht="15.95" hidden="1" customHeight="1" x14ac:dyDescent="0.25">
      <c r="AT142"/>
      <c r="AU142"/>
      <c r="AV142"/>
      <c r="AW142"/>
      <c r="AX142"/>
      <c r="AY142"/>
      <c r="AZ142"/>
      <c r="BA142"/>
      <c r="BB142"/>
      <c r="BC142"/>
      <c r="BD142"/>
      <c r="BE142"/>
      <c r="BF142"/>
      <c r="BG142"/>
      <c r="BH142"/>
      <c r="BI142"/>
      <c r="BJ142"/>
      <c r="BK142"/>
      <c r="BL142"/>
      <c r="BM142"/>
      <c r="BN142"/>
      <c r="BO142"/>
      <c r="BP142"/>
      <c r="BQ142"/>
      <c r="BR142"/>
      <c r="BS142"/>
      <c r="BT142"/>
      <c r="BU142"/>
    </row>
    <row r="143" spans="46:73" ht="15.95" hidden="1" customHeight="1" x14ac:dyDescent="0.25">
      <c r="AT143"/>
      <c r="AU143"/>
      <c r="AV143"/>
      <c r="AW143"/>
      <c r="AX143"/>
      <c r="AY143"/>
      <c r="AZ143"/>
      <c r="BA143"/>
      <c r="BB143"/>
      <c r="BC143"/>
      <c r="BD143"/>
      <c r="BE143"/>
      <c r="BF143"/>
      <c r="BG143"/>
      <c r="BH143"/>
      <c r="BI143"/>
      <c r="BJ143"/>
      <c r="BK143"/>
      <c r="BL143"/>
      <c r="BM143"/>
      <c r="BN143"/>
      <c r="BO143"/>
      <c r="BP143"/>
      <c r="BQ143"/>
      <c r="BR143"/>
      <c r="BS143"/>
      <c r="BT143"/>
      <c r="BU143"/>
    </row>
    <row r="144" spans="46:73" ht="15.95" hidden="1" customHeight="1" x14ac:dyDescent="0.25">
      <c r="AT144"/>
      <c r="AU144"/>
      <c r="AV144"/>
      <c r="AW144"/>
      <c r="AX144"/>
      <c r="AY144"/>
      <c r="AZ144"/>
      <c r="BA144"/>
      <c r="BB144"/>
      <c r="BC144"/>
      <c r="BD144"/>
      <c r="BE144"/>
      <c r="BF144"/>
      <c r="BG144"/>
      <c r="BH144"/>
      <c r="BI144"/>
      <c r="BJ144"/>
      <c r="BK144"/>
      <c r="BL144"/>
      <c r="BM144"/>
      <c r="BN144"/>
      <c r="BO144"/>
      <c r="BP144"/>
      <c r="BQ144"/>
      <c r="BR144"/>
      <c r="BS144"/>
      <c r="BT144"/>
      <c r="BU144"/>
    </row>
    <row r="145" spans="46:73" ht="15.95" hidden="1" customHeight="1" x14ac:dyDescent="0.25">
      <c r="AT145"/>
      <c r="AU145"/>
      <c r="AV145"/>
      <c r="AW145"/>
      <c r="AX145"/>
      <c r="AY145"/>
      <c r="AZ145"/>
      <c r="BA145"/>
      <c r="BB145"/>
      <c r="BC145"/>
      <c r="BD145"/>
      <c r="BE145"/>
      <c r="BF145"/>
      <c r="BG145"/>
      <c r="BH145"/>
      <c r="BI145"/>
      <c r="BJ145"/>
      <c r="BK145"/>
      <c r="BL145"/>
      <c r="BM145"/>
      <c r="BN145"/>
      <c r="BO145"/>
      <c r="BP145"/>
      <c r="BQ145"/>
      <c r="BR145"/>
      <c r="BS145"/>
      <c r="BT145"/>
      <c r="BU145"/>
    </row>
    <row r="146" spans="46:73" ht="15.95" hidden="1" customHeight="1" x14ac:dyDescent="0.25">
      <c r="AT146"/>
      <c r="AU146"/>
      <c r="AV146"/>
      <c r="AW146"/>
      <c r="AX146"/>
      <c r="AY146"/>
      <c r="AZ146"/>
      <c r="BA146"/>
      <c r="BB146"/>
      <c r="BC146"/>
      <c r="BD146"/>
      <c r="BE146"/>
      <c r="BF146"/>
      <c r="BG146"/>
      <c r="BH146"/>
      <c r="BI146"/>
      <c r="BJ146"/>
      <c r="BK146"/>
      <c r="BL146"/>
      <c r="BM146"/>
      <c r="BN146"/>
      <c r="BO146"/>
      <c r="BP146"/>
      <c r="BQ146"/>
      <c r="BR146"/>
      <c r="BS146"/>
      <c r="BT146"/>
      <c r="BU146"/>
    </row>
    <row r="147" spans="46:73" ht="15.95" hidden="1" customHeight="1" x14ac:dyDescent="0.25">
      <c r="AT147"/>
      <c r="AU147"/>
      <c r="AV147"/>
      <c r="AW147"/>
      <c r="AX147"/>
      <c r="AY147"/>
      <c r="AZ147"/>
      <c r="BA147"/>
      <c r="BB147"/>
      <c r="BC147"/>
      <c r="BD147"/>
      <c r="BE147"/>
      <c r="BF147"/>
      <c r="BG147"/>
      <c r="BH147"/>
      <c r="BI147"/>
      <c r="BJ147"/>
      <c r="BK147"/>
      <c r="BL147"/>
      <c r="BM147"/>
      <c r="BN147"/>
      <c r="BO147"/>
      <c r="BP147"/>
      <c r="BQ147"/>
      <c r="BR147"/>
      <c r="BS147"/>
      <c r="BT147"/>
      <c r="BU147"/>
    </row>
    <row r="148" spans="46:73" ht="15.95" hidden="1" customHeight="1" x14ac:dyDescent="0.25">
      <c r="AT148"/>
      <c r="AU148"/>
      <c r="AV148"/>
      <c r="AW148"/>
      <c r="AX148"/>
      <c r="AY148"/>
      <c r="AZ148"/>
      <c r="BA148"/>
      <c r="BB148"/>
      <c r="BC148"/>
      <c r="BD148"/>
      <c r="BE148"/>
      <c r="BF148"/>
      <c r="BG148"/>
      <c r="BH148"/>
      <c r="BI148"/>
      <c r="BJ148"/>
      <c r="BK148"/>
      <c r="BL148"/>
      <c r="BM148"/>
      <c r="BN148"/>
      <c r="BO148"/>
      <c r="BP148"/>
      <c r="BQ148"/>
      <c r="BR148"/>
      <c r="BS148"/>
      <c r="BT148"/>
      <c r="BU148"/>
    </row>
    <row r="149" spans="46:73" ht="15.95" hidden="1" customHeight="1" x14ac:dyDescent="0.25">
      <c r="AT149"/>
      <c r="AU149"/>
      <c r="AV149"/>
      <c r="AW149"/>
      <c r="AX149"/>
      <c r="AY149"/>
      <c r="AZ149"/>
      <c r="BA149"/>
      <c r="BB149"/>
      <c r="BC149"/>
      <c r="BD149"/>
      <c r="BE149"/>
      <c r="BF149"/>
      <c r="BG149"/>
      <c r="BH149"/>
      <c r="BI149"/>
      <c r="BJ149"/>
      <c r="BK149"/>
      <c r="BL149"/>
      <c r="BM149"/>
      <c r="BN149"/>
      <c r="BO149"/>
      <c r="BP149"/>
      <c r="BQ149"/>
      <c r="BR149"/>
      <c r="BS149"/>
      <c r="BT149"/>
      <c r="BU149"/>
    </row>
    <row r="150" spans="46:73" ht="15.95" hidden="1" customHeight="1" x14ac:dyDescent="0.25">
      <c r="AT150"/>
      <c r="AU150"/>
      <c r="AV150"/>
      <c r="AW150"/>
      <c r="AX150"/>
      <c r="AY150"/>
      <c r="AZ150"/>
      <c r="BA150"/>
      <c r="BB150"/>
      <c r="BC150"/>
      <c r="BD150"/>
      <c r="BE150"/>
      <c r="BF150"/>
      <c r="BG150"/>
      <c r="BH150"/>
      <c r="BI150"/>
      <c r="BJ150"/>
      <c r="BK150"/>
      <c r="BL150"/>
      <c r="BM150"/>
      <c r="BN150"/>
      <c r="BO150"/>
      <c r="BP150"/>
      <c r="BQ150"/>
      <c r="BR150"/>
      <c r="BS150"/>
      <c r="BT150"/>
      <c r="BU150"/>
    </row>
    <row r="151" spans="46:73" ht="15.95" hidden="1" customHeight="1" x14ac:dyDescent="0.25">
      <c r="AT151"/>
      <c r="AU151"/>
      <c r="AV151"/>
      <c r="AW151"/>
      <c r="AX151"/>
      <c r="AY151"/>
      <c r="AZ151"/>
      <c r="BA151"/>
      <c r="BB151"/>
      <c r="BC151"/>
      <c r="BD151"/>
      <c r="BE151"/>
      <c r="BF151"/>
      <c r="BG151"/>
      <c r="BH151"/>
      <c r="BI151"/>
      <c r="BJ151"/>
      <c r="BK151"/>
      <c r="BL151"/>
      <c r="BM151"/>
      <c r="BN151"/>
      <c r="BO151"/>
      <c r="BP151"/>
      <c r="BQ151"/>
      <c r="BR151"/>
      <c r="BS151"/>
      <c r="BT151"/>
      <c r="BU151"/>
    </row>
    <row r="152" spans="46:73" ht="15.95" hidden="1" customHeight="1" x14ac:dyDescent="0.25">
      <c r="AT152"/>
      <c r="AU152"/>
      <c r="AV152"/>
      <c r="AW152"/>
      <c r="AX152"/>
      <c r="AY152"/>
      <c r="AZ152"/>
      <c r="BA152"/>
      <c r="BB152"/>
      <c r="BC152"/>
      <c r="BD152"/>
      <c r="BE152"/>
      <c r="BF152"/>
      <c r="BG152"/>
      <c r="BH152"/>
      <c r="BI152"/>
      <c r="BJ152"/>
      <c r="BK152"/>
      <c r="BL152"/>
      <c r="BM152"/>
      <c r="BN152"/>
      <c r="BO152"/>
      <c r="BP152"/>
      <c r="BQ152"/>
      <c r="BR152"/>
      <c r="BS152"/>
      <c r="BT152"/>
      <c r="BU152"/>
    </row>
    <row r="153" spans="46:73" ht="15.95" hidden="1" customHeight="1" x14ac:dyDescent="0.25">
      <c r="AT153"/>
      <c r="AU153"/>
      <c r="AV153"/>
      <c r="AW153"/>
      <c r="AX153"/>
      <c r="AY153"/>
      <c r="AZ153"/>
      <c r="BA153"/>
      <c r="BB153"/>
      <c r="BC153"/>
      <c r="BD153"/>
      <c r="BE153"/>
      <c r="BF153"/>
      <c r="BG153"/>
      <c r="BH153"/>
      <c r="BI153"/>
      <c r="BJ153"/>
      <c r="BK153"/>
      <c r="BL153"/>
      <c r="BM153"/>
      <c r="BN153"/>
      <c r="BO153"/>
      <c r="BP153"/>
      <c r="BQ153"/>
      <c r="BR153"/>
      <c r="BS153"/>
      <c r="BT153"/>
      <c r="BU153"/>
    </row>
    <row r="154" spans="46:73" ht="15.95" hidden="1" customHeight="1" x14ac:dyDescent="0.25">
      <c r="AT154"/>
      <c r="AU154"/>
      <c r="AV154"/>
      <c r="AW154"/>
      <c r="AX154"/>
      <c r="AY154"/>
      <c r="AZ154"/>
      <c r="BA154"/>
      <c r="BB154"/>
      <c r="BC154"/>
      <c r="BD154"/>
      <c r="BE154"/>
      <c r="BF154"/>
      <c r="BG154"/>
      <c r="BH154"/>
      <c r="BI154"/>
      <c r="BJ154"/>
      <c r="BK154"/>
      <c r="BL154"/>
      <c r="BM154"/>
      <c r="BN154"/>
      <c r="BO154"/>
      <c r="BP154"/>
      <c r="BQ154"/>
      <c r="BR154"/>
      <c r="BS154"/>
      <c r="BT154"/>
      <c r="BU154"/>
    </row>
    <row r="155" spans="46:73" ht="15.95" hidden="1" customHeight="1" x14ac:dyDescent="0.25">
      <c r="AT155"/>
      <c r="AU155"/>
      <c r="AV155"/>
      <c r="AW155"/>
      <c r="AX155"/>
      <c r="AY155"/>
      <c r="AZ155"/>
      <c r="BA155"/>
      <c r="BB155"/>
      <c r="BC155"/>
      <c r="BD155"/>
      <c r="BE155"/>
      <c r="BF155"/>
      <c r="BG155"/>
      <c r="BH155"/>
      <c r="BI155"/>
      <c r="BJ155"/>
      <c r="BK155"/>
      <c r="BL155"/>
      <c r="BM155"/>
      <c r="BN155"/>
      <c r="BO155"/>
      <c r="BP155"/>
      <c r="BQ155"/>
      <c r="BR155"/>
      <c r="BS155"/>
      <c r="BT155"/>
      <c r="BU155"/>
    </row>
    <row r="156" spans="46:73" ht="15.95" hidden="1" customHeight="1" x14ac:dyDescent="0.25">
      <c r="AT156"/>
      <c r="AU156"/>
      <c r="AV156"/>
      <c r="AW156"/>
      <c r="AX156"/>
      <c r="AY156"/>
      <c r="AZ156"/>
      <c r="BA156"/>
      <c r="BB156"/>
      <c r="BC156"/>
      <c r="BD156"/>
      <c r="BE156"/>
      <c r="BF156"/>
      <c r="BG156"/>
      <c r="BH156"/>
      <c r="BI156"/>
      <c r="BJ156"/>
      <c r="BK156"/>
      <c r="BL156"/>
      <c r="BM156"/>
      <c r="BN156"/>
      <c r="BO156"/>
      <c r="BP156"/>
      <c r="BQ156"/>
      <c r="BR156"/>
      <c r="BS156"/>
      <c r="BT156"/>
      <c r="BU156"/>
    </row>
    <row r="157" spans="46:73" ht="15.95" hidden="1" customHeight="1" x14ac:dyDescent="0.25">
      <c r="AT157"/>
      <c r="AU157"/>
      <c r="AV157"/>
      <c r="AW157"/>
      <c r="AX157"/>
      <c r="AY157"/>
      <c r="AZ157"/>
      <c r="BA157"/>
      <c r="BB157"/>
      <c r="BC157"/>
      <c r="BD157"/>
      <c r="BE157"/>
      <c r="BF157"/>
      <c r="BG157"/>
      <c r="BH157"/>
      <c r="BI157"/>
      <c r="BJ157"/>
      <c r="BK157"/>
      <c r="BL157"/>
      <c r="BM157"/>
      <c r="BN157"/>
      <c r="BO157"/>
      <c r="BP157"/>
      <c r="BQ157"/>
      <c r="BR157"/>
      <c r="BS157"/>
      <c r="BT157"/>
      <c r="BU157"/>
    </row>
    <row r="158" spans="46:73" ht="15.95" hidden="1" customHeight="1" x14ac:dyDescent="0.25">
      <c r="AT158"/>
      <c r="AU158"/>
      <c r="AV158"/>
      <c r="AW158"/>
      <c r="AX158"/>
      <c r="AY158"/>
      <c r="AZ158"/>
      <c r="BA158"/>
      <c r="BB158"/>
      <c r="BC158"/>
      <c r="BD158"/>
      <c r="BE158"/>
      <c r="BF158"/>
      <c r="BG158"/>
      <c r="BH158"/>
      <c r="BI158"/>
      <c r="BJ158"/>
      <c r="BK158"/>
      <c r="BL158"/>
      <c r="BM158"/>
      <c r="BN158"/>
      <c r="BO158"/>
      <c r="BP158"/>
      <c r="BQ158"/>
      <c r="BR158"/>
      <c r="BS158"/>
      <c r="BT158"/>
      <c r="BU158"/>
    </row>
    <row r="159" spans="46:73" ht="15.95" hidden="1" customHeight="1" x14ac:dyDescent="0.25">
      <c r="AT159"/>
      <c r="AU159"/>
      <c r="AV159"/>
      <c r="AW159"/>
      <c r="AX159"/>
      <c r="AY159"/>
      <c r="AZ159"/>
      <c r="BA159"/>
      <c r="BB159"/>
      <c r="BC159"/>
      <c r="BD159"/>
      <c r="BE159"/>
      <c r="BF159"/>
      <c r="BG159"/>
      <c r="BH159"/>
      <c r="BI159"/>
      <c r="BJ159"/>
      <c r="BK159"/>
      <c r="BL159"/>
      <c r="BM159"/>
      <c r="BN159"/>
      <c r="BO159"/>
      <c r="BP159"/>
      <c r="BQ159"/>
      <c r="BR159"/>
      <c r="BS159"/>
      <c r="BT159"/>
      <c r="BU159"/>
    </row>
    <row r="160" spans="46:73" ht="15.95" hidden="1" customHeight="1" x14ac:dyDescent="0.25">
      <c r="AT160"/>
      <c r="AU160"/>
      <c r="AV160"/>
      <c r="AW160"/>
      <c r="AX160"/>
      <c r="AY160"/>
      <c r="AZ160"/>
      <c r="BA160"/>
      <c r="BB160"/>
      <c r="BC160"/>
      <c r="BD160"/>
      <c r="BE160"/>
      <c r="BF160"/>
      <c r="BG160"/>
      <c r="BH160"/>
      <c r="BI160"/>
      <c r="BJ160"/>
      <c r="BK160"/>
      <c r="BL160"/>
      <c r="BM160"/>
      <c r="BN160"/>
      <c r="BO160"/>
      <c r="BP160"/>
      <c r="BQ160"/>
      <c r="BR160"/>
      <c r="BS160"/>
      <c r="BT160"/>
      <c r="BU160"/>
    </row>
    <row r="161" spans="46:73" ht="15.95" hidden="1" customHeight="1" x14ac:dyDescent="0.25">
      <c r="AT161"/>
      <c r="AU161"/>
      <c r="AV161"/>
      <c r="AW161"/>
      <c r="AX161"/>
      <c r="AY161"/>
      <c r="AZ161"/>
      <c r="BA161"/>
      <c r="BB161"/>
      <c r="BC161"/>
      <c r="BD161"/>
      <c r="BE161"/>
      <c r="BF161"/>
      <c r="BG161"/>
      <c r="BH161"/>
      <c r="BI161"/>
      <c r="BJ161"/>
      <c r="BK161"/>
      <c r="BL161"/>
      <c r="BM161"/>
      <c r="BN161"/>
      <c r="BO161"/>
      <c r="BP161"/>
      <c r="BQ161"/>
      <c r="BR161"/>
      <c r="BS161"/>
      <c r="BT161"/>
      <c r="BU161"/>
    </row>
    <row r="162" spans="46:73" ht="15.95" hidden="1" customHeight="1" x14ac:dyDescent="0.25">
      <c r="AT162"/>
      <c r="AU162"/>
      <c r="AV162"/>
      <c r="AW162"/>
      <c r="AX162"/>
      <c r="AY162"/>
      <c r="AZ162"/>
      <c r="BA162"/>
      <c r="BB162"/>
      <c r="BC162"/>
      <c r="BD162"/>
      <c r="BE162"/>
      <c r="BF162"/>
      <c r="BG162"/>
      <c r="BH162"/>
      <c r="BI162"/>
      <c r="BJ162"/>
      <c r="BK162"/>
      <c r="BL162"/>
      <c r="BM162"/>
      <c r="BN162"/>
      <c r="BO162"/>
      <c r="BP162"/>
      <c r="BQ162"/>
      <c r="BR162"/>
      <c r="BS162"/>
      <c r="BT162"/>
      <c r="BU162"/>
    </row>
    <row r="163" spans="46:73" ht="15.95" hidden="1" customHeight="1" x14ac:dyDescent="0.25">
      <c r="AT163"/>
      <c r="AU163"/>
      <c r="AV163"/>
      <c r="AW163"/>
      <c r="AX163"/>
      <c r="AY163"/>
      <c r="AZ163"/>
      <c r="BA163"/>
      <c r="BB163"/>
      <c r="BC163"/>
      <c r="BD163"/>
      <c r="BE163"/>
      <c r="BF163"/>
      <c r="BG163"/>
      <c r="BH163"/>
      <c r="BI163"/>
      <c r="BJ163"/>
      <c r="BK163"/>
      <c r="BL163"/>
      <c r="BM163"/>
      <c r="BN163"/>
      <c r="BO163"/>
      <c r="BP163"/>
      <c r="BQ163"/>
      <c r="BR163"/>
      <c r="BS163"/>
      <c r="BT163"/>
      <c r="BU163"/>
    </row>
    <row r="164" spans="46:73" ht="15.95" hidden="1" customHeight="1" x14ac:dyDescent="0.25">
      <c r="AT164"/>
      <c r="AU164"/>
      <c r="AV164"/>
      <c r="AW164"/>
      <c r="AX164"/>
      <c r="AY164"/>
      <c r="AZ164"/>
      <c r="BA164"/>
      <c r="BB164"/>
      <c r="BC164"/>
      <c r="BD164"/>
      <c r="BE164"/>
      <c r="BF164"/>
      <c r="BG164"/>
      <c r="BH164"/>
      <c r="BI164"/>
      <c r="BJ164"/>
      <c r="BK164"/>
      <c r="BL164"/>
      <c r="BM164"/>
      <c r="BN164"/>
      <c r="BO164"/>
      <c r="BP164"/>
      <c r="BQ164"/>
      <c r="BR164"/>
      <c r="BS164"/>
      <c r="BT164"/>
      <c r="BU164"/>
    </row>
    <row r="165" spans="46:73" ht="15.95" hidden="1" customHeight="1" x14ac:dyDescent="0.25">
      <c r="AT165"/>
      <c r="AU165"/>
      <c r="AV165"/>
      <c r="AW165"/>
      <c r="AX165"/>
      <c r="AY165"/>
      <c r="AZ165"/>
      <c r="BA165"/>
      <c r="BB165"/>
      <c r="BC165"/>
      <c r="BD165"/>
      <c r="BE165"/>
      <c r="BF165"/>
      <c r="BG165"/>
      <c r="BH165"/>
      <c r="BI165"/>
      <c r="BJ165"/>
      <c r="BK165"/>
      <c r="BL165"/>
      <c r="BM165"/>
      <c r="BN165"/>
      <c r="BO165"/>
      <c r="BP165"/>
      <c r="BQ165"/>
      <c r="BR165"/>
      <c r="BS165"/>
      <c r="BT165"/>
      <c r="BU165"/>
    </row>
    <row r="166" spans="46:73" ht="15.95" hidden="1" customHeight="1" x14ac:dyDescent="0.25">
      <c r="AT166"/>
      <c r="AU166"/>
      <c r="AV166"/>
      <c r="AW166"/>
      <c r="AX166"/>
      <c r="AY166"/>
      <c r="AZ166"/>
      <c r="BA166"/>
      <c r="BB166"/>
      <c r="BC166"/>
      <c r="BD166"/>
      <c r="BE166"/>
      <c r="BF166"/>
      <c r="BG166"/>
      <c r="BH166"/>
      <c r="BI166"/>
      <c r="BJ166"/>
      <c r="BK166"/>
      <c r="BL166"/>
      <c r="BM166"/>
      <c r="BN166"/>
      <c r="BO166"/>
      <c r="BP166"/>
      <c r="BQ166"/>
      <c r="BR166"/>
      <c r="BS166"/>
      <c r="BT166"/>
      <c r="BU166"/>
    </row>
    <row r="167" spans="46:73" ht="15.95" hidden="1" customHeight="1" x14ac:dyDescent="0.25">
      <c r="AT167"/>
      <c r="AU167"/>
      <c r="AV167"/>
      <c r="AW167"/>
      <c r="AX167"/>
      <c r="AY167"/>
      <c r="AZ167"/>
      <c r="BA167"/>
      <c r="BB167"/>
      <c r="BC167"/>
      <c r="BD167"/>
      <c r="BE167"/>
      <c r="BF167"/>
      <c r="BG167"/>
      <c r="BH167"/>
      <c r="BI167"/>
      <c r="BJ167"/>
      <c r="BK167"/>
      <c r="BL167"/>
      <c r="BM167"/>
      <c r="BN167"/>
      <c r="BO167"/>
      <c r="BP167"/>
      <c r="BQ167"/>
      <c r="BR167"/>
      <c r="BS167"/>
      <c r="BT167"/>
      <c r="BU167"/>
    </row>
    <row r="168" spans="46:73" ht="15.95" hidden="1" customHeight="1" x14ac:dyDescent="0.25">
      <c r="AT168"/>
      <c r="AU168"/>
      <c r="AV168"/>
      <c r="AW168"/>
      <c r="AX168"/>
      <c r="AY168"/>
      <c r="AZ168"/>
      <c r="BA168"/>
      <c r="BB168"/>
      <c r="BC168"/>
      <c r="BD168"/>
      <c r="BE168"/>
      <c r="BF168"/>
      <c r="BG168"/>
      <c r="BH168"/>
      <c r="BI168"/>
      <c r="BJ168"/>
      <c r="BK168"/>
      <c r="BL168"/>
      <c r="BM168"/>
      <c r="BN168"/>
      <c r="BO168"/>
      <c r="BP168"/>
      <c r="BQ168"/>
      <c r="BR168"/>
      <c r="BS168"/>
      <c r="BT168"/>
      <c r="BU168"/>
    </row>
    <row r="169" spans="46:73" ht="15.95" hidden="1" customHeight="1" x14ac:dyDescent="0.25">
      <c r="AT169"/>
      <c r="AU169"/>
      <c r="AV169"/>
      <c r="AW169"/>
      <c r="AX169"/>
      <c r="AY169"/>
      <c r="AZ169"/>
      <c r="BA169"/>
      <c r="BB169"/>
      <c r="BC169"/>
      <c r="BD169"/>
      <c r="BE169"/>
      <c r="BF169"/>
      <c r="BG169"/>
      <c r="BH169"/>
      <c r="BI169"/>
      <c r="BJ169"/>
      <c r="BK169"/>
      <c r="BL169"/>
      <c r="BM169"/>
      <c r="BN169"/>
      <c r="BO169"/>
      <c r="BP169"/>
      <c r="BQ169"/>
      <c r="BR169"/>
      <c r="BS169"/>
      <c r="BT169"/>
      <c r="BU169"/>
    </row>
    <row r="170" spans="46:73" ht="15.95" hidden="1" customHeight="1" x14ac:dyDescent="0.25">
      <c r="AT170"/>
      <c r="AU170"/>
      <c r="AV170"/>
      <c r="AW170"/>
      <c r="AX170"/>
      <c r="AY170"/>
      <c r="AZ170"/>
      <c r="BA170"/>
      <c r="BB170"/>
      <c r="BC170"/>
      <c r="BD170"/>
      <c r="BE170"/>
      <c r="BF170"/>
      <c r="BG170"/>
      <c r="BH170"/>
      <c r="BI170"/>
      <c r="BJ170"/>
      <c r="BK170"/>
      <c r="BL170"/>
      <c r="BM170"/>
      <c r="BN170"/>
      <c r="BO170"/>
      <c r="BP170"/>
      <c r="BQ170"/>
      <c r="BR170"/>
      <c r="BS170"/>
      <c r="BT170"/>
      <c r="BU170"/>
    </row>
    <row r="171" spans="46:73" ht="15.95" hidden="1" customHeight="1" x14ac:dyDescent="0.25">
      <c r="AT171"/>
      <c r="AU171"/>
      <c r="AV171"/>
      <c r="AW171"/>
      <c r="AX171"/>
      <c r="AY171"/>
      <c r="AZ171"/>
      <c r="BA171"/>
      <c r="BB171"/>
      <c r="BC171"/>
      <c r="BD171"/>
      <c r="BE171"/>
      <c r="BF171"/>
      <c r="BG171"/>
      <c r="BH171"/>
      <c r="BI171"/>
      <c r="BJ171"/>
      <c r="BK171"/>
      <c r="BL171"/>
      <c r="BM171"/>
      <c r="BN171"/>
      <c r="BO171"/>
      <c r="BP171"/>
      <c r="BQ171"/>
      <c r="BR171"/>
      <c r="BS171"/>
      <c r="BT171"/>
      <c r="BU171"/>
    </row>
    <row r="172" spans="46:73" ht="15.95" hidden="1" customHeight="1" x14ac:dyDescent="0.25">
      <c r="AT172"/>
      <c r="AU172"/>
      <c r="AV172"/>
      <c r="AW172"/>
      <c r="AX172"/>
      <c r="AY172"/>
      <c r="AZ172"/>
      <c r="BA172"/>
      <c r="BB172"/>
      <c r="BC172"/>
      <c r="BD172"/>
      <c r="BE172"/>
      <c r="BF172"/>
      <c r="BG172"/>
      <c r="BH172"/>
      <c r="BI172"/>
      <c r="BJ172"/>
      <c r="BK172"/>
      <c r="BL172"/>
      <c r="BM172"/>
      <c r="BN172"/>
      <c r="BO172"/>
      <c r="BP172"/>
      <c r="BQ172"/>
      <c r="BR172"/>
      <c r="BS172"/>
      <c r="BT172"/>
      <c r="BU172"/>
    </row>
    <row r="173" spans="46:73" ht="15.95" hidden="1" customHeight="1" x14ac:dyDescent="0.25">
      <c r="AT173"/>
      <c r="AU173"/>
      <c r="AV173"/>
      <c r="AW173"/>
      <c r="AX173"/>
      <c r="AY173"/>
      <c r="AZ173"/>
      <c r="BA173"/>
      <c r="BB173"/>
      <c r="BC173"/>
      <c r="BD173"/>
      <c r="BE173"/>
      <c r="BF173"/>
      <c r="BG173"/>
      <c r="BH173"/>
      <c r="BI173"/>
      <c r="BJ173"/>
      <c r="BK173"/>
      <c r="BL173"/>
      <c r="BM173"/>
      <c r="BN173"/>
      <c r="BO173"/>
      <c r="BP173"/>
      <c r="BQ173"/>
      <c r="BR173"/>
      <c r="BS173"/>
      <c r="BT173"/>
      <c r="BU173"/>
    </row>
    <row r="174" spans="46:73" ht="15.95" hidden="1" customHeight="1" x14ac:dyDescent="0.25">
      <c r="AT174"/>
      <c r="AU174"/>
      <c r="AV174"/>
      <c r="AW174"/>
      <c r="AX174"/>
      <c r="AY174"/>
      <c r="AZ174"/>
      <c r="BA174"/>
      <c r="BB174"/>
      <c r="BC174"/>
      <c r="BD174"/>
      <c r="BE174"/>
      <c r="BF174"/>
      <c r="BG174"/>
      <c r="BH174"/>
      <c r="BI174"/>
      <c r="BJ174"/>
      <c r="BK174"/>
      <c r="BL174"/>
      <c r="BM174"/>
      <c r="BN174"/>
      <c r="BO174"/>
      <c r="BP174"/>
      <c r="BQ174"/>
      <c r="BR174"/>
      <c r="BS174"/>
      <c r="BT174"/>
      <c r="BU174"/>
    </row>
    <row r="175" spans="46:73" ht="15.95" hidden="1" customHeight="1" x14ac:dyDescent="0.25">
      <c r="AT175"/>
      <c r="AU175"/>
      <c r="AV175"/>
      <c r="AW175"/>
      <c r="AX175"/>
      <c r="AY175"/>
      <c r="AZ175"/>
      <c r="BA175"/>
      <c r="BB175"/>
      <c r="BC175"/>
      <c r="BD175"/>
      <c r="BE175"/>
      <c r="BF175"/>
      <c r="BG175"/>
      <c r="BH175"/>
      <c r="BI175"/>
      <c r="BJ175"/>
      <c r="BK175"/>
      <c r="BL175"/>
      <c r="BM175"/>
      <c r="BN175"/>
      <c r="BO175"/>
      <c r="BP175"/>
      <c r="BQ175"/>
      <c r="BR175"/>
      <c r="BS175"/>
      <c r="BT175"/>
      <c r="BU175"/>
    </row>
    <row r="176" spans="46:73" ht="15.95" hidden="1" customHeight="1" x14ac:dyDescent="0.25"/>
    <row r="177" ht="15.95" hidden="1" customHeight="1" x14ac:dyDescent="0.25"/>
    <row r="178" ht="15.95" hidden="1" customHeight="1" x14ac:dyDescent="0.25"/>
    <row r="179" ht="15.95" hidden="1" customHeight="1" x14ac:dyDescent="0.25"/>
    <row r="180" ht="15.95" hidden="1" customHeight="1" x14ac:dyDescent="0.25"/>
    <row r="181" ht="15.95" hidden="1" customHeight="1" x14ac:dyDescent="0.25"/>
    <row r="182" ht="15.95" hidden="1" customHeight="1" x14ac:dyDescent="0.25"/>
    <row r="183" ht="15.95" hidden="1" customHeight="1" x14ac:dyDescent="0.25"/>
    <row r="184" ht="15.95" hidden="1" customHeight="1" x14ac:dyDescent="0.25"/>
    <row r="185" ht="15.95" hidden="1" customHeight="1" x14ac:dyDescent="0.25"/>
    <row r="186" ht="15.95" hidden="1" customHeight="1" x14ac:dyDescent="0.25"/>
    <row r="187" ht="15.95" hidden="1" customHeight="1" x14ac:dyDescent="0.25"/>
    <row r="188" ht="15.95" hidden="1" customHeight="1" x14ac:dyDescent="0.25"/>
    <row r="189" ht="15.95" hidden="1" customHeight="1" x14ac:dyDescent="0.25"/>
    <row r="190" ht="15.95" hidden="1" customHeight="1" x14ac:dyDescent="0.25"/>
    <row r="191" ht="15.95" hidden="1" customHeight="1" x14ac:dyDescent="0.25"/>
    <row r="192" ht="15.95" hidden="1" customHeight="1" x14ac:dyDescent="0.25"/>
    <row r="193" spans="2:44" ht="15.95" hidden="1" customHeight="1" x14ac:dyDescent="0.25"/>
    <row r="194" spans="2:44" ht="15.95" hidden="1" customHeight="1" x14ac:dyDescent="0.25"/>
    <row r="195" spans="2:44" ht="15.95" hidden="1" customHeight="1" x14ac:dyDescent="0.25"/>
    <row r="196" spans="2:44" ht="15.95" hidden="1" customHeight="1" x14ac:dyDescent="0.25"/>
    <row r="197" spans="2:44" ht="15.95" hidden="1" customHeight="1" x14ac:dyDescent="0.25"/>
    <row r="198" spans="2:44" ht="15.95" hidden="1" customHeight="1" x14ac:dyDescent="0.25"/>
    <row r="199" spans="2:44" ht="15.95" hidden="1" customHeight="1" x14ac:dyDescent="0.25"/>
    <row r="200" spans="2:44" ht="15.95" customHeight="1" x14ac:dyDescent="0.25">
      <c r="B200" s="391" t="str">
        <f>FOOT1</f>
        <v>Ameren Missouri BizSavers program</v>
      </c>
      <c r="C200" s="391"/>
      <c r="D200" s="391"/>
      <c r="E200" s="391"/>
      <c r="F200" s="391"/>
      <c r="G200" s="391"/>
      <c r="H200" s="391"/>
      <c r="I200" s="391"/>
      <c r="J200" s="391"/>
      <c r="K200" s="391"/>
      <c r="L200" s="391"/>
      <c r="M200" s="1467" t="str">
        <f>FOOTDISCLAIM</f>
        <v/>
      </c>
      <c r="N200" s="1467"/>
      <c r="O200" s="1467"/>
      <c r="P200" s="1467"/>
      <c r="Q200" s="1467"/>
      <c r="R200" s="1467"/>
      <c r="S200" s="1467"/>
      <c r="T200" s="1467"/>
      <c r="U200" s="1467"/>
      <c r="V200" s="1467"/>
      <c r="W200" s="1467"/>
      <c r="X200" s="1467"/>
      <c r="Y200" s="1467"/>
      <c r="Z200" s="1467"/>
      <c r="AA200" s="1467"/>
      <c r="AB200" s="1467"/>
      <c r="AC200" s="1467"/>
      <c r="AD200" s="1467"/>
      <c r="AE200" s="1467"/>
      <c r="AF200" s="1467"/>
      <c r="AG200" s="1467"/>
      <c r="AH200" s="391"/>
      <c r="AI200" s="391"/>
      <c r="AJ200" s="391"/>
      <c r="AK200" s="391"/>
      <c r="AL200" s="391"/>
      <c r="AM200" s="391"/>
      <c r="AN200" s="391"/>
      <c r="AO200" s="391"/>
      <c r="AP200" s="391"/>
      <c r="AQ200" s="391"/>
      <c r="AR200" s="392" t="str">
        <f>FOOT4</f>
        <v/>
      </c>
    </row>
    <row r="201" spans="2:44" ht="15.95" customHeight="1" x14ac:dyDescent="0.25">
      <c r="B201" s="391" t="str">
        <f>FOOT2</f>
        <v>Toll-Free 866-941-7299</v>
      </c>
      <c r="C201" s="391"/>
      <c r="D201" s="391"/>
      <c r="E201" s="391"/>
      <c r="F201" s="391"/>
      <c r="G201" s="391"/>
      <c r="H201" s="391"/>
      <c r="I201" s="391"/>
      <c r="J201" s="391"/>
      <c r="K201" s="391"/>
      <c r="L201" s="391"/>
      <c r="M201" s="1467"/>
      <c r="N201" s="1467"/>
      <c r="O201" s="1467"/>
      <c r="P201" s="1467"/>
      <c r="Q201" s="1467"/>
      <c r="R201" s="1467"/>
      <c r="S201" s="1467"/>
      <c r="T201" s="1467"/>
      <c r="U201" s="1467"/>
      <c r="V201" s="1467"/>
      <c r="W201" s="1467"/>
      <c r="X201" s="1467"/>
      <c r="Y201" s="1467"/>
      <c r="Z201" s="1467"/>
      <c r="AA201" s="1467"/>
      <c r="AB201" s="1467"/>
      <c r="AC201" s="1467"/>
      <c r="AD201" s="1467"/>
      <c r="AE201" s="1467"/>
      <c r="AF201" s="1467"/>
      <c r="AG201" s="1467"/>
      <c r="AH201" s="391"/>
      <c r="AI201" s="391"/>
      <c r="AJ201" s="391"/>
      <c r="AK201" s="391"/>
      <c r="AL201" s="391"/>
      <c r="AM201" s="391"/>
      <c r="AN201" s="391"/>
      <c r="AO201" s="391"/>
      <c r="AP201" s="391"/>
      <c r="AQ201" s="391"/>
      <c r="AR201" s="392" t="str">
        <f>FOOT5</f>
        <v/>
      </c>
    </row>
    <row r="202" spans="2:44" ht="15.95" customHeight="1" x14ac:dyDescent="0.25">
      <c r="B202" s="393" t="str">
        <f>FOOT3</f>
        <v>BizSavers@ameren.com</v>
      </c>
      <c r="C202" s="391"/>
      <c r="D202" s="391"/>
      <c r="E202" s="391"/>
      <c r="F202" s="391"/>
      <c r="G202" s="391"/>
      <c r="H202" s="391"/>
      <c r="I202" s="391"/>
      <c r="J202" s="391"/>
      <c r="K202" s="391"/>
      <c r="L202" s="391"/>
      <c r="M202" s="394"/>
      <c r="N202" s="391"/>
      <c r="O202" s="391"/>
      <c r="P202" s="394"/>
      <c r="Q202" s="394"/>
      <c r="R202" s="394"/>
      <c r="S202" s="394"/>
      <c r="T202" s="394"/>
      <c r="U202" s="394"/>
      <c r="V202" s="394"/>
      <c r="W202" s="395" t="str">
        <f>VERSION</f>
        <v>New Construction v3.8.0</v>
      </c>
      <c r="X202" s="394"/>
      <c r="Y202" s="394"/>
      <c r="Z202" s="394"/>
      <c r="AA202" s="394"/>
      <c r="AB202" s="394"/>
      <c r="AC202" s="394"/>
      <c r="AD202" s="394"/>
      <c r="AE202" s="391"/>
      <c r="AF202" s="391"/>
      <c r="AG202" s="391"/>
      <c r="AH202" s="391"/>
      <c r="AI202" s="391"/>
      <c r="AJ202" s="391"/>
      <c r="AK202" s="391"/>
      <c r="AL202" s="391"/>
      <c r="AM202" s="391"/>
      <c r="AN202" s="391"/>
      <c r="AO202" s="391"/>
      <c r="AP202" s="391"/>
      <c r="AQ202" s="391"/>
      <c r="AR202" s="392" t="str">
        <f>FOOT6</f>
        <v>Product of TRC Companies</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sheetData>
  <sheetProtection algorithmName="SHA-512" hashValue="Lm1JcgBO5EYjwShpPXaBdMm7SQgZ1obhJ94yILjrETc03L+txeXM+fNUHJqPXHBAXoE/hprayxrsE+kisj1nPA==" saltValue="0NuFU+RbAsR781+QegFX5A==" spinCount="100000" sheet="1" objects="1" scenarios="1" selectLockedCells="1"/>
  <mergeCells count="92">
    <mergeCell ref="J67:AJ73"/>
    <mergeCell ref="S58:AA60"/>
    <mergeCell ref="S64:AA65"/>
    <mergeCell ref="M200:AG201"/>
    <mergeCell ref="AE52:AJ52"/>
    <mergeCell ref="J52:K53"/>
    <mergeCell ref="L52:U52"/>
    <mergeCell ref="V52:AD52"/>
    <mergeCell ref="J74:AJ75"/>
    <mergeCell ref="S54:AA55"/>
    <mergeCell ref="T56:Z57"/>
    <mergeCell ref="T62:Z63"/>
    <mergeCell ref="K23:O31"/>
    <mergeCell ref="K43:O43"/>
    <mergeCell ref="P25:V25"/>
    <mergeCell ref="P43:V43"/>
    <mergeCell ref="W43:AC43"/>
    <mergeCell ref="W23:AC23"/>
    <mergeCell ref="K33:O37"/>
    <mergeCell ref="P33:V33"/>
    <mergeCell ref="P34:V34"/>
    <mergeCell ref="P35:V35"/>
    <mergeCell ref="P36:V36"/>
    <mergeCell ref="P37:V37"/>
    <mergeCell ref="W30:AC30"/>
    <mergeCell ref="W31:AC31"/>
    <mergeCell ref="P29:V29"/>
    <mergeCell ref="P30:V30"/>
    <mergeCell ref="AD23:AJ23"/>
    <mergeCell ref="P27:V27"/>
    <mergeCell ref="P28:V28"/>
    <mergeCell ref="AD24:AJ24"/>
    <mergeCell ref="AD27:AJ27"/>
    <mergeCell ref="AD28:AJ28"/>
    <mergeCell ref="W25:AC25"/>
    <mergeCell ref="W26:AC26"/>
    <mergeCell ref="W24:AC24"/>
    <mergeCell ref="P23:V23"/>
    <mergeCell ref="AD25:AJ25"/>
    <mergeCell ref="AD26:AJ26"/>
    <mergeCell ref="AQ1:AR1"/>
    <mergeCell ref="AQ2:AR3"/>
    <mergeCell ref="K20:AI21"/>
    <mergeCell ref="K18:AI19"/>
    <mergeCell ref="AH1:AK1"/>
    <mergeCell ref="AL1:AP1"/>
    <mergeCell ref="AH2:AK3"/>
    <mergeCell ref="AL2:AP3"/>
    <mergeCell ref="F10:AN10"/>
    <mergeCell ref="F11:AN11"/>
    <mergeCell ref="AD30:AJ30"/>
    <mergeCell ref="AD31:AJ31"/>
    <mergeCell ref="W27:AC27"/>
    <mergeCell ref="W28:AC28"/>
    <mergeCell ref="W29:AC29"/>
    <mergeCell ref="AD29:AJ29"/>
    <mergeCell ref="P31:V31"/>
    <mergeCell ref="P24:V24"/>
    <mergeCell ref="P26:V26"/>
    <mergeCell ref="W33:AC33"/>
    <mergeCell ref="W34:AC34"/>
    <mergeCell ref="AD33:AJ33"/>
    <mergeCell ref="AD34:AJ34"/>
    <mergeCell ref="AD35:AJ35"/>
    <mergeCell ref="AD36:AJ36"/>
    <mergeCell ref="AD37:AJ37"/>
    <mergeCell ref="P42:V42"/>
    <mergeCell ref="W35:AC35"/>
    <mergeCell ref="W36:AC36"/>
    <mergeCell ref="W37:AC37"/>
    <mergeCell ref="W42:AC42"/>
    <mergeCell ref="AD46:AI46"/>
    <mergeCell ref="K39:AJ40"/>
    <mergeCell ref="K49:AJ50"/>
    <mergeCell ref="K41:O41"/>
    <mergeCell ref="K44:O44"/>
    <mergeCell ref="K45:O45"/>
    <mergeCell ref="K46:O46"/>
    <mergeCell ref="P41:V41"/>
    <mergeCell ref="P44:V44"/>
    <mergeCell ref="P45:V45"/>
    <mergeCell ref="P46:V46"/>
    <mergeCell ref="W41:AC41"/>
    <mergeCell ref="W44:AC44"/>
    <mergeCell ref="W45:AC45"/>
    <mergeCell ref="W46:AC46"/>
    <mergeCell ref="K42:O42"/>
    <mergeCell ref="AD42:AI42"/>
    <mergeCell ref="AD43:AI43"/>
    <mergeCell ref="AD41:AI41"/>
    <mergeCell ref="AD44:AI44"/>
    <mergeCell ref="AD45:AI45"/>
  </mergeCells>
  <conditionalFormatting sqref="L52:U52 AE52:AJ52 T56:Z57 T62:Z63">
    <cfRule type="containsBlanks" dxfId="40" priority="74">
      <formula>LEN(TRIM(L52))=0</formula>
    </cfRule>
  </conditionalFormatting>
  <conditionalFormatting sqref="T56:Z57">
    <cfRule type="expression" dxfId="39" priority="19">
      <formula>T56&lt;&gt;"&lt;RECFR Date&gt;"</formula>
    </cfRule>
  </conditionalFormatting>
  <conditionalFormatting sqref="T62:Z63">
    <cfRule type="expression" dxfId="38" priority="18">
      <formula>T62&lt;&gt;"Enter estimated completion date"</formula>
    </cfRule>
  </conditionalFormatting>
  <conditionalFormatting sqref="AQ2:AR3">
    <cfRule type="cellIs" dxfId="37" priority="3" operator="equal">
      <formula>1</formula>
    </cfRule>
    <cfRule type="cellIs" dxfId="36" priority="4" operator="between">
      <formula>0.51</formula>
      <formula>0.99</formula>
    </cfRule>
    <cfRule type="cellIs" dxfId="35" priority="5" operator="lessThanOrEqual">
      <formula>0.5</formula>
    </cfRule>
  </conditionalFormatting>
  <conditionalFormatting sqref="AH2 AL2">
    <cfRule type="expression" dxfId="34" priority="1">
      <formula>OR(PROJSTATUS=PROJSTATELI,PROJSTATUS=PROJSTATEXP,PROJSTATUS=PROJSTATUNDER)</formula>
    </cfRule>
    <cfRule type="expression" dxfId="33" priority="2">
      <formula>PROJSTATUS=PROJSTATFILLINITIAL</formula>
    </cfRule>
    <cfRule type="expression" dxfId="32" priority="6">
      <formula>PROJSTATUS=PROJSTATPREAPPROVE</formula>
    </cfRule>
    <cfRule type="expression" dxfId="31" priority="7">
      <formula>OR(PROJSTATUS=PROJSTATSSUBMITINITIAL,PROJSTATUS=PROJSTATREVIEW)</formula>
    </cfRule>
  </conditionalFormatting>
  <hyperlinks>
    <hyperlink ref="B202" r:id="rId1" display="NIPSCO.Savings@LMCO.com" xr:uid="{00000000-0004-0000-2900-000000000000}"/>
  </hyperlinks>
  <printOptions horizontalCentered="1" verticalCentered="1"/>
  <pageMargins left="0.3" right="0.3" top="0.3" bottom="0.3" header="0.25" footer="0.25"/>
  <pageSetup scale="7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6">
    <tabColor theme="4" tint="-0.249977111117893"/>
  </sheetPr>
  <dimension ref="A1:BN240"/>
  <sheetViews>
    <sheetView zoomScale="85" zoomScaleNormal="85" workbookViewId="0">
      <selection activeCell="Q5" sqref="Q5"/>
    </sheetView>
  </sheetViews>
  <sheetFormatPr defaultRowHeight="15" x14ac:dyDescent="0.25"/>
  <cols>
    <col min="1" max="1" width="10.5703125" style="118" customWidth="1"/>
    <col min="2" max="2" width="23.42578125" customWidth="1"/>
    <col min="3" max="3" width="7.7109375" customWidth="1"/>
    <col min="4" max="4" width="13.85546875" customWidth="1"/>
    <col min="5" max="5" width="6.85546875" customWidth="1"/>
    <col min="6" max="6" width="11.28515625" style="63" customWidth="1"/>
    <col min="7" max="7" width="9.7109375" style="63" customWidth="1"/>
    <col min="8" max="8" width="13" customWidth="1"/>
    <col min="9" max="9" width="11.140625" style="63" customWidth="1"/>
    <col min="10" max="10" width="6.140625" style="63" customWidth="1"/>
    <col min="11" max="11" width="13.28515625" style="63" customWidth="1"/>
    <col min="12" max="12" width="7" style="63" customWidth="1"/>
    <col min="13" max="13" width="8.5703125" customWidth="1"/>
    <col min="14" max="14" width="10.42578125" style="118" customWidth="1"/>
    <col min="15" max="15" width="24.140625" customWidth="1"/>
    <col min="16" max="16" width="5.42578125" customWidth="1"/>
    <col min="17" max="17" width="12.140625" customWidth="1"/>
    <col min="18" max="18" width="4.5703125" customWidth="1"/>
    <col min="19" max="19" width="8.5703125" style="63" customWidth="1"/>
    <col min="20" max="21" width="9.85546875" style="63" customWidth="1"/>
    <col min="22" max="22" width="11" style="63" customWidth="1"/>
    <col min="23" max="23" width="6.7109375" style="63" customWidth="1"/>
    <col min="24" max="24" width="10.7109375" style="63" customWidth="1"/>
    <col min="25" max="25" width="8.85546875" style="63" customWidth="1"/>
    <col min="26" max="26" width="15.42578125" customWidth="1"/>
    <col min="27" max="27" width="15.42578125" style="63" customWidth="1"/>
    <col min="28" max="28" width="14" hidden="1" customWidth="1"/>
    <col min="29" max="29" width="13" hidden="1" customWidth="1"/>
    <col min="30" max="30" width="19.140625" hidden="1" customWidth="1"/>
    <col min="31" max="31" width="14" customWidth="1"/>
    <col min="32" max="32" width="18.85546875" customWidth="1"/>
    <col min="33" max="33" width="22.85546875" hidden="1" customWidth="1"/>
    <col min="34" max="35" width="15.42578125" hidden="1" customWidth="1"/>
    <col min="36" max="36" width="7" hidden="1" customWidth="1"/>
    <col min="37" max="37" width="10.28515625" hidden="1" customWidth="1"/>
    <col min="38" max="39" width="10.28515625" style="63" hidden="1" customWidth="1"/>
    <col min="40" max="40" width="14.28515625" hidden="1" customWidth="1"/>
    <col min="41" max="41" width="24" hidden="1" customWidth="1"/>
    <col min="42" max="42" width="10.85546875" hidden="1" customWidth="1"/>
    <col min="43" max="43" width="15.42578125" hidden="1" customWidth="1"/>
    <col min="44" max="44" width="6.5703125" hidden="1" customWidth="1"/>
    <col min="45" max="48" width="0" hidden="1" customWidth="1"/>
    <col min="50" max="50" width="13.85546875" style="118" customWidth="1"/>
    <col min="51" max="51" width="34.85546875" bestFit="1" customWidth="1"/>
    <col min="52" max="52" width="17.85546875" bestFit="1" customWidth="1"/>
    <col min="53" max="53" width="21.5703125" bestFit="1" customWidth="1"/>
    <col min="55" max="55" width="8.28515625" customWidth="1"/>
    <col min="56" max="56" width="7" customWidth="1"/>
    <col min="57" max="57" width="7.5703125" customWidth="1"/>
    <col min="58" max="58" width="6.7109375" customWidth="1"/>
    <col min="59" max="59" width="5.85546875" customWidth="1"/>
    <col min="60" max="60" width="6.5703125" customWidth="1"/>
    <col min="61" max="61" width="10.85546875" customWidth="1"/>
    <col min="62" max="62" width="13.140625" customWidth="1"/>
  </cols>
  <sheetData>
    <row r="1" spans="1:66" ht="24.75" customHeight="1" x14ac:dyDescent="0.25">
      <c r="A1" s="203" t="s">
        <v>141</v>
      </c>
      <c r="B1" s="204" t="s">
        <v>181</v>
      </c>
      <c r="C1" s="204" t="s">
        <v>182</v>
      </c>
      <c r="D1" s="204" t="s">
        <v>198</v>
      </c>
      <c r="E1" s="204" t="s">
        <v>238</v>
      </c>
      <c r="F1" s="202" t="s">
        <v>144</v>
      </c>
      <c r="G1" s="202" t="s">
        <v>654</v>
      </c>
      <c r="H1" s="202" t="s">
        <v>655</v>
      </c>
      <c r="I1" s="205" t="s">
        <v>149</v>
      </c>
      <c r="J1" s="205" t="s">
        <v>659</v>
      </c>
      <c r="K1" s="205" t="s">
        <v>892</v>
      </c>
      <c r="L1" s="205" t="s">
        <v>1021</v>
      </c>
      <c r="M1" s="196"/>
      <c r="N1" s="203" t="s">
        <v>141</v>
      </c>
      <c r="O1" s="204" t="s">
        <v>183</v>
      </c>
      <c r="P1" s="204" t="s">
        <v>184</v>
      </c>
      <c r="Q1" s="204" t="s">
        <v>199</v>
      </c>
      <c r="R1" s="204" t="s">
        <v>200</v>
      </c>
      <c r="S1" s="205" t="s">
        <v>144</v>
      </c>
      <c r="T1" s="205" t="s">
        <v>654</v>
      </c>
      <c r="U1" s="205" t="s">
        <v>655</v>
      </c>
      <c r="V1" s="205" t="s">
        <v>149</v>
      </c>
      <c r="W1" s="205" t="s">
        <v>659</v>
      </c>
      <c r="X1" s="205" t="s">
        <v>892</v>
      </c>
      <c r="Y1" s="205" t="s">
        <v>1021</v>
      </c>
      <c r="Z1" s="205" t="s">
        <v>1961</v>
      </c>
      <c r="AA1" s="195"/>
      <c r="AB1" s="196" t="s">
        <v>239</v>
      </c>
      <c r="AC1" s="196" t="s">
        <v>160</v>
      </c>
      <c r="AD1" s="196" t="s">
        <v>178</v>
      </c>
      <c r="AE1" s="196"/>
      <c r="AF1" s="197" t="s">
        <v>0</v>
      </c>
      <c r="AG1" s="54"/>
      <c r="AH1" s="54" t="s">
        <v>0</v>
      </c>
      <c r="AI1" s="54" t="s">
        <v>246</v>
      </c>
      <c r="AJ1" s="54" t="s">
        <v>247</v>
      </c>
      <c r="AK1" s="54" t="s">
        <v>141</v>
      </c>
      <c r="AL1" s="54" t="s">
        <v>152</v>
      </c>
      <c r="AM1" s="196" t="s">
        <v>644</v>
      </c>
      <c r="AN1" s="54" t="s">
        <v>637</v>
      </c>
      <c r="AO1" s="54"/>
      <c r="AP1" s="54" t="s">
        <v>0</v>
      </c>
      <c r="AQ1" s="54" t="s">
        <v>246</v>
      </c>
      <c r="AR1" s="54" t="s">
        <v>247</v>
      </c>
      <c r="AS1" s="54" t="s">
        <v>141</v>
      </c>
      <c r="AT1" s="54" t="s">
        <v>152</v>
      </c>
      <c r="AU1" s="196" t="s">
        <v>644</v>
      </c>
      <c r="AV1" s="54" t="s">
        <v>637</v>
      </c>
      <c r="AW1" s="196"/>
      <c r="AX1" s="198" t="s">
        <v>141</v>
      </c>
      <c r="AY1" s="198" t="s">
        <v>1004</v>
      </c>
      <c r="AZ1" s="196" t="s">
        <v>832</v>
      </c>
      <c r="BA1" s="196" t="s">
        <v>833</v>
      </c>
      <c r="BB1" s="194" t="s">
        <v>1021</v>
      </c>
      <c r="BC1" s="196" t="s">
        <v>152</v>
      </c>
      <c r="BD1" s="196" t="s">
        <v>144</v>
      </c>
      <c r="BE1" s="196" t="s">
        <v>654</v>
      </c>
      <c r="BF1" s="196" t="s">
        <v>655</v>
      </c>
      <c r="BG1" s="196" t="s">
        <v>800</v>
      </c>
      <c r="BH1" s="196" t="s">
        <v>659</v>
      </c>
      <c r="BI1" s="196" t="s">
        <v>799</v>
      </c>
      <c r="BJ1" s="196" t="s">
        <v>636</v>
      </c>
      <c r="BK1" s="194" t="s">
        <v>1074</v>
      </c>
      <c r="BL1" s="196" t="s">
        <v>798</v>
      </c>
      <c r="BM1" s="196"/>
      <c r="BN1" s="194" t="s">
        <v>1022</v>
      </c>
    </row>
    <row r="2" spans="1:66" x14ac:dyDescent="0.25">
      <c r="A2" s="557" t="s">
        <v>662</v>
      </c>
      <c r="B2" s="558" t="s">
        <v>661</v>
      </c>
      <c r="C2" s="558"/>
      <c r="D2" s="558" t="str">
        <f>""</f>
        <v/>
      </c>
      <c r="E2" s="558"/>
      <c r="F2" s="558" t="s">
        <v>740</v>
      </c>
      <c r="G2" s="558"/>
      <c r="H2" s="558"/>
      <c r="I2" s="558" t="s">
        <v>164</v>
      </c>
      <c r="J2" s="558">
        <v>1</v>
      </c>
      <c r="K2" s="558"/>
      <c r="L2" s="558"/>
      <c r="M2" s="196"/>
      <c r="N2" s="193">
        <v>40616</v>
      </c>
      <c r="O2" s="196" t="s">
        <v>907</v>
      </c>
      <c r="P2" s="196"/>
      <c r="Q2" s="196" t="str">
        <f>""</f>
        <v/>
      </c>
      <c r="R2" s="196"/>
      <c r="S2" s="196" t="s">
        <v>162</v>
      </c>
      <c r="T2" s="196" t="s">
        <v>793</v>
      </c>
      <c r="U2" s="196"/>
      <c r="V2" s="196" t="s">
        <v>164</v>
      </c>
      <c r="W2" s="199">
        <v>1</v>
      </c>
      <c r="X2" s="196"/>
      <c r="Y2" s="199">
        <v>0.08</v>
      </c>
      <c r="Z2" s="194">
        <v>7.0000000000000007E-2</v>
      </c>
      <c r="AA2" s="196"/>
      <c r="AB2" s="196" t="s">
        <v>241</v>
      </c>
      <c r="AC2" s="196"/>
      <c r="AD2" s="196"/>
      <c r="AE2" s="196"/>
      <c r="AF2" s="54" t="s">
        <v>1002</v>
      </c>
      <c r="AG2" s="54"/>
      <c r="AH2" s="54" t="s">
        <v>249</v>
      </c>
      <c r="AI2" s="54"/>
      <c r="AJ2" s="54"/>
      <c r="AK2" s="54"/>
      <c r="AL2" s="54"/>
      <c r="AM2" s="54"/>
      <c r="AN2" s="54"/>
      <c r="AO2" s="54"/>
      <c r="AP2" s="54" t="s">
        <v>249</v>
      </c>
      <c r="AQ2" s="54"/>
      <c r="AR2" s="54"/>
      <c r="AS2" s="54"/>
      <c r="AT2" s="54"/>
      <c r="AU2" s="54"/>
      <c r="AV2" s="54"/>
      <c r="AW2" s="196"/>
      <c r="AX2" s="198">
        <v>4050701</v>
      </c>
      <c r="AY2" s="198" t="s">
        <v>1002</v>
      </c>
      <c r="AZ2" s="196" t="s">
        <v>1013</v>
      </c>
      <c r="BA2" s="196"/>
      <c r="BB2" s="196"/>
      <c r="BC2" s="196">
        <v>15</v>
      </c>
      <c r="BD2" s="196"/>
      <c r="BE2" s="196"/>
      <c r="BF2" s="196"/>
      <c r="BG2" s="196"/>
      <c r="BH2" s="196">
        <v>1</v>
      </c>
      <c r="BI2" s="196" t="s">
        <v>167</v>
      </c>
      <c r="BJ2" s="198"/>
      <c r="BK2" s="194" t="s">
        <v>910</v>
      </c>
      <c r="BL2" s="196" t="s">
        <v>167</v>
      </c>
      <c r="BM2" s="196"/>
    </row>
    <row r="3" spans="1:66" x14ac:dyDescent="0.25">
      <c r="A3" s="557" t="s">
        <v>662</v>
      </c>
      <c r="B3" s="558" t="s">
        <v>988</v>
      </c>
      <c r="C3" s="558"/>
      <c r="D3" s="558" t="str">
        <f>""</f>
        <v/>
      </c>
      <c r="E3" s="558"/>
      <c r="F3" s="558" t="s">
        <v>2000</v>
      </c>
      <c r="G3" s="558"/>
      <c r="H3" s="558"/>
      <c r="I3" s="558" t="s">
        <v>164</v>
      </c>
      <c r="J3" s="558">
        <v>2</v>
      </c>
      <c r="K3" s="558"/>
      <c r="L3" s="558"/>
      <c r="M3" s="196"/>
      <c r="N3" s="193">
        <v>40617</v>
      </c>
      <c r="O3" s="196" t="s">
        <v>908</v>
      </c>
      <c r="P3" s="196"/>
      <c r="Q3" s="196" t="str">
        <f>""</f>
        <v/>
      </c>
      <c r="R3" s="196"/>
      <c r="S3" s="196" t="s">
        <v>162</v>
      </c>
      <c r="T3" s="196" t="s">
        <v>794</v>
      </c>
      <c r="U3" s="196"/>
      <c r="V3" s="196" t="s">
        <v>164</v>
      </c>
      <c r="W3" s="199">
        <v>2</v>
      </c>
      <c r="X3" s="196"/>
      <c r="Y3" s="199">
        <v>0.08</v>
      </c>
      <c r="Z3" s="194">
        <v>7.0000000000000007E-2</v>
      </c>
      <c r="AA3" s="196"/>
      <c r="AB3" s="196" t="s">
        <v>242</v>
      </c>
      <c r="AC3" s="196"/>
      <c r="AD3" s="196"/>
      <c r="AE3" s="196"/>
      <c r="AF3" s="54"/>
      <c r="AG3" s="54"/>
      <c r="AH3" s="54" t="s">
        <v>249</v>
      </c>
      <c r="AI3" s="54"/>
      <c r="AJ3" s="54"/>
      <c r="AK3" s="54"/>
      <c r="AL3" s="54"/>
      <c r="AM3" s="54"/>
      <c r="AN3" s="54"/>
      <c r="AO3" s="54"/>
      <c r="AP3" s="54" t="s">
        <v>249</v>
      </c>
      <c r="AQ3" s="54"/>
      <c r="AR3" s="54"/>
      <c r="AS3" s="54"/>
      <c r="AT3" s="54"/>
      <c r="AU3" s="54"/>
      <c r="AV3" s="54"/>
      <c r="AW3" s="196"/>
      <c r="AX3" s="198">
        <v>4051001</v>
      </c>
      <c r="AY3" s="198" t="s">
        <v>1002</v>
      </c>
      <c r="AZ3" s="196" t="s">
        <v>1015</v>
      </c>
      <c r="BA3" s="196"/>
      <c r="BB3" s="196"/>
      <c r="BC3" s="196">
        <v>15</v>
      </c>
      <c r="BD3" s="196"/>
      <c r="BE3" s="196"/>
      <c r="BF3" s="196"/>
      <c r="BG3" s="196"/>
      <c r="BH3" s="196">
        <v>2</v>
      </c>
      <c r="BI3" s="196" t="s">
        <v>167</v>
      </c>
      <c r="BJ3" s="198"/>
      <c r="BK3" s="194" t="s">
        <v>910</v>
      </c>
      <c r="BL3" s="196" t="s">
        <v>167</v>
      </c>
      <c r="BM3" s="196"/>
      <c r="BN3" s="196"/>
    </row>
    <row r="4" spans="1:66" x14ac:dyDescent="0.25">
      <c r="A4" s="557" t="s">
        <v>738</v>
      </c>
      <c r="B4" s="558" t="s">
        <v>663</v>
      </c>
      <c r="C4" s="558"/>
      <c r="D4" s="558" t="str">
        <f>""</f>
        <v/>
      </c>
      <c r="E4" s="558"/>
      <c r="F4" s="558" t="s">
        <v>741</v>
      </c>
      <c r="G4" s="558"/>
      <c r="H4" s="558"/>
      <c r="I4" s="558" t="s">
        <v>164</v>
      </c>
      <c r="J4" s="558">
        <v>3</v>
      </c>
      <c r="K4" s="558"/>
      <c r="L4" s="558"/>
      <c r="M4" s="196"/>
      <c r="N4" s="198"/>
      <c r="O4" s="194" t="s">
        <v>1402</v>
      </c>
      <c r="P4" s="196"/>
      <c r="Q4" s="196" t="s">
        <v>845</v>
      </c>
      <c r="R4" s="196"/>
      <c r="S4" s="196"/>
      <c r="T4" s="196"/>
      <c r="U4" s="196"/>
      <c r="V4" s="196"/>
      <c r="W4" s="199">
        <v>3</v>
      </c>
      <c r="X4" s="196"/>
      <c r="Y4" s="194"/>
      <c r="Z4" s="194"/>
      <c r="AA4" s="196"/>
      <c r="AB4" s="196" t="s">
        <v>244</v>
      </c>
      <c r="AC4" s="196"/>
      <c r="AD4" s="196"/>
      <c r="AE4" s="196"/>
      <c r="AF4" s="54"/>
      <c r="AG4" s="54"/>
      <c r="AH4" s="54" t="s">
        <v>249</v>
      </c>
      <c r="AI4" s="54"/>
      <c r="AJ4" s="54"/>
      <c r="AK4" s="54"/>
      <c r="AL4" s="54"/>
      <c r="AM4" s="54"/>
      <c r="AN4" s="54"/>
      <c r="AO4" s="54"/>
      <c r="AP4" s="54" t="s">
        <v>249</v>
      </c>
      <c r="AQ4" s="54"/>
      <c r="AR4" s="54"/>
      <c r="AS4" s="54"/>
      <c r="AT4" s="54"/>
      <c r="AU4" s="54"/>
      <c r="AV4" s="54"/>
      <c r="AW4" s="196"/>
      <c r="AX4" s="193">
        <v>4050101</v>
      </c>
      <c r="AY4" s="198" t="s">
        <v>1002</v>
      </c>
      <c r="AZ4" s="194" t="s">
        <v>1399</v>
      </c>
      <c r="BA4" s="196"/>
      <c r="BB4" s="196"/>
      <c r="BC4" s="196">
        <v>15</v>
      </c>
      <c r="BD4" s="196"/>
      <c r="BE4" s="196"/>
      <c r="BF4" s="196"/>
      <c r="BG4" s="196"/>
      <c r="BH4" s="196">
        <v>3</v>
      </c>
      <c r="BI4" s="196" t="s">
        <v>167</v>
      </c>
      <c r="BJ4" s="198"/>
      <c r="BK4" s="194" t="s">
        <v>910</v>
      </c>
      <c r="BL4" s="196" t="s">
        <v>167</v>
      </c>
      <c r="BM4" s="196"/>
      <c r="BN4" s="196"/>
    </row>
    <row r="5" spans="1:66" x14ac:dyDescent="0.25">
      <c r="A5" s="559"/>
      <c r="B5" s="558" t="s">
        <v>1402</v>
      </c>
      <c r="C5" s="558"/>
      <c r="D5" s="558" t="s">
        <v>845</v>
      </c>
      <c r="E5" s="558"/>
      <c r="F5" s="558"/>
      <c r="G5" s="558"/>
      <c r="H5" s="558"/>
      <c r="I5" s="558" t="s">
        <v>164</v>
      </c>
      <c r="J5" s="558">
        <v>4</v>
      </c>
      <c r="K5" s="558"/>
      <c r="L5" s="558"/>
      <c r="M5" s="196"/>
      <c r="N5" s="193">
        <v>40618</v>
      </c>
      <c r="O5" s="200" t="s">
        <v>902</v>
      </c>
      <c r="P5" s="200"/>
      <c r="Q5" s="200">
        <v>16</v>
      </c>
      <c r="R5" s="200"/>
      <c r="S5" s="200" t="s">
        <v>904</v>
      </c>
      <c r="T5" s="200" t="s">
        <v>653</v>
      </c>
      <c r="U5" s="196" t="s">
        <v>656</v>
      </c>
      <c r="V5" s="196" t="s">
        <v>164</v>
      </c>
      <c r="W5" s="199">
        <v>4</v>
      </c>
      <c r="X5" s="196" t="s">
        <v>894</v>
      </c>
      <c r="Y5" s="199">
        <v>0.08</v>
      </c>
      <c r="Z5" s="194">
        <v>7.0000000000000007E-2</v>
      </c>
      <c r="AA5" s="196"/>
      <c r="AB5" s="196" t="s">
        <v>243</v>
      </c>
      <c r="AC5" s="196"/>
      <c r="AD5" s="196"/>
      <c r="AE5" s="196"/>
      <c r="AF5" s="54"/>
      <c r="AG5" s="54"/>
      <c r="AH5" s="54" t="s">
        <v>249</v>
      </c>
      <c r="AI5" s="54"/>
      <c r="AJ5" s="54"/>
      <c r="AK5" s="54"/>
      <c r="AL5" s="54"/>
      <c r="AM5" s="54"/>
      <c r="AN5" s="54"/>
      <c r="AO5" s="54"/>
      <c r="AP5" s="54" t="s">
        <v>249</v>
      </c>
      <c r="AQ5" s="54"/>
      <c r="AR5" s="54"/>
      <c r="AS5" s="54"/>
      <c r="AT5" s="54"/>
      <c r="AU5" s="54"/>
      <c r="AV5" s="54"/>
      <c r="AW5" s="196"/>
      <c r="AX5" s="198">
        <v>4050201</v>
      </c>
      <c r="AY5" s="198" t="s">
        <v>1002</v>
      </c>
      <c r="AZ5" s="196" t="s">
        <v>1009</v>
      </c>
      <c r="BA5" s="196"/>
      <c r="BB5" s="196"/>
      <c r="BC5" s="196">
        <v>20</v>
      </c>
      <c r="BD5" s="196"/>
      <c r="BE5" s="196"/>
      <c r="BF5" s="196"/>
      <c r="BG5" s="196"/>
      <c r="BH5" s="196">
        <v>4</v>
      </c>
      <c r="BI5" s="196" t="s">
        <v>591</v>
      </c>
      <c r="BJ5" s="198"/>
      <c r="BK5" s="194" t="s">
        <v>910</v>
      </c>
      <c r="BL5" s="196" t="s">
        <v>167</v>
      </c>
      <c r="BM5" s="196"/>
      <c r="BN5" s="196"/>
    </row>
    <row r="6" spans="1:66" x14ac:dyDescent="0.25">
      <c r="A6" s="557" t="s">
        <v>664</v>
      </c>
      <c r="B6" s="558" t="s">
        <v>665</v>
      </c>
      <c r="C6" s="558" t="s">
        <v>2001</v>
      </c>
      <c r="D6" s="558">
        <v>28</v>
      </c>
      <c r="E6" s="558"/>
      <c r="F6" s="558" t="s">
        <v>180</v>
      </c>
      <c r="G6" s="558" t="s">
        <v>653</v>
      </c>
      <c r="H6" s="558" t="s">
        <v>656</v>
      </c>
      <c r="I6" s="558" t="s">
        <v>164</v>
      </c>
      <c r="J6" s="558">
        <v>5</v>
      </c>
      <c r="K6" s="558" t="s">
        <v>893</v>
      </c>
      <c r="L6" s="558"/>
      <c r="M6" s="196"/>
      <c r="N6" s="193">
        <v>40618</v>
      </c>
      <c r="O6" s="200" t="s">
        <v>903</v>
      </c>
      <c r="P6" s="200"/>
      <c r="Q6" s="200">
        <v>32</v>
      </c>
      <c r="R6" s="200"/>
      <c r="S6" s="200" t="s">
        <v>904</v>
      </c>
      <c r="T6" s="200" t="s">
        <v>653</v>
      </c>
      <c r="U6" s="196" t="s">
        <v>742</v>
      </c>
      <c r="V6" s="196" t="s">
        <v>164</v>
      </c>
      <c r="W6" s="199">
        <v>5</v>
      </c>
      <c r="X6" s="196" t="s">
        <v>894</v>
      </c>
      <c r="Y6" s="199">
        <v>0.08</v>
      </c>
      <c r="Z6" s="194">
        <v>7.0000000000000007E-2</v>
      </c>
      <c r="AA6" s="196"/>
      <c r="AB6" s="196" t="s">
        <v>245</v>
      </c>
      <c r="AC6" s="196"/>
      <c r="AD6" s="196"/>
      <c r="AE6" s="196"/>
      <c r="AF6" s="54"/>
      <c r="AG6" s="54"/>
      <c r="AH6" s="54" t="s">
        <v>249</v>
      </c>
      <c r="AI6" s="54"/>
      <c r="AJ6" s="54"/>
      <c r="AK6" s="54"/>
      <c r="AL6" s="54"/>
      <c r="AM6" s="54"/>
      <c r="AN6" s="54"/>
      <c r="AO6" s="54"/>
      <c r="AP6" s="54" t="s">
        <v>249</v>
      </c>
      <c r="AQ6" s="54"/>
      <c r="AR6" s="54"/>
      <c r="AS6" s="54"/>
      <c r="AT6" s="54"/>
      <c r="AU6" s="54"/>
      <c r="AV6" s="54"/>
      <c r="AW6" s="196"/>
      <c r="AX6" s="198">
        <v>4052201</v>
      </c>
      <c r="AY6" s="198" t="s">
        <v>1002</v>
      </c>
      <c r="AZ6" s="196" t="s">
        <v>1010</v>
      </c>
      <c r="BA6" s="196"/>
      <c r="BB6" s="196"/>
      <c r="BC6" s="196">
        <v>20</v>
      </c>
      <c r="BD6" s="196"/>
      <c r="BE6" s="196"/>
      <c r="BF6" s="196"/>
      <c r="BG6" s="196"/>
      <c r="BH6" s="196">
        <v>5</v>
      </c>
      <c r="BI6" s="196" t="s">
        <v>591</v>
      </c>
      <c r="BJ6" s="198"/>
      <c r="BK6" s="194" t="s">
        <v>910</v>
      </c>
      <c r="BL6" s="196" t="s">
        <v>167</v>
      </c>
      <c r="BM6" s="196"/>
      <c r="BN6" s="196"/>
    </row>
    <row r="7" spans="1:66" x14ac:dyDescent="0.25">
      <c r="A7" s="557" t="s">
        <v>664</v>
      </c>
      <c r="B7" s="558" t="s">
        <v>666</v>
      </c>
      <c r="C7" s="558" t="s">
        <v>2002</v>
      </c>
      <c r="D7" s="558">
        <v>56</v>
      </c>
      <c r="E7" s="558"/>
      <c r="F7" s="558" t="s">
        <v>180</v>
      </c>
      <c r="G7" s="558" t="s">
        <v>653</v>
      </c>
      <c r="H7" s="558" t="s">
        <v>742</v>
      </c>
      <c r="I7" s="558" t="s">
        <v>164</v>
      </c>
      <c r="J7" s="558">
        <v>6</v>
      </c>
      <c r="K7" s="558" t="s">
        <v>894</v>
      </c>
      <c r="L7" s="558"/>
      <c r="M7" s="196"/>
      <c r="N7" s="193">
        <v>40621</v>
      </c>
      <c r="O7" s="200" t="s">
        <v>773</v>
      </c>
      <c r="P7" s="200"/>
      <c r="Q7" s="200">
        <v>23</v>
      </c>
      <c r="R7" s="200"/>
      <c r="S7" s="200" t="s">
        <v>795</v>
      </c>
      <c r="T7" s="200" t="s">
        <v>743</v>
      </c>
      <c r="U7" s="196" t="s">
        <v>656</v>
      </c>
      <c r="V7" s="196" t="s">
        <v>164</v>
      </c>
      <c r="W7" s="199">
        <v>6</v>
      </c>
      <c r="X7" s="196" t="s">
        <v>894</v>
      </c>
      <c r="Y7" s="199">
        <v>0.08</v>
      </c>
      <c r="Z7" s="194">
        <v>7.0000000000000007E-2</v>
      </c>
      <c r="AA7" s="196"/>
      <c r="AB7" s="196"/>
      <c r="AC7" s="196"/>
      <c r="AD7" s="196"/>
      <c r="AE7" s="196"/>
      <c r="AF7" s="54"/>
      <c r="AG7" s="54"/>
      <c r="AH7" s="54" t="s">
        <v>249</v>
      </c>
      <c r="AI7" s="54"/>
      <c r="AJ7" s="54"/>
      <c r="AK7" s="54"/>
      <c r="AL7" s="54"/>
      <c r="AM7" s="196"/>
      <c r="AN7" s="54"/>
      <c r="AO7" s="54"/>
      <c r="AP7" s="54" t="s">
        <v>249</v>
      </c>
      <c r="AQ7" s="54"/>
      <c r="AR7" s="54"/>
      <c r="AS7" s="54"/>
      <c r="AT7" s="54"/>
      <c r="AU7" s="54"/>
      <c r="AV7" s="54"/>
      <c r="AW7" s="196"/>
      <c r="AX7" s="193">
        <v>4050501</v>
      </c>
      <c r="AY7" s="198" t="s">
        <v>1002</v>
      </c>
      <c r="AZ7" s="194" t="s">
        <v>1410</v>
      </c>
      <c r="BA7" s="196"/>
      <c r="BB7" s="196"/>
      <c r="BC7" s="196">
        <v>15</v>
      </c>
      <c r="BD7" s="196"/>
      <c r="BE7" s="196"/>
      <c r="BF7" s="196"/>
      <c r="BG7" s="196"/>
      <c r="BH7" s="196">
        <v>6</v>
      </c>
      <c r="BI7" s="196" t="s">
        <v>591</v>
      </c>
      <c r="BJ7" s="198"/>
      <c r="BK7" s="194" t="s">
        <v>910</v>
      </c>
      <c r="BL7" s="196" t="s">
        <v>167</v>
      </c>
      <c r="BM7" s="196"/>
      <c r="BN7" s="196"/>
    </row>
    <row r="8" spans="1:66" x14ac:dyDescent="0.25">
      <c r="A8" s="557" t="s">
        <v>664</v>
      </c>
      <c r="B8" s="558" t="s">
        <v>2003</v>
      </c>
      <c r="C8" s="558" t="s">
        <v>2004</v>
      </c>
      <c r="D8" s="558">
        <v>62</v>
      </c>
      <c r="E8" s="558"/>
      <c r="F8" s="558" t="s">
        <v>180</v>
      </c>
      <c r="G8" s="558" t="s">
        <v>653</v>
      </c>
      <c r="H8" s="558" t="s">
        <v>745</v>
      </c>
      <c r="I8" s="558" t="s">
        <v>164</v>
      </c>
      <c r="J8" s="558">
        <v>7</v>
      </c>
      <c r="K8" s="558" t="s">
        <v>894</v>
      </c>
      <c r="L8" s="558"/>
      <c r="M8" s="196"/>
      <c r="N8" s="193">
        <v>40621</v>
      </c>
      <c r="O8" s="200" t="s">
        <v>774</v>
      </c>
      <c r="P8" s="200"/>
      <c r="Q8" s="200">
        <v>46</v>
      </c>
      <c r="R8" s="200"/>
      <c r="S8" s="200" t="s">
        <v>795</v>
      </c>
      <c r="T8" s="200" t="s">
        <v>743</v>
      </c>
      <c r="U8" s="196" t="s">
        <v>742</v>
      </c>
      <c r="V8" s="196" t="s">
        <v>164</v>
      </c>
      <c r="W8" s="199">
        <v>7</v>
      </c>
      <c r="X8" s="196" t="s">
        <v>894</v>
      </c>
      <c r="Y8" s="199">
        <v>0.08</v>
      </c>
      <c r="Z8" s="194">
        <v>7.0000000000000007E-2</v>
      </c>
      <c r="AA8" s="196"/>
      <c r="AB8" s="196"/>
      <c r="AC8" s="196"/>
      <c r="AD8" s="196"/>
      <c r="AE8" s="196"/>
      <c r="AF8" s="54"/>
      <c r="AG8" s="54"/>
      <c r="AH8" s="54" t="s">
        <v>249</v>
      </c>
      <c r="AI8" s="54"/>
      <c r="AJ8" s="54"/>
      <c r="AK8" s="54"/>
      <c r="AL8" s="54"/>
      <c r="AM8" s="54"/>
      <c r="AN8" s="54"/>
      <c r="AO8" s="54"/>
      <c r="AP8" s="54" t="s">
        <v>249</v>
      </c>
      <c r="AQ8" s="54"/>
      <c r="AR8" s="54"/>
      <c r="AS8" s="54"/>
      <c r="AT8" s="54"/>
      <c r="AU8" s="54"/>
      <c r="AV8" s="54"/>
      <c r="AW8" s="196"/>
      <c r="AX8" s="198">
        <v>4051801</v>
      </c>
      <c r="AY8" s="198" t="s">
        <v>1002</v>
      </c>
      <c r="AZ8" s="196" t="s">
        <v>1003</v>
      </c>
      <c r="BA8" s="196"/>
      <c r="BB8" s="196"/>
      <c r="BC8" s="196">
        <v>15</v>
      </c>
      <c r="BD8" s="196"/>
      <c r="BE8" s="196"/>
      <c r="BF8" s="196"/>
      <c r="BG8" s="196"/>
      <c r="BH8" s="196">
        <v>7</v>
      </c>
      <c r="BI8" s="196" t="s">
        <v>167</v>
      </c>
      <c r="BJ8" s="198"/>
      <c r="BK8" s="194" t="s">
        <v>910</v>
      </c>
      <c r="BL8" s="196" t="s">
        <v>167</v>
      </c>
      <c r="BM8" s="196"/>
      <c r="BN8" s="196"/>
    </row>
    <row r="9" spans="1:66" x14ac:dyDescent="0.25">
      <c r="A9" s="557" t="s">
        <v>664</v>
      </c>
      <c r="B9" s="558" t="s">
        <v>2005</v>
      </c>
      <c r="C9" s="558" t="s">
        <v>2006</v>
      </c>
      <c r="D9" s="558">
        <v>112</v>
      </c>
      <c r="E9" s="558"/>
      <c r="F9" s="558" t="s">
        <v>180</v>
      </c>
      <c r="G9" s="558" t="s">
        <v>653</v>
      </c>
      <c r="H9" s="558" t="s">
        <v>746</v>
      </c>
      <c r="I9" s="558" t="s">
        <v>164</v>
      </c>
      <c r="J9" s="558">
        <v>8</v>
      </c>
      <c r="K9" s="558" t="s">
        <v>894</v>
      </c>
      <c r="L9" s="558"/>
      <c r="M9" s="196"/>
      <c r="N9" s="193">
        <v>40621</v>
      </c>
      <c r="O9" s="196" t="s">
        <v>775</v>
      </c>
      <c r="P9" s="196" t="s">
        <v>201</v>
      </c>
      <c r="Q9" s="196">
        <v>24</v>
      </c>
      <c r="R9" s="196"/>
      <c r="S9" s="196" t="s">
        <v>795</v>
      </c>
      <c r="T9" s="196" t="s">
        <v>744</v>
      </c>
      <c r="U9" s="196" t="s">
        <v>656</v>
      </c>
      <c r="V9" s="196" t="s">
        <v>164</v>
      </c>
      <c r="W9" s="199">
        <v>8</v>
      </c>
      <c r="X9" s="196" t="s">
        <v>894</v>
      </c>
      <c r="Y9" s="199">
        <v>0.08</v>
      </c>
      <c r="Z9" s="194">
        <v>7.0000000000000007E-2</v>
      </c>
      <c r="AA9" s="196"/>
      <c r="AB9" s="196"/>
      <c r="AC9" s="196"/>
      <c r="AD9" s="196"/>
      <c r="AE9" s="196"/>
      <c r="AF9" s="54"/>
      <c r="AG9" s="54"/>
      <c r="AH9" s="54" t="s">
        <v>249</v>
      </c>
      <c r="AI9" s="54"/>
      <c r="AJ9" s="54"/>
      <c r="AK9" s="54"/>
      <c r="AL9" s="54"/>
      <c r="AM9" s="54"/>
      <c r="AN9" s="54"/>
      <c r="AO9" s="54"/>
      <c r="AP9" s="54" t="s">
        <v>249</v>
      </c>
      <c r="AQ9" s="54"/>
      <c r="AR9" s="54"/>
      <c r="AS9" s="54"/>
      <c r="AT9" s="54"/>
      <c r="AU9" s="54"/>
      <c r="AV9" s="54"/>
      <c r="AW9" s="196"/>
      <c r="AX9" s="193">
        <v>4050401</v>
      </c>
      <c r="AY9" s="198" t="s">
        <v>1002</v>
      </c>
      <c r="AZ9" s="194" t="s">
        <v>1397</v>
      </c>
      <c r="BA9" s="196"/>
      <c r="BB9" s="196"/>
      <c r="BC9" s="196">
        <v>15</v>
      </c>
      <c r="BD9" s="196"/>
      <c r="BE9" s="196"/>
      <c r="BF9" s="196"/>
      <c r="BG9" s="196"/>
      <c r="BH9" s="196">
        <v>8</v>
      </c>
      <c r="BI9" s="196" t="s">
        <v>591</v>
      </c>
      <c r="BJ9" s="198"/>
      <c r="BK9" s="194" t="s">
        <v>910</v>
      </c>
      <c r="BL9" s="196" t="s">
        <v>167</v>
      </c>
      <c r="BM9" s="196"/>
      <c r="BN9" s="196"/>
    </row>
    <row r="10" spans="1:66" x14ac:dyDescent="0.25">
      <c r="A10" s="557" t="s">
        <v>664</v>
      </c>
      <c r="B10" s="558" t="s">
        <v>667</v>
      </c>
      <c r="C10" s="558" t="s">
        <v>2007</v>
      </c>
      <c r="D10" s="558">
        <v>37</v>
      </c>
      <c r="E10" s="558"/>
      <c r="F10" s="558" t="s">
        <v>180</v>
      </c>
      <c r="G10" s="558" t="s">
        <v>743</v>
      </c>
      <c r="H10" s="558" t="s">
        <v>656</v>
      </c>
      <c r="I10" s="558" t="s">
        <v>164</v>
      </c>
      <c r="J10" s="558">
        <v>9</v>
      </c>
      <c r="K10" s="558" t="s">
        <v>894</v>
      </c>
      <c r="L10" s="558"/>
      <c r="M10" s="196"/>
      <c r="N10" s="193">
        <v>40621</v>
      </c>
      <c r="O10" s="196" t="s">
        <v>776</v>
      </c>
      <c r="P10" s="196" t="s">
        <v>203</v>
      </c>
      <c r="Q10" s="196">
        <v>44</v>
      </c>
      <c r="R10" s="196"/>
      <c r="S10" s="196" t="s">
        <v>795</v>
      </c>
      <c r="T10" s="196" t="s">
        <v>744</v>
      </c>
      <c r="U10" s="196" t="s">
        <v>742</v>
      </c>
      <c r="V10" s="196" t="s">
        <v>164</v>
      </c>
      <c r="W10" s="199">
        <v>9</v>
      </c>
      <c r="X10" s="196" t="s">
        <v>894</v>
      </c>
      <c r="Y10" s="199">
        <v>0.08</v>
      </c>
      <c r="Z10" s="194">
        <v>7.0000000000000007E-2</v>
      </c>
      <c r="AA10" s="196"/>
      <c r="AB10" s="196"/>
      <c r="AC10" s="196"/>
      <c r="AD10" s="196"/>
      <c r="AE10" s="196"/>
      <c r="AF10" s="54"/>
      <c r="AG10" s="54"/>
      <c r="AH10" s="54" t="s">
        <v>249</v>
      </c>
      <c r="AI10" s="54"/>
      <c r="AJ10" s="54"/>
      <c r="AK10" s="54"/>
      <c r="AL10" s="54"/>
      <c r="AM10" s="54"/>
      <c r="AN10" s="54"/>
      <c r="AO10" s="54"/>
      <c r="AP10" s="54" t="s">
        <v>249</v>
      </c>
      <c r="AQ10" s="54"/>
      <c r="AR10" s="54"/>
      <c r="AS10" s="54"/>
      <c r="AT10" s="54"/>
      <c r="AU10" s="54"/>
      <c r="AV10" s="54"/>
      <c r="AW10" s="196"/>
      <c r="AX10" s="198">
        <v>4052111</v>
      </c>
      <c r="AY10" s="198" t="s">
        <v>1002</v>
      </c>
      <c r="AZ10" s="196" t="s">
        <v>1012</v>
      </c>
      <c r="BA10" s="196"/>
      <c r="BB10" s="196"/>
      <c r="BC10" s="196">
        <v>15</v>
      </c>
      <c r="BD10" s="196"/>
      <c r="BE10" s="196"/>
      <c r="BF10" s="196"/>
      <c r="BG10" s="196"/>
      <c r="BH10" s="196">
        <v>9</v>
      </c>
      <c r="BI10" s="196" t="s">
        <v>591</v>
      </c>
      <c r="BJ10" s="198"/>
      <c r="BK10" s="194" t="s">
        <v>910</v>
      </c>
      <c r="BL10" s="196" t="s">
        <v>167</v>
      </c>
      <c r="BM10" s="196"/>
      <c r="BN10" s="196"/>
    </row>
    <row r="11" spans="1:66" x14ac:dyDescent="0.25">
      <c r="A11" s="557" t="s">
        <v>664</v>
      </c>
      <c r="B11" s="558" t="s">
        <v>668</v>
      </c>
      <c r="C11" s="558" t="s">
        <v>2008</v>
      </c>
      <c r="D11" s="558">
        <v>74</v>
      </c>
      <c r="E11" s="558"/>
      <c r="F11" s="558" t="s">
        <v>180</v>
      </c>
      <c r="G11" s="558" t="s">
        <v>743</v>
      </c>
      <c r="H11" s="558" t="s">
        <v>742</v>
      </c>
      <c r="I11" s="558" t="s">
        <v>164</v>
      </c>
      <c r="J11" s="558">
        <v>10</v>
      </c>
      <c r="K11" s="558" t="s">
        <v>894</v>
      </c>
      <c r="L11" s="558"/>
      <c r="M11" s="196"/>
      <c r="N11" s="193">
        <v>40621</v>
      </c>
      <c r="O11" s="196" t="s">
        <v>777</v>
      </c>
      <c r="P11" s="196" t="s">
        <v>205</v>
      </c>
      <c r="Q11" s="196">
        <v>66</v>
      </c>
      <c r="R11" s="196"/>
      <c r="S11" s="196" t="s">
        <v>795</v>
      </c>
      <c r="T11" s="196" t="s">
        <v>744</v>
      </c>
      <c r="U11" s="196" t="s">
        <v>745</v>
      </c>
      <c r="V11" s="196" t="s">
        <v>164</v>
      </c>
      <c r="W11" s="199">
        <v>10</v>
      </c>
      <c r="X11" s="196" t="s">
        <v>894</v>
      </c>
      <c r="Y11" s="199">
        <v>0.08</v>
      </c>
      <c r="Z11" s="194">
        <v>7.0000000000000007E-2</v>
      </c>
      <c r="AA11" s="196"/>
      <c r="AB11" s="196"/>
      <c r="AC11" s="196"/>
      <c r="AD11" s="196"/>
      <c r="AE11" s="196"/>
      <c r="AF11" s="54"/>
      <c r="AG11" s="54"/>
      <c r="AH11" s="54" t="s">
        <v>249</v>
      </c>
      <c r="AI11" s="54"/>
      <c r="AJ11" s="54"/>
      <c r="AK11" s="54"/>
      <c r="AL11" s="54"/>
      <c r="AM11" s="54"/>
      <c r="AN11" s="54"/>
      <c r="AO11" s="54"/>
      <c r="AP11" s="54" t="s">
        <v>250</v>
      </c>
      <c r="AQ11" s="54"/>
      <c r="AR11" s="54"/>
      <c r="AS11" s="54"/>
      <c r="AT11" s="54"/>
      <c r="AU11" s="54"/>
      <c r="AV11" s="54"/>
      <c r="AW11" s="196"/>
      <c r="AX11" s="198">
        <v>4052121</v>
      </c>
      <c r="AY11" s="198" t="s">
        <v>1002</v>
      </c>
      <c r="AZ11" s="196" t="s">
        <v>1011</v>
      </c>
      <c r="BA11" s="196"/>
      <c r="BB11" s="196"/>
      <c r="BC11" s="196">
        <v>10</v>
      </c>
      <c r="BD11" s="196"/>
      <c r="BE11" s="196"/>
      <c r="BF11" s="196"/>
      <c r="BG11" s="196"/>
      <c r="BH11" s="196">
        <v>10</v>
      </c>
      <c r="BI11" s="196" t="s">
        <v>167</v>
      </c>
      <c r="BJ11" s="198"/>
      <c r="BK11" s="194" t="s">
        <v>910</v>
      </c>
      <c r="BL11" s="196" t="s">
        <v>167</v>
      </c>
      <c r="BM11" s="196"/>
      <c r="BN11" s="196"/>
    </row>
    <row r="12" spans="1:66" x14ac:dyDescent="0.25">
      <c r="A12" s="557" t="s">
        <v>664</v>
      </c>
      <c r="B12" s="558" t="s">
        <v>2009</v>
      </c>
      <c r="C12" s="558" t="s">
        <v>2010</v>
      </c>
      <c r="D12" s="558">
        <v>111</v>
      </c>
      <c r="E12" s="558"/>
      <c r="F12" s="558" t="s">
        <v>180</v>
      </c>
      <c r="G12" s="558" t="s">
        <v>743</v>
      </c>
      <c r="H12" s="558" t="s">
        <v>745</v>
      </c>
      <c r="I12" s="558" t="s">
        <v>164</v>
      </c>
      <c r="J12" s="558">
        <v>11</v>
      </c>
      <c r="K12" s="558" t="s">
        <v>894</v>
      </c>
      <c r="L12" s="558"/>
      <c r="M12" s="196"/>
      <c r="N12" s="193">
        <v>40621</v>
      </c>
      <c r="O12" s="196" t="s">
        <v>778</v>
      </c>
      <c r="P12" s="196" t="s">
        <v>207</v>
      </c>
      <c r="Q12" s="196">
        <v>90</v>
      </c>
      <c r="R12" s="196"/>
      <c r="S12" s="196" t="s">
        <v>795</v>
      </c>
      <c r="T12" s="196" t="s">
        <v>744</v>
      </c>
      <c r="U12" s="196" t="s">
        <v>746</v>
      </c>
      <c r="V12" s="196" t="s">
        <v>164</v>
      </c>
      <c r="W12" s="199">
        <v>11</v>
      </c>
      <c r="X12" s="196" t="s">
        <v>894</v>
      </c>
      <c r="Y12" s="199">
        <v>0.08</v>
      </c>
      <c r="Z12" s="194">
        <v>7.0000000000000007E-2</v>
      </c>
      <c r="AA12" s="196"/>
      <c r="AB12" s="196"/>
      <c r="AC12" s="196"/>
      <c r="AD12" s="196"/>
      <c r="AE12" s="196"/>
      <c r="AF12" s="54"/>
      <c r="AG12" s="54"/>
      <c r="AH12" s="54" t="s">
        <v>250</v>
      </c>
      <c r="AI12" s="54"/>
      <c r="AJ12" s="54"/>
      <c r="AK12" s="54"/>
      <c r="AL12" s="54"/>
      <c r="AM12" s="54"/>
      <c r="AN12" s="54"/>
      <c r="AO12" s="54"/>
      <c r="AP12" s="54" t="s">
        <v>250</v>
      </c>
      <c r="AQ12" s="54"/>
      <c r="AR12" s="54"/>
      <c r="AS12" s="54"/>
      <c r="AT12" s="54"/>
      <c r="AU12" s="54"/>
      <c r="AV12" s="54"/>
      <c r="AW12" s="196"/>
      <c r="AX12" s="198">
        <v>4052001</v>
      </c>
      <c r="AY12" s="198" t="s">
        <v>1002</v>
      </c>
      <c r="AZ12" s="196" t="s">
        <v>1006</v>
      </c>
      <c r="BA12" s="196"/>
      <c r="BB12" s="196"/>
      <c r="BC12" s="196">
        <v>15</v>
      </c>
      <c r="BD12" s="196"/>
      <c r="BE12" s="196"/>
      <c r="BF12" s="196"/>
      <c r="BG12" s="196"/>
      <c r="BH12" s="196">
        <v>11</v>
      </c>
      <c r="BI12" s="196" t="s">
        <v>167</v>
      </c>
      <c r="BJ12" s="198"/>
      <c r="BK12" s="194" t="s">
        <v>910</v>
      </c>
      <c r="BL12" s="196" t="s">
        <v>167</v>
      </c>
      <c r="BM12" s="196"/>
      <c r="BN12" s="196"/>
    </row>
    <row r="13" spans="1:66" x14ac:dyDescent="0.25">
      <c r="A13" s="557" t="s">
        <v>664</v>
      </c>
      <c r="B13" s="558" t="s">
        <v>2011</v>
      </c>
      <c r="C13" s="558" t="s">
        <v>2012</v>
      </c>
      <c r="D13" s="558">
        <v>148</v>
      </c>
      <c r="E13" s="558"/>
      <c r="F13" s="558" t="s">
        <v>180</v>
      </c>
      <c r="G13" s="558" t="s">
        <v>743</v>
      </c>
      <c r="H13" s="558" t="s">
        <v>746</v>
      </c>
      <c r="I13" s="558" t="s">
        <v>164</v>
      </c>
      <c r="J13" s="558">
        <v>12</v>
      </c>
      <c r="K13" s="558" t="s">
        <v>894</v>
      </c>
      <c r="L13" s="558"/>
      <c r="M13" s="196"/>
      <c r="N13" s="193">
        <v>40621</v>
      </c>
      <c r="O13" s="194" t="s">
        <v>1367</v>
      </c>
      <c r="P13" s="194"/>
      <c r="Q13" s="194">
        <v>134</v>
      </c>
      <c r="R13" s="194"/>
      <c r="S13" s="196" t="s">
        <v>795</v>
      </c>
      <c r="T13" s="194" t="s">
        <v>744</v>
      </c>
      <c r="U13" s="194" t="s">
        <v>752</v>
      </c>
      <c r="V13" s="196" t="s">
        <v>164</v>
      </c>
      <c r="W13" s="199">
        <v>12</v>
      </c>
      <c r="X13" s="196" t="s">
        <v>894</v>
      </c>
      <c r="Y13" s="199">
        <v>0.08</v>
      </c>
      <c r="Z13" s="194">
        <v>7.0000000000000007E-2</v>
      </c>
      <c r="AA13" s="196"/>
      <c r="AB13" s="196"/>
      <c r="AC13" s="196"/>
      <c r="AD13" s="196"/>
      <c r="AE13" s="196"/>
      <c r="AF13" s="54"/>
      <c r="AG13" s="54"/>
      <c r="AH13" s="54" t="s">
        <v>250</v>
      </c>
      <c r="AI13" s="54"/>
      <c r="AJ13" s="54"/>
      <c r="AK13" s="54"/>
      <c r="AL13" s="54"/>
      <c r="AM13" s="54"/>
      <c r="AN13" s="54"/>
      <c r="AO13" s="54"/>
      <c r="AP13" s="54" t="s">
        <v>250</v>
      </c>
      <c r="AQ13" s="54"/>
      <c r="AR13" s="54"/>
      <c r="AS13" s="54"/>
      <c r="AT13" s="54"/>
      <c r="AU13" s="54"/>
      <c r="AV13" s="54"/>
      <c r="AW13" s="196"/>
      <c r="AX13" s="198">
        <v>4050601</v>
      </c>
      <c r="AY13" s="198" t="s">
        <v>1002</v>
      </c>
      <c r="AZ13" s="196" t="s">
        <v>1014</v>
      </c>
      <c r="BA13" s="196"/>
      <c r="BB13" s="196"/>
      <c r="BC13" s="196">
        <v>15</v>
      </c>
      <c r="BD13" s="196"/>
      <c r="BE13" s="196"/>
      <c r="BF13" s="196"/>
      <c r="BG13" s="196"/>
      <c r="BH13" s="196">
        <v>12</v>
      </c>
      <c r="BI13" s="196" t="s">
        <v>591</v>
      </c>
      <c r="BJ13" s="198"/>
      <c r="BK13" s="194" t="s">
        <v>910</v>
      </c>
      <c r="BL13" s="196" t="s">
        <v>167</v>
      </c>
      <c r="BM13" s="196"/>
      <c r="BN13" s="196"/>
    </row>
    <row r="14" spans="1:66" x14ac:dyDescent="0.25">
      <c r="A14" s="557" t="s">
        <v>664</v>
      </c>
      <c r="B14" s="558" t="s">
        <v>669</v>
      </c>
      <c r="C14" s="558" t="s">
        <v>2013</v>
      </c>
      <c r="D14" s="558">
        <v>48</v>
      </c>
      <c r="E14" s="558"/>
      <c r="F14" s="558" t="s">
        <v>180</v>
      </c>
      <c r="G14" s="558" t="s">
        <v>744</v>
      </c>
      <c r="H14" s="558" t="s">
        <v>656</v>
      </c>
      <c r="I14" s="558" t="s">
        <v>164</v>
      </c>
      <c r="J14" s="558">
        <v>13</v>
      </c>
      <c r="K14" s="558" t="s">
        <v>894</v>
      </c>
      <c r="L14" s="558"/>
      <c r="M14" s="196"/>
      <c r="N14" s="193">
        <v>40621</v>
      </c>
      <c r="O14" s="196" t="s">
        <v>779</v>
      </c>
      <c r="P14" s="196"/>
      <c r="Q14" s="196">
        <v>24</v>
      </c>
      <c r="R14" s="196"/>
      <c r="S14" s="196" t="s">
        <v>795</v>
      </c>
      <c r="T14" s="196" t="s">
        <v>750</v>
      </c>
      <c r="U14" s="196" t="s">
        <v>656</v>
      </c>
      <c r="V14" s="196" t="s">
        <v>164</v>
      </c>
      <c r="W14" s="199">
        <v>13</v>
      </c>
      <c r="X14" s="196" t="s">
        <v>905</v>
      </c>
      <c r="Y14" s="199">
        <v>0.08</v>
      </c>
      <c r="Z14" s="194">
        <v>7.0000000000000007E-2</v>
      </c>
      <c r="AA14" s="196"/>
      <c r="AB14" s="196"/>
      <c r="AC14" s="196"/>
      <c r="AD14" s="196"/>
      <c r="AE14" s="196"/>
      <c r="AF14" s="54"/>
      <c r="AG14" s="54"/>
      <c r="AH14" s="54" t="s">
        <v>250</v>
      </c>
      <c r="AI14" s="54"/>
      <c r="AJ14" s="54"/>
      <c r="AK14" s="54"/>
      <c r="AL14" s="54"/>
      <c r="AM14" s="54"/>
      <c r="AN14" s="54"/>
      <c r="AO14" s="54"/>
      <c r="AP14" s="54" t="s">
        <v>250</v>
      </c>
      <c r="AQ14" s="54"/>
      <c r="AR14" s="54"/>
      <c r="AS14" s="54"/>
      <c r="AT14" s="54"/>
      <c r="AU14" s="54"/>
      <c r="AV14" s="54"/>
      <c r="AW14" s="196"/>
      <c r="AX14" s="198">
        <v>4050901</v>
      </c>
      <c r="AY14" s="198" t="s">
        <v>1002</v>
      </c>
      <c r="AZ14" s="196" t="s">
        <v>1007</v>
      </c>
      <c r="BA14" s="196"/>
      <c r="BB14" s="196"/>
      <c r="BC14" s="196">
        <v>15</v>
      </c>
      <c r="BD14" s="196"/>
      <c r="BE14" s="196"/>
      <c r="BF14" s="196"/>
      <c r="BG14" s="196"/>
      <c r="BH14" s="196">
        <v>13</v>
      </c>
      <c r="BI14" s="196" t="s">
        <v>167</v>
      </c>
      <c r="BJ14" s="198"/>
      <c r="BK14" s="194" t="s">
        <v>910</v>
      </c>
      <c r="BL14" s="196" t="s">
        <v>167</v>
      </c>
      <c r="BM14" s="196"/>
      <c r="BN14" s="196"/>
    </row>
    <row r="15" spans="1:66" x14ac:dyDescent="0.25">
      <c r="A15" s="557" t="s">
        <v>664</v>
      </c>
      <c r="B15" s="558" t="s">
        <v>670</v>
      </c>
      <c r="C15" s="558" t="s">
        <v>2014</v>
      </c>
      <c r="D15" s="558">
        <v>82</v>
      </c>
      <c r="E15" s="558"/>
      <c r="F15" s="558" t="s">
        <v>180</v>
      </c>
      <c r="G15" s="558" t="s">
        <v>744</v>
      </c>
      <c r="H15" s="558" t="s">
        <v>742</v>
      </c>
      <c r="I15" s="558" t="s">
        <v>164</v>
      </c>
      <c r="J15" s="558">
        <v>14</v>
      </c>
      <c r="K15" s="558" t="s">
        <v>894</v>
      </c>
      <c r="L15" s="558"/>
      <c r="M15" s="196"/>
      <c r="N15" s="193">
        <v>40621</v>
      </c>
      <c r="O15" s="196" t="s">
        <v>780</v>
      </c>
      <c r="P15" s="196"/>
      <c r="Q15" s="196">
        <v>44</v>
      </c>
      <c r="R15" s="196"/>
      <c r="S15" s="196" t="s">
        <v>795</v>
      </c>
      <c r="T15" s="196" t="s">
        <v>750</v>
      </c>
      <c r="U15" s="196" t="s">
        <v>742</v>
      </c>
      <c r="V15" s="196" t="s">
        <v>164</v>
      </c>
      <c r="W15" s="199">
        <v>14</v>
      </c>
      <c r="X15" s="196" t="s">
        <v>905</v>
      </c>
      <c r="Y15" s="199">
        <v>0.08</v>
      </c>
      <c r="Z15" s="194">
        <v>7.0000000000000007E-2</v>
      </c>
      <c r="AA15" s="196"/>
      <c r="AB15" s="196"/>
      <c r="AC15" s="196"/>
      <c r="AD15" s="196"/>
      <c r="AE15" s="196"/>
      <c r="AF15" s="54"/>
      <c r="AG15" s="54"/>
      <c r="AH15" s="54" t="s">
        <v>250</v>
      </c>
      <c r="AI15" s="54"/>
      <c r="AJ15" s="54"/>
      <c r="AK15" s="54"/>
      <c r="AL15" s="54"/>
      <c r="AM15" s="54"/>
      <c r="AN15" s="54"/>
      <c r="AO15" s="54"/>
      <c r="AP15" s="54" t="s">
        <v>250</v>
      </c>
      <c r="AQ15" s="54"/>
      <c r="AR15" s="54"/>
      <c r="AS15" s="54"/>
      <c r="AT15" s="54"/>
      <c r="AU15" s="54"/>
      <c r="AV15" s="54"/>
      <c r="AW15" s="196"/>
      <c r="AX15" s="198">
        <v>4052301</v>
      </c>
      <c r="AY15" s="198" t="s">
        <v>1002</v>
      </c>
      <c r="AZ15" s="196" t="s">
        <v>1008</v>
      </c>
      <c r="BA15" s="196"/>
      <c r="BB15" s="196"/>
      <c r="BC15" s="196">
        <v>15</v>
      </c>
      <c r="BD15" s="196"/>
      <c r="BE15" s="196"/>
      <c r="BF15" s="196"/>
      <c r="BG15" s="196"/>
      <c r="BH15" s="196">
        <v>14</v>
      </c>
      <c r="BI15" s="196" t="s">
        <v>167</v>
      </c>
      <c r="BJ15" s="198"/>
      <c r="BK15" s="194" t="s">
        <v>910</v>
      </c>
      <c r="BL15" s="196" t="s">
        <v>167</v>
      </c>
      <c r="BM15" s="196"/>
      <c r="BN15" s="196"/>
    </row>
    <row r="16" spans="1:66" x14ac:dyDescent="0.25">
      <c r="A16" s="557" t="s">
        <v>664</v>
      </c>
      <c r="B16" s="558" t="s">
        <v>671</v>
      </c>
      <c r="C16" s="558" t="s">
        <v>2015</v>
      </c>
      <c r="D16" s="558">
        <v>122</v>
      </c>
      <c r="E16" s="558"/>
      <c r="F16" s="558" t="s">
        <v>180</v>
      </c>
      <c r="G16" s="558" t="s">
        <v>744</v>
      </c>
      <c r="H16" s="558" t="s">
        <v>745</v>
      </c>
      <c r="I16" s="558" t="s">
        <v>164</v>
      </c>
      <c r="J16" s="558">
        <v>15</v>
      </c>
      <c r="K16" s="558" t="s">
        <v>894</v>
      </c>
      <c r="L16" s="558"/>
      <c r="M16" s="196"/>
      <c r="N16" s="198">
        <v>40620</v>
      </c>
      <c r="O16" s="196" t="s">
        <v>781</v>
      </c>
      <c r="P16" s="196" t="s">
        <v>202</v>
      </c>
      <c r="Q16" s="196">
        <v>26</v>
      </c>
      <c r="R16" s="196"/>
      <c r="S16" s="196" t="s">
        <v>796</v>
      </c>
      <c r="T16" s="196" t="s">
        <v>744</v>
      </c>
      <c r="U16" s="196" t="s">
        <v>656</v>
      </c>
      <c r="V16" s="196" t="s">
        <v>164</v>
      </c>
      <c r="W16" s="199">
        <v>15</v>
      </c>
      <c r="X16" s="196" t="s">
        <v>894</v>
      </c>
      <c r="Y16" s="199">
        <v>0.08</v>
      </c>
      <c r="Z16" s="194">
        <v>7.0000000000000007E-2</v>
      </c>
      <c r="AA16" s="196"/>
      <c r="AB16" s="196"/>
      <c r="AC16" s="196"/>
      <c r="AD16" s="196"/>
      <c r="AE16" s="196"/>
      <c r="AF16" s="54"/>
      <c r="AG16" s="54"/>
      <c r="AH16" s="54" t="s">
        <v>250</v>
      </c>
      <c r="AI16" s="54"/>
      <c r="AJ16" s="54"/>
      <c r="AK16" s="54"/>
      <c r="AL16" s="54"/>
      <c r="AM16" s="54"/>
      <c r="AN16" s="54"/>
      <c r="AO16" s="54"/>
      <c r="AP16" s="54" t="s">
        <v>250</v>
      </c>
      <c r="AQ16" s="54"/>
      <c r="AR16" s="54"/>
      <c r="AS16" s="54"/>
      <c r="AT16" s="54"/>
      <c r="AU16" s="54"/>
      <c r="AV16" s="54"/>
      <c r="AW16" s="196"/>
      <c r="AX16" s="198">
        <v>4050801</v>
      </c>
      <c r="AY16" s="198" t="s">
        <v>1002</v>
      </c>
      <c r="AZ16" s="194" t="s">
        <v>1044</v>
      </c>
      <c r="BA16" s="196"/>
      <c r="BB16" s="196"/>
      <c r="BC16" s="196">
        <v>15</v>
      </c>
      <c r="BD16" s="196"/>
      <c r="BE16" s="196"/>
      <c r="BF16" s="196"/>
      <c r="BG16" s="196"/>
      <c r="BH16" s="196">
        <v>15</v>
      </c>
      <c r="BI16" s="196" t="s">
        <v>167</v>
      </c>
      <c r="BJ16" s="198"/>
      <c r="BK16" s="194" t="s">
        <v>910</v>
      </c>
      <c r="BL16" s="196" t="s">
        <v>167</v>
      </c>
      <c r="BM16" s="196"/>
      <c r="BN16" s="196"/>
    </row>
    <row r="17" spans="1:66" x14ac:dyDescent="0.25">
      <c r="A17" s="557" t="s">
        <v>664</v>
      </c>
      <c r="B17" s="558" t="s">
        <v>672</v>
      </c>
      <c r="C17" s="558" t="s">
        <v>846</v>
      </c>
      <c r="D17" s="558">
        <v>164</v>
      </c>
      <c r="E17" s="558"/>
      <c r="F17" s="558" t="s">
        <v>180</v>
      </c>
      <c r="G17" s="558" t="s">
        <v>744</v>
      </c>
      <c r="H17" s="558" t="s">
        <v>746</v>
      </c>
      <c r="I17" s="558" t="s">
        <v>164</v>
      </c>
      <c r="J17" s="558">
        <v>16</v>
      </c>
      <c r="K17" s="558" t="s">
        <v>894</v>
      </c>
      <c r="L17" s="558"/>
      <c r="M17" s="196"/>
      <c r="N17" s="198">
        <v>40620</v>
      </c>
      <c r="O17" s="196" t="s">
        <v>782</v>
      </c>
      <c r="P17" s="196" t="s">
        <v>204</v>
      </c>
      <c r="Q17" s="196">
        <v>50</v>
      </c>
      <c r="R17" s="196"/>
      <c r="S17" s="196" t="s">
        <v>796</v>
      </c>
      <c r="T17" s="196" t="s">
        <v>744</v>
      </c>
      <c r="U17" s="196" t="s">
        <v>742</v>
      </c>
      <c r="V17" s="196" t="s">
        <v>164</v>
      </c>
      <c r="W17" s="199">
        <v>16</v>
      </c>
      <c r="X17" s="196" t="s">
        <v>894</v>
      </c>
      <c r="Y17" s="199">
        <v>0.08</v>
      </c>
      <c r="Z17" s="194">
        <v>7.0000000000000007E-2</v>
      </c>
      <c r="AA17" s="196"/>
      <c r="AB17" s="196"/>
      <c r="AC17" s="196"/>
      <c r="AD17" s="196"/>
      <c r="AE17" s="196"/>
      <c r="AF17" s="54"/>
      <c r="AG17" s="54"/>
      <c r="AH17" s="54" t="s">
        <v>250</v>
      </c>
      <c r="AI17" s="54"/>
      <c r="AJ17" s="54"/>
      <c r="AK17" s="54"/>
      <c r="AL17" s="54"/>
      <c r="AM17" s="196"/>
      <c r="AN17" s="54"/>
      <c r="AO17" s="54"/>
      <c r="AP17" s="54" t="s">
        <v>250</v>
      </c>
      <c r="AQ17" s="54"/>
      <c r="AR17" s="54"/>
      <c r="AS17" s="54"/>
      <c r="AT17" s="54"/>
      <c r="AU17" s="54"/>
      <c r="AV17" s="54"/>
      <c r="AW17" s="196"/>
      <c r="AX17" s="198">
        <v>4010101</v>
      </c>
      <c r="AY17" s="198" t="s">
        <v>1002</v>
      </c>
      <c r="AZ17" s="196" t="s">
        <v>1016</v>
      </c>
      <c r="BA17" s="196"/>
      <c r="BB17" s="196"/>
      <c r="BC17" s="196">
        <v>20</v>
      </c>
      <c r="BD17" s="196"/>
      <c r="BE17" s="196"/>
      <c r="BF17" s="196"/>
      <c r="BG17" s="196"/>
      <c r="BH17" s="196">
        <v>16</v>
      </c>
      <c r="BI17" s="196" t="s">
        <v>589</v>
      </c>
      <c r="BJ17" s="198"/>
      <c r="BK17" s="194" t="s">
        <v>910</v>
      </c>
      <c r="BL17" s="196" t="s">
        <v>167</v>
      </c>
      <c r="BM17" s="196"/>
      <c r="BN17" s="196"/>
    </row>
    <row r="18" spans="1:66" x14ac:dyDescent="0.25">
      <c r="A18" s="557" t="s">
        <v>664</v>
      </c>
      <c r="B18" s="558" t="s">
        <v>2016</v>
      </c>
      <c r="C18" s="558" t="s">
        <v>2017</v>
      </c>
      <c r="D18" s="558">
        <v>258</v>
      </c>
      <c r="E18" s="558"/>
      <c r="F18" s="558" t="s">
        <v>180</v>
      </c>
      <c r="G18" s="558" t="s">
        <v>744</v>
      </c>
      <c r="H18" s="558" t="s">
        <v>2018</v>
      </c>
      <c r="I18" s="558" t="s">
        <v>164</v>
      </c>
      <c r="J18" s="558">
        <v>17</v>
      </c>
      <c r="K18" s="558" t="s">
        <v>894</v>
      </c>
      <c r="L18" s="558"/>
      <c r="M18" s="196"/>
      <c r="N18" s="198">
        <v>40620</v>
      </c>
      <c r="O18" s="196" t="s">
        <v>783</v>
      </c>
      <c r="P18" s="196" t="s">
        <v>206</v>
      </c>
      <c r="Q18" s="196">
        <v>74</v>
      </c>
      <c r="R18" s="196"/>
      <c r="S18" s="196" t="s">
        <v>796</v>
      </c>
      <c r="T18" s="196" t="s">
        <v>744</v>
      </c>
      <c r="U18" s="196" t="s">
        <v>745</v>
      </c>
      <c r="V18" s="196" t="s">
        <v>164</v>
      </c>
      <c r="W18" s="199">
        <v>17</v>
      </c>
      <c r="X18" s="196" t="s">
        <v>894</v>
      </c>
      <c r="Y18" s="199">
        <v>0.08</v>
      </c>
      <c r="Z18" s="194">
        <v>7.0000000000000007E-2</v>
      </c>
      <c r="AA18" s="196"/>
      <c r="AB18" s="196"/>
      <c r="AC18" s="196"/>
      <c r="AD18" s="196"/>
      <c r="AE18" s="196"/>
      <c r="AF18" s="54"/>
      <c r="AG18" s="54"/>
      <c r="AH18" s="54" t="s">
        <v>250</v>
      </c>
      <c r="AI18" s="54"/>
      <c r="AJ18" s="54"/>
      <c r="AK18" s="54"/>
      <c r="AL18" s="54"/>
      <c r="AM18" s="54"/>
      <c r="AN18" s="54"/>
      <c r="AO18" s="54"/>
      <c r="AP18" s="54" t="s">
        <v>250</v>
      </c>
      <c r="AQ18" s="54"/>
      <c r="AR18" s="54"/>
      <c r="AS18" s="54"/>
      <c r="AT18" s="54"/>
      <c r="AU18" s="54"/>
      <c r="AV18" s="54"/>
      <c r="AW18" s="196"/>
      <c r="AX18" s="198">
        <v>4010201</v>
      </c>
      <c r="AY18" s="198" t="s">
        <v>1002</v>
      </c>
      <c r="AZ18" s="196" t="s">
        <v>1017</v>
      </c>
      <c r="BA18" s="196"/>
      <c r="BB18" s="196"/>
      <c r="BC18" s="196">
        <v>10</v>
      </c>
      <c r="BD18" s="196"/>
      <c r="BE18" s="196"/>
      <c r="BF18" s="196"/>
      <c r="BG18" s="196"/>
      <c r="BH18" s="196">
        <v>17</v>
      </c>
      <c r="BI18" s="196" t="s">
        <v>589</v>
      </c>
      <c r="BJ18" s="198"/>
      <c r="BK18" s="194" t="s">
        <v>910</v>
      </c>
      <c r="BL18" s="196" t="s">
        <v>167</v>
      </c>
      <c r="BM18" s="196"/>
      <c r="BN18" s="196"/>
    </row>
    <row r="19" spans="1:66" x14ac:dyDescent="0.25">
      <c r="A19" s="193" t="s">
        <v>664</v>
      </c>
      <c r="B19" s="194" t="s">
        <v>2019</v>
      </c>
      <c r="C19" s="194" t="s">
        <v>2020</v>
      </c>
      <c r="D19" s="194">
        <v>72</v>
      </c>
      <c r="E19" s="194"/>
      <c r="F19" s="194" t="s">
        <v>180</v>
      </c>
      <c r="G19" s="194" t="s">
        <v>2021</v>
      </c>
      <c r="H19" s="194" t="s">
        <v>656</v>
      </c>
      <c r="I19" s="194" t="s">
        <v>164</v>
      </c>
      <c r="J19" s="558">
        <v>18</v>
      </c>
      <c r="K19" s="194" t="s">
        <v>2022</v>
      </c>
      <c r="L19" s="194"/>
      <c r="M19" s="196"/>
      <c r="N19" s="198">
        <v>40620</v>
      </c>
      <c r="O19" s="196" t="s">
        <v>784</v>
      </c>
      <c r="P19" s="196" t="s">
        <v>208</v>
      </c>
      <c r="Q19" s="196">
        <v>99</v>
      </c>
      <c r="R19" s="196"/>
      <c r="S19" s="196" t="s">
        <v>796</v>
      </c>
      <c r="T19" s="196" t="s">
        <v>744</v>
      </c>
      <c r="U19" s="196" t="s">
        <v>746</v>
      </c>
      <c r="V19" s="196" t="s">
        <v>164</v>
      </c>
      <c r="W19" s="199">
        <v>18</v>
      </c>
      <c r="X19" s="196" t="s">
        <v>894</v>
      </c>
      <c r="Y19" s="199">
        <v>0.08</v>
      </c>
      <c r="Z19" s="194">
        <v>7.0000000000000007E-2</v>
      </c>
      <c r="AA19" s="196"/>
      <c r="AB19" s="196"/>
      <c r="AC19" s="196"/>
      <c r="AD19" s="196"/>
      <c r="AE19" s="196"/>
      <c r="AF19" s="54"/>
      <c r="AG19" s="54"/>
      <c r="AH19" s="54" t="s">
        <v>250</v>
      </c>
      <c r="AI19" s="54"/>
      <c r="AJ19" s="54"/>
      <c r="AK19" s="54"/>
      <c r="AL19" s="54"/>
      <c r="AM19" s="54"/>
      <c r="AN19" s="54"/>
      <c r="AO19" s="54"/>
      <c r="AP19" s="54" t="s">
        <v>250</v>
      </c>
      <c r="AQ19" s="54"/>
      <c r="AR19" s="54"/>
      <c r="AS19" s="54"/>
      <c r="AT19" s="54"/>
      <c r="AU19" s="54"/>
      <c r="AV19" s="54"/>
      <c r="AW19" s="196"/>
      <c r="AX19" s="198">
        <v>4010301</v>
      </c>
      <c r="AY19" s="198" t="s">
        <v>1002</v>
      </c>
      <c r="AZ19" s="196" t="s">
        <v>1018</v>
      </c>
      <c r="BA19" s="196"/>
      <c r="BB19" s="196"/>
      <c r="BC19" s="196">
        <v>15</v>
      </c>
      <c r="BD19" s="196"/>
      <c r="BE19" s="196"/>
      <c r="BF19" s="196"/>
      <c r="BG19" s="196"/>
      <c r="BH19" s="196">
        <v>18</v>
      </c>
      <c r="BI19" s="196" t="s">
        <v>589</v>
      </c>
      <c r="BJ19" s="198"/>
      <c r="BK19" s="194" t="s">
        <v>910</v>
      </c>
      <c r="BL19" s="196" t="s">
        <v>167</v>
      </c>
      <c r="BM19" s="196"/>
      <c r="BN19" s="196"/>
    </row>
    <row r="20" spans="1:66" x14ac:dyDescent="0.25">
      <c r="A20" s="193" t="s">
        <v>664</v>
      </c>
      <c r="B20" s="194" t="s">
        <v>2023</v>
      </c>
      <c r="C20" s="194" t="s">
        <v>2024</v>
      </c>
      <c r="D20" s="194">
        <v>111</v>
      </c>
      <c r="E20" s="194"/>
      <c r="F20" s="194" t="s">
        <v>180</v>
      </c>
      <c r="G20" s="194" t="s">
        <v>2021</v>
      </c>
      <c r="H20" s="194" t="s">
        <v>742</v>
      </c>
      <c r="I20" s="194" t="s">
        <v>164</v>
      </c>
      <c r="J20" s="558">
        <v>19</v>
      </c>
      <c r="K20" s="194" t="s">
        <v>2022</v>
      </c>
      <c r="L20" s="194"/>
      <c r="M20" s="196"/>
      <c r="N20" s="198">
        <v>40620</v>
      </c>
      <c r="O20" s="194" t="s">
        <v>1368</v>
      </c>
      <c r="P20" s="194"/>
      <c r="Q20" s="194">
        <v>151</v>
      </c>
      <c r="R20" s="194"/>
      <c r="S20" s="196" t="s">
        <v>796</v>
      </c>
      <c r="T20" s="194" t="s">
        <v>744</v>
      </c>
      <c r="U20" s="194" t="s">
        <v>752</v>
      </c>
      <c r="V20" s="196" t="s">
        <v>164</v>
      </c>
      <c r="W20" s="199">
        <v>19</v>
      </c>
      <c r="X20" s="194" t="s">
        <v>1370</v>
      </c>
      <c r="Y20" s="199">
        <v>0.08</v>
      </c>
      <c r="Z20" s="194">
        <v>7.0000000000000007E-2</v>
      </c>
      <c r="AA20" s="196"/>
      <c r="AB20" s="196"/>
      <c r="AC20" s="196"/>
      <c r="AD20" s="196"/>
      <c r="AE20" s="196"/>
      <c r="AF20" s="54"/>
      <c r="AG20" s="201"/>
      <c r="AH20" s="54" t="s">
        <v>250</v>
      </c>
      <c r="AI20" s="54"/>
      <c r="AJ20" s="54"/>
      <c r="AK20" s="54"/>
      <c r="AL20" s="54"/>
      <c r="AM20" s="54"/>
      <c r="AN20" s="54"/>
      <c r="AO20" s="54"/>
      <c r="AP20" s="54" t="s">
        <v>215</v>
      </c>
      <c r="AQ20" s="54"/>
      <c r="AR20" s="54"/>
      <c r="AS20" s="54"/>
      <c r="AT20" s="54"/>
      <c r="AU20" s="54"/>
      <c r="AV20" s="54"/>
      <c r="AW20" s="196"/>
      <c r="AX20" s="193">
        <v>4051701</v>
      </c>
      <c r="AY20" s="193" t="s">
        <v>1002</v>
      </c>
      <c r="AZ20" s="194" t="s">
        <v>2101</v>
      </c>
      <c r="BA20" s="194"/>
      <c r="BB20" s="194"/>
      <c r="BC20" s="194">
        <v>15</v>
      </c>
      <c r="BD20" s="194"/>
      <c r="BE20" s="194"/>
      <c r="BF20" s="194"/>
      <c r="BG20" s="194"/>
      <c r="BH20" s="194">
        <v>19</v>
      </c>
      <c r="BI20" s="194" t="s">
        <v>167</v>
      </c>
      <c r="BJ20" s="193"/>
      <c r="BK20" s="194" t="s">
        <v>910</v>
      </c>
      <c r="BL20" s="194" t="s">
        <v>167</v>
      </c>
      <c r="BM20" s="196"/>
      <c r="BN20" s="196"/>
    </row>
    <row r="21" spans="1:66" x14ac:dyDescent="0.25">
      <c r="A21" s="198" t="s">
        <v>664</v>
      </c>
      <c r="B21" s="196" t="s">
        <v>2025</v>
      </c>
      <c r="C21" s="558" t="s">
        <v>2026</v>
      </c>
      <c r="D21" s="196">
        <v>80</v>
      </c>
      <c r="E21" s="196"/>
      <c r="F21" s="196" t="s">
        <v>180</v>
      </c>
      <c r="G21" s="196" t="s">
        <v>2027</v>
      </c>
      <c r="H21" s="196" t="s">
        <v>656</v>
      </c>
      <c r="I21" s="196" t="s">
        <v>164</v>
      </c>
      <c r="J21" s="558">
        <v>20</v>
      </c>
      <c r="K21" s="196" t="s">
        <v>2022</v>
      </c>
      <c r="L21" s="196"/>
      <c r="M21" s="196"/>
      <c r="N21" s="198">
        <v>40620</v>
      </c>
      <c r="O21" s="196" t="s">
        <v>785</v>
      </c>
      <c r="P21" s="196"/>
      <c r="Q21" s="196">
        <v>26</v>
      </c>
      <c r="R21" s="196"/>
      <c r="S21" s="196" t="s">
        <v>796</v>
      </c>
      <c r="T21" s="196" t="s">
        <v>750</v>
      </c>
      <c r="U21" s="196" t="s">
        <v>656</v>
      </c>
      <c r="V21" s="196" t="s">
        <v>164</v>
      </c>
      <c r="W21" s="199">
        <v>20</v>
      </c>
      <c r="X21" s="196" t="s">
        <v>905</v>
      </c>
      <c r="Y21" s="199">
        <v>0.08</v>
      </c>
      <c r="Z21" s="194">
        <v>7.0000000000000007E-2</v>
      </c>
      <c r="AA21" s="196"/>
      <c r="AB21" s="196"/>
      <c r="AC21" s="196"/>
      <c r="AD21" s="196"/>
      <c r="AE21" s="196"/>
      <c r="AF21" s="54"/>
      <c r="AG21" s="54"/>
      <c r="AH21" s="54" t="s">
        <v>250</v>
      </c>
      <c r="AI21" s="54"/>
      <c r="AJ21" s="54"/>
      <c r="AK21" s="54"/>
      <c r="AL21" s="54"/>
      <c r="AM21" s="54"/>
      <c r="AN21" s="54"/>
      <c r="AO21" s="54"/>
      <c r="AP21" s="54" t="s">
        <v>215</v>
      </c>
      <c r="AQ21" s="54"/>
      <c r="AR21" s="54"/>
      <c r="AS21" s="54"/>
      <c r="AT21" s="54"/>
      <c r="AU21" s="54"/>
      <c r="AV21" s="54"/>
      <c r="AW21" s="196"/>
      <c r="AX21" s="198">
        <v>4040101</v>
      </c>
      <c r="AY21" s="198" t="s">
        <v>1002</v>
      </c>
      <c r="AZ21" s="194" t="s">
        <v>1028</v>
      </c>
      <c r="BA21" s="196"/>
      <c r="BB21" s="196"/>
      <c r="BC21" s="196"/>
      <c r="BD21" s="196"/>
      <c r="BE21" s="196"/>
      <c r="BF21" s="196"/>
      <c r="BG21" s="196"/>
      <c r="BH21" s="196">
        <v>20</v>
      </c>
      <c r="BI21" s="196" t="s">
        <v>591</v>
      </c>
      <c r="BJ21" s="198"/>
      <c r="BK21" s="194" t="s">
        <v>910</v>
      </c>
      <c r="BL21" s="196" t="s">
        <v>167</v>
      </c>
      <c r="BM21" s="196"/>
      <c r="BN21" s="196"/>
    </row>
    <row r="22" spans="1:66" x14ac:dyDescent="0.25">
      <c r="A22" s="198" t="s">
        <v>664</v>
      </c>
      <c r="B22" s="196" t="s">
        <v>2028</v>
      </c>
      <c r="C22" s="558" t="s">
        <v>2029</v>
      </c>
      <c r="D22" s="196">
        <v>122</v>
      </c>
      <c r="E22" s="196"/>
      <c r="F22" s="196" t="s">
        <v>180</v>
      </c>
      <c r="G22" s="196" t="s">
        <v>2027</v>
      </c>
      <c r="H22" s="196" t="s">
        <v>742</v>
      </c>
      <c r="I22" s="196" t="s">
        <v>164</v>
      </c>
      <c r="J22" s="558">
        <v>21</v>
      </c>
      <c r="K22" s="196" t="s">
        <v>2022</v>
      </c>
      <c r="L22" s="196"/>
      <c r="M22" s="196"/>
      <c r="N22" s="198">
        <v>40620</v>
      </c>
      <c r="O22" s="196" t="s">
        <v>786</v>
      </c>
      <c r="P22" s="196"/>
      <c r="Q22" s="196">
        <v>50</v>
      </c>
      <c r="R22" s="196"/>
      <c r="S22" s="196" t="s">
        <v>796</v>
      </c>
      <c r="T22" s="196" t="s">
        <v>750</v>
      </c>
      <c r="U22" s="196" t="s">
        <v>742</v>
      </c>
      <c r="V22" s="196" t="s">
        <v>164</v>
      </c>
      <c r="W22" s="199">
        <v>21</v>
      </c>
      <c r="X22" s="196" t="s">
        <v>905</v>
      </c>
      <c r="Y22" s="199">
        <v>0.08</v>
      </c>
      <c r="Z22" s="194">
        <v>7.0000000000000007E-2</v>
      </c>
      <c r="AA22" s="196"/>
      <c r="AB22" s="196"/>
      <c r="AC22" s="196"/>
      <c r="AD22" s="196"/>
      <c r="AE22" s="196"/>
      <c r="AF22" s="54"/>
      <c r="AG22" s="54"/>
      <c r="AH22" s="54" t="s">
        <v>215</v>
      </c>
      <c r="AI22" s="54"/>
      <c r="AJ22" s="54"/>
      <c r="AK22" s="54"/>
      <c r="AL22" s="54"/>
      <c r="AM22" s="54"/>
      <c r="AN22" s="54"/>
      <c r="AO22" s="54"/>
      <c r="AP22" s="54" t="s">
        <v>215</v>
      </c>
      <c r="AQ22" s="54"/>
      <c r="AR22" s="54"/>
      <c r="AS22" s="54"/>
      <c r="AT22" s="54"/>
      <c r="AU22" s="54"/>
      <c r="AV22" s="54"/>
      <c r="AW22" s="196"/>
      <c r="AX22" s="198">
        <v>4050700</v>
      </c>
      <c r="AY22" s="54" t="s">
        <v>1019</v>
      </c>
      <c r="AZ22" s="196" t="s">
        <v>804</v>
      </c>
      <c r="BA22" s="196"/>
      <c r="BB22" s="196"/>
      <c r="BC22" s="196">
        <v>15</v>
      </c>
      <c r="BD22" s="196"/>
      <c r="BE22" s="196"/>
      <c r="BF22" s="196"/>
      <c r="BG22" s="196"/>
      <c r="BH22" s="194">
        <v>21</v>
      </c>
      <c r="BI22" s="196" t="s">
        <v>167</v>
      </c>
      <c r="BJ22" s="198"/>
      <c r="BK22" s="194" t="s">
        <v>134</v>
      </c>
      <c r="BL22" s="196" t="s">
        <v>167</v>
      </c>
      <c r="BM22" s="196"/>
      <c r="BN22" s="196"/>
    </row>
    <row r="23" spans="1:66" x14ac:dyDescent="0.25">
      <c r="A23" s="557" t="s">
        <v>664</v>
      </c>
      <c r="B23" s="558" t="s">
        <v>673</v>
      </c>
      <c r="C23" s="558" t="s">
        <v>847</v>
      </c>
      <c r="D23" s="558">
        <v>83</v>
      </c>
      <c r="E23" s="558"/>
      <c r="F23" s="558" t="s">
        <v>180</v>
      </c>
      <c r="G23" s="558" t="s">
        <v>747</v>
      </c>
      <c r="H23" s="558" t="s">
        <v>656</v>
      </c>
      <c r="I23" s="558" t="s">
        <v>164</v>
      </c>
      <c r="J23" s="558">
        <v>22</v>
      </c>
      <c r="K23" s="558" t="s">
        <v>893</v>
      </c>
      <c r="L23" s="558"/>
      <c r="M23" s="196"/>
      <c r="N23" s="118">
        <v>40619</v>
      </c>
      <c r="O23" s="196" t="s">
        <v>787</v>
      </c>
      <c r="P23" s="196" t="s">
        <v>194</v>
      </c>
      <c r="Q23" s="196">
        <v>32</v>
      </c>
      <c r="R23" s="196"/>
      <c r="S23" s="196" t="s">
        <v>797</v>
      </c>
      <c r="T23" s="196" t="s">
        <v>744</v>
      </c>
      <c r="U23" s="196" t="s">
        <v>656</v>
      </c>
      <c r="V23" s="196" t="s">
        <v>164</v>
      </c>
      <c r="W23" s="199">
        <v>22</v>
      </c>
      <c r="X23" s="196" t="s">
        <v>894</v>
      </c>
      <c r="Y23" s="199">
        <v>0.08</v>
      </c>
      <c r="Z23" s="194">
        <v>7.0000000000000007E-2</v>
      </c>
      <c r="AA23" s="196"/>
      <c r="AB23" s="196"/>
      <c r="AC23" s="196"/>
      <c r="AD23" s="196"/>
      <c r="AE23" s="196"/>
      <c r="AF23" s="54"/>
      <c r="AG23" s="54"/>
      <c r="AH23" s="54" t="s">
        <v>215</v>
      </c>
      <c r="AI23" s="54"/>
      <c r="AJ23" s="54"/>
      <c r="AK23" s="54"/>
      <c r="AL23" s="54"/>
      <c r="AM23" s="54"/>
      <c r="AN23" s="54"/>
      <c r="AO23" s="54"/>
      <c r="AP23" s="54" t="s">
        <v>215</v>
      </c>
      <c r="AQ23" s="54"/>
      <c r="AR23" s="54"/>
      <c r="AS23" s="54"/>
      <c r="AT23" s="54"/>
      <c r="AU23" s="54"/>
      <c r="AV23" s="54"/>
      <c r="AW23" s="196"/>
      <c r="AX23" s="198">
        <v>4051000</v>
      </c>
      <c r="AY23" s="54" t="s">
        <v>1019</v>
      </c>
      <c r="AZ23" s="196" t="s">
        <v>842</v>
      </c>
      <c r="BA23" s="196"/>
      <c r="BB23" s="196"/>
      <c r="BC23" s="196">
        <v>15</v>
      </c>
      <c r="BD23" s="196"/>
      <c r="BE23" s="196"/>
      <c r="BF23" s="196"/>
      <c r="BG23" s="196"/>
      <c r="BH23" s="196">
        <v>22</v>
      </c>
      <c r="BI23" s="196" t="s">
        <v>167</v>
      </c>
      <c r="BJ23" s="198"/>
      <c r="BK23" s="194" t="s">
        <v>134</v>
      </c>
      <c r="BL23" s="196" t="s">
        <v>167</v>
      </c>
      <c r="BM23" s="196"/>
      <c r="BN23" s="196"/>
    </row>
    <row r="24" spans="1:66" x14ac:dyDescent="0.25">
      <c r="A24" s="557" t="s">
        <v>664</v>
      </c>
      <c r="B24" s="558" t="s">
        <v>674</v>
      </c>
      <c r="C24" s="558" t="s">
        <v>848</v>
      </c>
      <c r="D24" s="558">
        <v>138</v>
      </c>
      <c r="E24" s="558"/>
      <c r="F24" s="558" t="s">
        <v>180</v>
      </c>
      <c r="G24" s="558" t="s">
        <v>747</v>
      </c>
      <c r="H24" s="558" t="s">
        <v>742</v>
      </c>
      <c r="I24" s="558" t="s">
        <v>164</v>
      </c>
      <c r="J24" s="558">
        <v>23</v>
      </c>
      <c r="K24" s="558" t="s">
        <v>893</v>
      </c>
      <c r="L24" s="558"/>
      <c r="M24" s="196"/>
      <c r="N24" s="118">
        <v>40619</v>
      </c>
      <c r="O24" s="196" t="s">
        <v>788</v>
      </c>
      <c r="P24" s="196" t="s">
        <v>195</v>
      </c>
      <c r="Q24" s="196">
        <v>59</v>
      </c>
      <c r="R24" s="196"/>
      <c r="S24" s="196" t="s">
        <v>797</v>
      </c>
      <c r="T24" s="196" t="s">
        <v>744</v>
      </c>
      <c r="U24" s="196" t="s">
        <v>742</v>
      </c>
      <c r="V24" s="196" t="s">
        <v>164</v>
      </c>
      <c r="W24" s="199">
        <v>23</v>
      </c>
      <c r="X24" s="196" t="s">
        <v>894</v>
      </c>
      <c r="Y24" s="199">
        <v>0.08</v>
      </c>
      <c r="Z24" s="194">
        <v>7.0000000000000007E-2</v>
      </c>
      <c r="AA24" s="196"/>
      <c r="AB24" s="196"/>
      <c r="AC24" s="196"/>
      <c r="AD24" s="196"/>
      <c r="AE24" s="196"/>
      <c r="AF24" s="54"/>
      <c r="AG24" s="54"/>
      <c r="AH24" s="54" t="s">
        <v>215</v>
      </c>
      <c r="AI24" s="54"/>
      <c r="AJ24" s="54"/>
      <c r="AK24" s="54"/>
      <c r="AL24" s="54"/>
      <c r="AM24" s="54"/>
      <c r="AN24" s="54"/>
      <c r="AO24" s="54"/>
      <c r="AP24" s="54" t="s">
        <v>215</v>
      </c>
      <c r="AQ24" s="54"/>
      <c r="AR24" s="54"/>
      <c r="AS24" s="54"/>
      <c r="AT24" s="54"/>
      <c r="AU24" s="54"/>
      <c r="AV24" s="54"/>
      <c r="AW24" s="196"/>
      <c r="AX24" s="198">
        <v>4050100</v>
      </c>
      <c r="AY24" s="54" t="s">
        <v>1019</v>
      </c>
      <c r="AZ24" s="196" t="s">
        <v>1398</v>
      </c>
      <c r="BA24" s="196"/>
      <c r="BB24" s="196"/>
      <c r="BC24" s="196">
        <v>15</v>
      </c>
      <c r="BD24" s="196"/>
      <c r="BE24" s="196"/>
      <c r="BF24" s="196"/>
      <c r="BG24" s="196"/>
      <c r="BH24" s="194">
        <v>23</v>
      </c>
      <c r="BI24" s="196" t="s">
        <v>167</v>
      </c>
      <c r="BJ24" s="198"/>
      <c r="BK24" s="194" t="s">
        <v>134</v>
      </c>
      <c r="BL24" s="196" t="s">
        <v>167</v>
      </c>
      <c r="BM24" s="196"/>
      <c r="BN24" s="196"/>
    </row>
    <row r="25" spans="1:66" x14ac:dyDescent="0.25">
      <c r="A25" s="557" t="s">
        <v>664</v>
      </c>
      <c r="B25" s="558" t="s">
        <v>675</v>
      </c>
      <c r="C25" s="558" t="s">
        <v>849</v>
      </c>
      <c r="D25" s="558">
        <v>221</v>
      </c>
      <c r="E25" s="558"/>
      <c r="F25" s="558" t="s">
        <v>180</v>
      </c>
      <c r="G25" s="558" t="s">
        <v>747</v>
      </c>
      <c r="H25" s="558" t="s">
        <v>745</v>
      </c>
      <c r="I25" s="558" t="s">
        <v>164</v>
      </c>
      <c r="J25" s="558">
        <v>24</v>
      </c>
      <c r="K25" s="558" t="s">
        <v>893</v>
      </c>
      <c r="L25" s="558"/>
      <c r="M25" s="196"/>
      <c r="N25" s="118">
        <v>40619</v>
      </c>
      <c r="O25" s="196" t="s">
        <v>789</v>
      </c>
      <c r="P25" s="196" t="s">
        <v>196</v>
      </c>
      <c r="Q25" s="196">
        <v>88</v>
      </c>
      <c r="R25" s="196"/>
      <c r="S25" s="196" t="s">
        <v>797</v>
      </c>
      <c r="T25" s="196" t="s">
        <v>744</v>
      </c>
      <c r="U25" s="196" t="s">
        <v>745</v>
      </c>
      <c r="V25" s="196" t="s">
        <v>164</v>
      </c>
      <c r="W25" s="199">
        <v>24</v>
      </c>
      <c r="X25" s="196" t="s">
        <v>894</v>
      </c>
      <c r="Y25" s="199">
        <v>0.08</v>
      </c>
      <c r="Z25" s="194">
        <v>7.0000000000000007E-2</v>
      </c>
      <c r="AA25" s="196"/>
      <c r="AB25" s="196"/>
      <c r="AC25" s="196"/>
      <c r="AD25" s="196"/>
      <c r="AE25" s="196"/>
      <c r="AF25" s="54"/>
      <c r="AG25" s="54"/>
      <c r="AH25" s="54" t="s">
        <v>215</v>
      </c>
      <c r="AI25" s="54"/>
      <c r="AJ25" s="54"/>
      <c r="AK25" s="54"/>
      <c r="AL25" s="54"/>
      <c r="AM25" s="54"/>
      <c r="AN25" s="54"/>
      <c r="AO25" s="54"/>
      <c r="AP25" s="54" t="s">
        <v>215</v>
      </c>
      <c r="AQ25" s="54"/>
      <c r="AR25" s="54"/>
      <c r="AS25" s="54"/>
      <c r="AT25" s="54"/>
      <c r="AU25" s="54"/>
      <c r="AV25" s="54"/>
      <c r="AW25" s="196"/>
      <c r="AX25" s="198">
        <v>4050200</v>
      </c>
      <c r="AY25" s="54" t="s">
        <v>1019</v>
      </c>
      <c r="AZ25" s="196" t="s">
        <v>805</v>
      </c>
      <c r="BA25" s="196"/>
      <c r="BB25" s="196"/>
      <c r="BC25" s="196">
        <v>20</v>
      </c>
      <c r="BD25" s="196"/>
      <c r="BE25" s="196"/>
      <c r="BF25" s="196"/>
      <c r="BG25" s="196"/>
      <c r="BH25" s="196">
        <v>24</v>
      </c>
      <c r="BI25" s="196" t="s">
        <v>591</v>
      </c>
      <c r="BJ25" s="198"/>
      <c r="BK25" s="194" t="s">
        <v>134</v>
      </c>
      <c r="BL25" s="196" t="s">
        <v>167</v>
      </c>
      <c r="BM25" s="196"/>
      <c r="BN25" s="196"/>
    </row>
    <row r="26" spans="1:66" x14ac:dyDescent="0.25">
      <c r="A26" s="557" t="s">
        <v>664</v>
      </c>
      <c r="B26" s="558" t="s">
        <v>676</v>
      </c>
      <c r="C26" s="558" t="s">
        <v>850</v>
      </c>
      <c r="D26" s="558">
        <v>276</v>
      </c>
      <c r="E26" s="558"/>
      <c r="F26" s="558" t="s">
        <v>180</v>
      </c>
      <c r="G26" s="558" t="s">
        <v>747</v>
      </c>
      <c r="H26" s="558" t="s">
        <v>746</v>
      </c>
      <c r="I26" s="558" t="s">
        <v>164</v>
      </c>
      <c r="J26" s="558">
        <v>25</v>
      </c>
      <c r="K26" s="558" t="s">
        <v>893</v>
      </c>
      <c r="L26" s="558"/>
      <c r="M26" s="196"/>
      <c r="N26" s="118">
        <v>40619</v>
      </c>
      <c r="O26" s="196" t="s">
        <v>790</v>
      </c>
      <c r="P26" s="196" t="s">
        <v>197</v>
      </c>
      <c r="Q26" s="196">
        <v>114</v>
      </c>
      <c r="R26" s="196"/>
      <c r="S26" s="196" t="s">
        <v>797</v>
      </c>
      <c r="T26" s="196" t="s">
        <v>744</v>
      </c>
      <c r="U26" s="196" t="s">
        <v>746</v>
      </c>
      <c r="V26" s="196" t="s">
        <v>164</v>
      </c>
      <c r="W26" s="199">
        <v>25</v>
      </c>
      <c r="X26" s="196" t="s">
        <v>894</v>
      </c>
      <c r="Y26" s="199">
        <v>0.08</v>
      </c>
      <c r="Z26" s="194">
        <v>7.0000000000000007E-2</v>
      </c>
      <c r="AA26" s="196"/>
      <c r="AB26" s="196"/>
      <c r="AC26" s="196"/>
      <c r="AD26" s="196"/>
      <c r="AE26" s="196"/>
      <c r="AF26" s="54"/>
      <c r="AG26" s="54"/>
      <c r="AH26" s="54" t="s">
        <v>215</v>
      </c>
      <c r="AI26" s="54"/>
      <c r="AJ26" s="54"/>
      <c r="AK26" s="54"/>
      <c r="AL26" s="54"/>
      <c r="AM26" s="54"/>
      <c r="AN26" s="54"/>
      <c r="AO26" s="54"/>
      <c r="AP26" s="54" t="s">
        <v>240</v>
      </c>
      <c r="AQ26" s="54"/>
      <c r="AR26" s="54"/>
      <c r="AS26" s="54"/>
      <c r="AT26" s="54"/>
      <c r="AU26" s="54"/>
      <c r="AV26" s="54"/>
      <c r="AW26" s="196"/>
      <c r="AX26" s="198">
        <v>4052200</v>
      </c>
      <c r="AY26" s="54" t="s">
        <v>1019</v>
      </c>
      <c r="AZ26" s="196" t="s">
        <v>806</v>
      </c>
      <c r="BA26" s="196"/>
      <c r="BB26" s="196"/>
      <c r="BC26" s="196">
        <v>20</v>
      </c>
      <c r="BD26" s="196"/>
      <c r="BE26" s="196"/>
      <c r="BF26" s="196"/>
      <c r="BG26" s="196"/>
      <c r="BH26" s="194">
        <v>25</v>
      </c>
      <c r="BI26" s="196" t="s">
        <v>591</v>
      </c>
      <c r="BJ26" s="198"/>
      <c r="BK26" s="194" t="s">
        <v>134</v>
      </c>
      <c r="BL26" s="196" t="s">
        <v>167</v>
      </c>
      <c r="BM26" s="196"/>
      <c r="BN26" s="196"/>
    </row>
    <row r="27" spans="1:66" x14ac:dyDescent="0.25">
      <c r="A27" s="557" t="s">
        <v>677</v>
      </c>
      <c r="B27" s="558" t="s">
        <v>678</v>
      </c>
      <c r="C27" s="558" t="s">
        <v>851</v>
      </c>
      <c r="D27" s="558">
        <v>125</v>
      </c>
      <c r="E27" s="558"/>
      <c r="F27" s="558" t="s">
        <v>748</v>
      </c>
      <c r="G27" s="558" t="s">
        <v>747</v>
      </c>
      <c r="H27" s="558" t="s">
        <v>656</v>
      </c>
      <c r="I27" s="558" t="s">
        <v>164</v>
      </c>
      <c r="J27" s="558">
        <v>26</v>
      </c>
      <c r="K27" s="558" t="s">
        <v>893</v>
      </c>
      <c r="L27" s="558"/>
      <c r="M27" s="196"/>
      <c r="N27" s="118">
        <v>40619</v>
      </c>
      <c r="O27" s="194" t="s">
        <v>1369</v>
      </c>
      <c r="P27" s="194"/>
      <c r="Q27" s="194">
        <v>175</v>
      </c>
      <c r="R27" s="194"/>
      <c r="S27" s="196" t="s">
        <v>797</v>
      </c>
      <c r="T27" s="194" t="s">
        <v>744</v>
      </c>
      <c r="U27" s="194" t="s">
        <v>752</v>
      </c>
      <c r="V27" s="196" t="s">
        <v>164</v>
      </c>
      <c r="W27" s="199">
        <v>26</v>
      </c>
      <c r="X27" s="196" t="s">
        <v>894</v>
      </c>
      <c r="Y27" s="199">
        <v>0.08</v>
      </c>
      <c r="Z27" s="194">
        <v>7.0000000000000007E-2</v>
      </c>
      <c r="AA27" s="196"/>
      <c r="AB27" s="196"/>
      <c r="AC27" s="196"/>
      <c r="AD27" s="196"/>
      <c r="AE27" s="196"/>
      <c r="AF27" s="54"/>
      <c r="AG27" s="54"/>
      <c r="AH27" s="54" t="s">
        <v>215</v>
      </c>
      <c r="AI27" s="54"/>
      <c r="AJ27" s="54"/>
      <c r="AK27" s="54"/>
      <c r="AL27" s="54"/>
      <c r="AM27" s="54"/>
      <c r="AN27" s="54"/>
      <c r="AO27" s="54"/>
      <c r="AP27" s="54" t="s">
        <v>240</v>
      </c>
      <c r="AQ27" s="54"/>
      <c r="AR27" s="54"/>
      <c r="AS27" s="54"/>
      <c r="AT27" s="54"/>
      <c r="AU27" s="54"/>
      <c r="AV27" s="54"/>
      <c r="AW27" s="196"/>
      <c r="AX27" s="193">
        <v>4050500</v>
      </c>
      <c r="AY27" s="54" t="s">
        <v>1019</v>
      </c>
      <c r="AZ27" s="194" t="s">
        <v>1417</v>
      </c>
      <c r="BA27" s="194"/>
      <c r="BB27" s="194"/>
      <c r="BC27" s="194">
        <v>15</v>
      </c>
      <c r="BD27" s="194"/>
      <c r="BE27" s="194"/>
      <c r="BF27" s="194"/>
      <c r="BG27" s="194"/>
      <c r="BH27" s="196">
        <v>26</v>
      </c>
      <c r="BI27" s="196" t="s">
        <v>591</v>
      </c>
      <c r="BJ27" s="193"/>
      <c r="BK27" s="194" t="s">
        <v>134</v>
      </c>
      <c r="BL27" s="196" t="s">
        <v>167</v>
      </c>
      <c r="BM27" s="196"/>
      <c r="BN27" s="196"/>
    </row>
    <row r="28" spans="1:66" x14ac:dyDescent="0.25">
      <c r="A28" s="557" t="s">
        <v>677</v>
      </c>
      <c r="B28" s="558" t="s">
        <v>679</v>
      </c>
      <c r="C28" s="558" t="s">
        <v>852</v>
      </c>
      <c r="D28" s="558">
        <v>227</v>
      </c>
      <c r="E28" s="558"/>
      <c r="F28" s="558" t="s">
        <v>748</v>
      </c>
      <c r="G28" s="558" t="s">
        <v>747</v>
      </c>
      <c r="H28" s="558" t="s">
        <v>742</v>
      </c>
      <c r="I28" s="558" t="s">
        <v>164</v>
      </c>
      <c r="J28" s="558">
        <v>27</v>
      </c>
      <c r="K28" s="558" t="s">
        <v>893</v>
      </c>
      <c r="L28" s="558"/>
      <c r="M28" s="196"/>
      <c r="N28" s="118">
        <v>40619</v>
      </c>
      <c r="O28" s="196" t="s">
        <v>791</v>
      </c>
      <c r="P28" s="196"/>
      <c r="Q28" s="196">
        <v>28</v>
      </c>
      <c r="R28" s="196"/>
      <c r="S28" s="196" t="s">
        <v>797</v>
      </c>
      <c r="T28" s="196" t="s">
        <v>750</v>
      </c>
      <c r="U28" s="196" t="s">
        <v>656</v>
      </c>
      <c r="V28" s="196" t="s">
        <v>164</v>
      </c>
      <c r="W28" s="199">
        <v>27</v>
      </c>
      <c r="X28" s="196" t="s">
        <v>894</v>
      </c>
      <c r="Y28" s="199">
        <v>0.08</v>
      </c>
      <c r="Z28" s="194">
        <v>7.0000000000000007E-2</v>
      </c>
      <c r="AA28" s="196"/>
      <c r="AB28" s="196"/>
      <c r="AC28" s="196"/>
      <c r="AD28" s="196"/>
      <c r="AE28" s="196"/>
      <c r="AF28" s="54"/>
      <c r="AG28" s="54"/>
      <c r="AH28" s="54" t="s">
        <v>215</v>
      </c>
      <c r="AI28" s="54"/>
      <c r="AJ28" s="54"/>
      <c r="AK28" s="54"/>
      <c r="AL28" s="54"/>
      <c r="AM28" s="54"/>
      <c r="AN28" s="54"/>
      <c r="AO28" s="54"/>
      <c r="AP28" s="54" t="s">
        <v>240</v>
      </c>
      <c r="AQ28" s="54"/>
      <c r="AR28" s="54"/>
      <c r="AS28" s="54"/>
      <c r="AT28" s="54"/>
      <c r="AU28" s="54"/>
      <c r="AV28" s="54"/>
      <c r="AW28" s="196"/>
      <c r="AX28" s="198">
        <v>4051800</v>
      </c>
      <c r="AY28" s="54" t="s">
        <v>1019</v>
      </c>
      <c r="AZ28" s="196" t="s">
        <v>843</v>
      </c>
      <c r="BA28" s="196"/>
      <c r="BB28" s="196"/>
      <c r="BC28" s="196">
        <v>15</v>
      </c>
      <c r="BD28" s="196"/>
      <c r="BE28" s="196"/>
      <c r="BF28" s="196"/>
      <c r="BG28" s="196"/>
      <c r="BH28" s="194">
        <v>27</v>
      </c>
      <c r="BI28" s="196" t="s">
        <v>167</v>
      </c>
      <c r="BJ28" s="198"/>
      <c r="BK28" s="194" t="s">
        <v>134</v>
      </c>
      <c r="BL28" s="196" t="s">
        <v>167</v>
      </c>
      <c r="BM28" s="196"/>
      <c r="BN28" s="196"/>
    </row>
    <row r="29" spans="1:66" x14ac:dyDescent="0.25">
      <c r="A29" s="557" t="s">
        <v>677</v>
      </c>
      <c r="B29" s="558" t="s">
        <v>680</v>
      </c>
      <c r="C29" s="558" t="s">
        <v>2030</v>
      </c>
      <c r="D29" s="558">
        <v>352</v>
      </c>
      <c r="E29" s="558"/>
      <c r="F29" s="558" t="s">
        <v>748</v>
      </c>
      <c r="G29" s="558" t="s">
        <v>747</v>
      </c>
      <c r="H29" s="558" t="s">
        <v>745</v>
      </c>
      <c r="I29" s="558" t="s">
        <v>164</v>
      </c>
      <c r="J29" s="558">
        <v>28</v>
      </c>
      <c r="K29" s="558" t="s">
        <v>893</v>
      </c>
      <c r="L29" s="558"/>
      <c r="M29" s="196"/>
      <c r="N29" s="118">
        <v>40619</v>
      </c>
      <c r="O29" s="196" t="s">
        <v>792</v>
      </c>
      <c r="P29" s="196"/>
      <c r="Q29" s="196">
        <v>56</v>
      </c>
      <c r="R29" s="196"/>
      <c r="S29" s="196" t="s">
        <v>797</v>
      </c>
      <c r="T29" s="196" t="s">
        <v>750</v>
      </c>
      <c r="U29" s="196" t="s">
        <v>742</v>
      </c>
      <c r="V29" s="196" t="s">
        <v>164</v>
      </c>
      <c r="W29" s="199">
        <v>28</v>
      </c>
      <c r="X29" s="196" t="s">
        <v>894</v>
      </c>
      <c r="Y29" s="199">
        <v>0.08</v>
      </c>
      <c r="Z29" s="194">
        <v>7.0000000000000007E-2</v>
      </c>
      <c r="AA29" s="196"/>
      <c r="AB29" s="196"/>
      <c r="AC29" s="196"/>
      <c r="AD29" s="196"/>
      <c r="AE29" s="196"/>
      <c r="AF29" s="54"/>
      <c r="AG29" s="54"/>
      <c r="AH29" s="54" t="s">
        <v>215</v>
      </c>
      <c r="AI29" s="54"/>
      <c r="AJ29" s="54"/>
      <c r="AK29" s="54"/>
      <c r="AL29" s="54"/>
      <c r="AM29" s="54"/>
      <c r="AN29" s="54"/>
      <c r="AO29" s="54"/>
      <c r="AP29" s="54" t="s">
        <v>240</v>
      </c>
      <c r="AQ29" s="54"/>
      <c r="AR29" s="54"/>
      <c r="AS29" s="54"/>
      <c r="AT29" s="54"/>
      <c r="AU29" s="54"/>
      <c r="AV29" s="54"/>
      <c r="AW29" s="196"/>
      <c r="AX29" s="198">
        <v>4050400</v>
      </c>
      <c r="AY29" s="54" t="s">
        <v>1019</v>
      </c>
      <c r="AZ29" s="196" t="s">
        <v>1396</v>
      </c>
      <c r="BA29" s="196"/>
      <c r="BB29" s="196"/>
      <c r="BC29" s="196">
        <v>15</v>
      </c>
      <c r="BD29" s="196"/>
      <c r="BE29" s="196"/>
      <c r="BF29" s="196"/>
      <c r="BG29" s="196"/>
      <c r="BH29" s="196">
        <v>28</v>
      </c>
      <c r="BI29" s="196" t="s">
        <v>591</v>
      </c>
      <c r="BJ29" s="198"/>
      <c r="BK29" s="194" t="s">
        <v>134</v>
      </c>
      <c r="BL29" s="196" t="s">
        <v>167</v>
      </c>
      <c r="BM29" s="196"/>
      <c r="BN29" s="196"/>
    </row>
    <row r="30" spans="1:66" x14ac:dyDescent="0.25">
      <c r="A30" s="557" t="s">
        <v>677</v>
      </c>
      <c r="B30" s="558" t="s">
        <v>681</v>
      </c>
      <c r="C30" s="558" t="s">
        <v>2031</v>
      </c>
      <c r="D30" s="558">
        <v>454</v>
      </c>
      <c r="E30" s="558"/>
      <c r="F30" s="558" t="s">
        <v>748</v>
      </c>
      <c r="G30" s="558" t="s">
        <v>747</v>
      </c>
      <c r="H30" s="558" t="s">
        <v>746</v>
      </c>
      <c r="I30" s="558" t="s">
        <v>164</v>
      </c>
      <c r="J30" s="558">
        <v>29</v>
      </c>
      <c r="K30" s="558" t="s">
        <v>893</v>
      </c>
      <c r="L30" s="558"/>
      <c r="M30" s="196"/>
      <c r="N30" s="198"/>
      <c r="O30" s="194" t="s">
        <v>1402</v>
      </c>
      <c r="P30" s="196"/>
      <c r="Q30" s="196" t="s">
        <v>845</v>
      </c>
      <c r="R30" s="196"/>
      <c r="S30" s="196"/>
      <c r="T30" s="196"/>
      <c r="U30" s="196"/>
      <c r="V30" s="196"/>
      <c r="W30" s="199">
        <v>29</v>
      </c>
      <c r="X30" s="196"/>
      <c r="Y30" s="199"/>
      <c r="Z30" s="194"/>
      <c r="AA30" s="196"/>
      <c r="AB30" s="196"/>
      <c r="AC30" s="196"/>
      <c r="AD30" s="196"/>
      <c r="AE30" s="196"/>
      <c r="AF30" s="54"/>
      <c r="AG30" s="54"/>
      <c r="AH30" s="54" t="s">
        <v>215</v>
      </c>
      <c r="AI30" s="54"/>
      <c r="AJ30" s="54"/>
      <c r="AK30" s="54"/>
      <c r="AL30" s="54"/>
      <c r="AM30" s="54"/>
      <c r="AN30" s="54"/>
      <c r="AO30" s="54"/>
      <c r="AP30" s="54"/>
      <c r="AQ30" s="54"/>
      <c r="AR30" s="54"/>
      <c r="AS30" s="54"/>
      <c r="AT30" s="54"/>
      <c r="AU30" s="54"/>
      <c r="AV30" s="54"/>
      <c r="AW30" s="196"/>
      <c r="AX30" s="198">
        <v>4052110</v>
      </c>
      <c r="AY30" s="54" t="s">
        <v>1019</v>
      </c>
      <c r="AZ30" s="196" t="s">
        <v>841</v>
      </c>
      <c r="BA30" s="196"/>
      <c r="BB30" s="196"/>
      <c r="BC30" s="196">
        <v>15</v>
      </c>
      <c r="BD30" s="196"/>
      <c r="BE30" s="196"/>
      <c r="BF30" s="196"/>
      <c r="BG30" s="196"/>
      <c r="BH30" s="194">
        <v>29</v>
      </c>
      <c r="BI30" s="196" t="s">
        <v>591</v>
      </c>
      <c r="BJ30" s="198"/>
      <c r="BK30" s="194" t="s">
        <v>134</v>
      </c>
      <c r="BL30" s="196" t="s">
        <v>167</v>
      </c>
      <c r="BM30" s="196"/>
      <c r="BN30" s="196"/>
    </row>
    <row r="31" spans="1:66" x14ac:dyDescent="0.25">
      <c r="A31" s="557" t="s">
        <v>682</v>
      </c>
      <c r="B31" s="558" t="s">
        <v>683</v>
      </c>
      <c r="C31" s="558" t="s">
        <v>853</v>
      </c>
      <c r="D31" s="558">
        <v>200</v>
      </c>
      <c r="E31" s="558"/>
      <c r="F31" s="558" t="s">
        <v>749</v>
      </c>
      <c r="G31" s="558" t="s">
        <v>747</v>
      </c>
      <c r="H31" s="558" t="s">
        <v>656</v>
      </c>
      <c r="I31" s="558" t="s">
        <v>164</v>
      </c>
      <c r="J31" s="558">
        <v>30</v>
      </c>
      <c r="K31" s="558" t="s">
        <v>893</v>
      </c>
      <c r="L31" s="558"/>
      <c r="M31" s="196"/>
      <c r="N31" s="118">
        <v>40622</v>
      </c>
      <c r="O31" s="196" t="s">
        <v>989</v>
      </c>
      <c r="P31" s="196"/>
      <c r="Q31" s="196">
        <v>32</v>
      </c>
      <c r="R31" s="196"/>
      <c r="S31" s="196" t="s">
        <v>165</v>
      </c>
      <c r="T31" s="196" t="s">
        <v>744</v>
      </c>
      <c r="U31" s="196" t="s">
        <v>656</v>
      </c>
      <c r="V31" s="196" t="s">
        <v>164</v>
      </c>
      <c r="W31" s="199">
        <v>30</v>
      </c>
      <c r="X31" s="196" t="s">
        <v>894</v>
      </c>
      <c r="Y31" s="199">
        <v>0.08</v>
      </c>
      <c r="Z31" s="194">
        <v>7.0000000000000007E-2</v>
      </c>
      <c r="AA31" s="196"/>
      <c r="AB31" s="196"/>
      <c r="AC31" s="196"/>
      <c r="AD31" s="196"/>
      <c r="AE31" s="196"/>
      <c r="AF31" s="54"/>
      <c r="AG31" s="54"/>
      <c r="AH31" s="54" t="s">
        <v>240</v>
      </c>
      <c r="AI31" s="54"/>
      <c r="AJ31" s="54"/>
      <c r="AK31" s="54"/>
      <c r="AL31" s="54"/>
      <c r="AM31" s="54"/>
      <c r="AN31" s="54"/>
      <c r="AO31" s="54"/>
      <c r="AP31" s="54"/>
      <c r="AQ31" s="54"/>
      <c r="AR31" s="54"/>
      <c r="AS31" s="54"/>
      <c r="AT31" s="54"/>
      <c r="AU31" s="54"/>
      <c r="AV31" s="54"/>
      <c r="AW31" s="196"/>
      <c r="AX31" s="198">
        <v>4052120</v>
      </c>
      <c r="AY31" s="54" t="s">
        <v>1019</v>
      </c>
      <c r="AZ31" s="196" t="s">
        <v>825</v>
      </c>
      <c r="BA31" s="196"/>
      <c r="BB31" s="196"/>
      <c r="BC31" s="196">
        <v>10</v>
      </c>
      <c r="BD31" s="196"/>
      <c r="BE31" s="196"/>
      <c r="BF31" s="196"/>
      <c r="BG31" s="196"/>
      <c r="BH31" s="196">
        <v>30</v>
      </c>
      <c r="BI31" s="196" t="s">
        <v>167</v>
      </c>
      <c r="BJ31" s="198"/>
      <c r="BK31" s="194" t="s">
        <v>134</v>
      </c>
      <c r="BL31" s="196" t="s">
        <v>167</v>
      </c>
      <c r="BM31" s="196"/>
      <c r="BN31" s="196"/>
    </row>
    <row r="32" spans="1:66" x14ac:dyDescent="0.25">
      <c r="A32" s="557" t="s">
        <v>682</v>
      </c>
      <c r="B32" s="558" t="s">
        <v>684</v>
      </c>
      <c r="C32" s="558" t="s">
        <v>854</v>
      </c>
      <c r="D32" s="558">
        <v>390</v>
      </c>
      <c r="E32" s="558"/>
      <c r="F32" s="558" t="s">
        <v>749</v>
      </c>
      <c r="G32" s="558" t="s">
        <v>747</v>
      </c>
      <c r="H32" s="558" t="s">
        <v>742</v>
      </c>
      <c r="I32" s="558" t="s">
        <v>164</v>
      </c>
      <c r="J32" s="558">
        <v>31</v>
      </c>
      <c r="K32" s="558" t="s">
        <v>893</v>
      </c>
      <c r="L32" s="558"/>
      <c r="M32" s="196"/>
      <c r="N32" s="118">
        <v>40622</v>
      </c>
      <c r="O32" s="196" t="s">
        <v>990</v>
      </c>
      <c r="P32" s="196"/>
      <c r="Q32" s="196">
        <v>64</v>
      </c>
      <c r="R32" s="196"/>
      <c r="S32" s="196" t="s">
        <v>165</v>
      </c>
      <c r="T32" s="196" t="s">
        <v>744</v>
      </c>
      <c r="U32" s="196" t="s">
        <v>742</v>
      </c>
      <c r="V32" s="196" t="s">
        <v>164</v>
      </c>
      <c r="W32" s="199">
        <v>31</v>
      </c>
      <c r="X32" s="196" t="s">
        <v>894</v>
      </c>
      <c r="Y32" s="199">
        <v>0.08</v>
      </c>
      <c r="Z32" s="194">
        <v>7.0000000000000007E-2</v>
      </c>
      <c r="AA32" s="196"/>
      <c r="AB32" s="196"/>
      <c r="AC32" s="196"/>
      <c r="AD32" s="196"/>
      <c r="AE32" s="196"/>
      <c r="AF32" s="54"/>
      <c r="AG32" s="54"/>
      <c r="AH32" s="54" t="s">
        <v>240</v>
      </c>
      <c r="AI32" s="54"/>
      <c r="AJ32" s="54"/>
      <c r="AK32" s="54"/>
      <c r="AL32" s="54"/>
      <c r="AM32" s="54"/>
      <c r="AN32" s="54"/>
      <c r="AO32" s="54"/>
      <c r="AP32" s="54"/>
      <c r="AQ32" s="54"/>
      <c r="AR32" s="54"/>
      <c r="AS32" s="54"/>
      <c r="AT32" s="54"/>
      <c r="AU32" s="54"/>
      <c r="AV32" s="54"/>
      <c r="AW32" s="196"/>
      <c r="AX32" s="198">
        <v>4052000</v>
      </c>
      <c r="AY32" s="54" t="s">
        <v>1019</v>
      </c>
      <c r="AZ32" s="196" t="s">
        <v>801</v>
      </c>
      <c r="BA32" s="196"/>
      <c r="BB32" s="196"/>
      <c r="BC32" s="196">
        <v>15</v>
      </c>
      <c r="BD32" s="196"/>
      <c r="BE32" s="196"/>
      <c r="BF32" s="196"/>
      <c r="BG32" s="196"/>
      <c r="BH32" s="194">
        <v>31</v>
      </c>
      <c r="BI32" s="196" t="s">
        <v>167</v>
      </c>
      <c r="BJ32" s="198"/>
      <c r="BK32" s="194" t="s">
        <v>134</v>
      </c>
      <c r="BL32" s="196" t="s">
        <v>167</v>
      </c>
      <c r="BM32" s="196"/>
      <c r="BN32" s="196"/>
    </row>
    <row r="33" spans="1:66" x14ac:dyDescent="0.25">
      <c r="A33" s="557" t="s">
        <v>682</v>
      </c>
      <c r="B33" s="558" t="s">
        <v>685</v>
      </c>
      <c r="C33" s="558" t="s">
        <v>855</v>
      </c>
      <c r="D33" s="558">
        <v>590</v>
      </c>
      <c r="E33" s="558"/>
      <c r="F33" s="558" t="s">
        <v>749</v>
      </c>
      <c r="G33" s="558" t="s">
        <v>747</v>
      </c>
      <c r="H33" s="558" t="s">
        <v>745</v>
      </c>
      <c r="I33" s="558" t="s">
        <v>164</v>
      </c>
      <c r="J33" s="558">
        <v>32</v>
      </c>
      <c r="K33" s="558" t="s">
        <v>893</v>
      </c>
      <c r="L33" s="558"/>
      <c r="M33" s="196"/>
      <c r="N33" s="118">
        <v>40622</v>
      </c>
      <c r="O33" s="196" t="s">
        <v>991</v>
      </c>
      <c r="P33" s="196"/>
      <c r="Q33" s="196">
        <v>128</v>
      </c>
      <c r="R33" s="196"/>
      <c r="S33" s="196" t="s">
        <v>165</v>
      </c>
      <c r="T33" s="196" t="s">
        <v>744</v>
      </c>
      <c r="U33" s="196" t="s">
        <v>746</v>
      </c>
      <c r="V33" s="196" t="s">
        <v>164</v>
      </c>
      <c r="W33" s="199">
        <v>32</v>
      </c>
      <c r="X33" s="196" t="s">
        <v>894</v>
      </c>
      <c r="Y33" s="199">
        <v>0.08</v>
      </c>
      <c r="Z33" s="194">
        <v>7.0000000000000007E-2</v>
      </c>
      <c r="AA33" s="196"/>
      <c r="AB33" s="196"/>
      <c r="AC33" s="196"/>
      <c r="AD33" s="196"/>
      <c r="AE33" s="196"/>
      <c r="AF33" s="54"/>
      <c r="AG33" s="54"/>
      <c r="AH33" s="54" t="s">
        <v>240</v>
      </c>
      <c r="AI33" s="54"/>
      <c r="AJ33" s="54"/>
      <c r="AK33" s="54"/>
      <c r="AL33" s="54"/>
      <c r="AM33" s="54"/>
      <c r="AN33" s="54"/>
      <c r="AO33" s="54"/>
      <c r="AP33" s="54"/>
      <c r="AQ33" s="54"/>
      <c r="AR33" s="54"/>
      <c r="AS33" s="54"/>
      <c r="AT33" s="54"/>
      <c r="AU33" s="54"/>
      <c r="AV33" s="54"/>
      <c r="AW33" s="196"/>
      <c r="AX33" s="198">
        <v>4050600</v>
      </c>
      <c r="AY33" s="54" t="s">
        <v>1019</v>
      </c>
      <c r="AZ33" s="196" t="s">
        <v>807</v>
      </c>
      <c r="BA33" s="196"/>
      <c r="BB33" s="196"/>
      <c r="BC33" s="196">
        <v>15</v>
      </c>
      <c r="BD33" s="196"/>
      <c r="BE33" s="196"/>
      <c r="BF33" s="196"/>
      <c r="BG33" s="196"/>
      <c r="BH33" s="196">
        <v>32</v>
      </c>
      <c r="BI33" s="196" t="s">
        <v>591</v>
      </c>
      <c r="BJ33" s="198"/>
      <c r="BK33" s="194" t="s">
        <v>134</v>
      </c>
      <c r="BL33" s="196" t="s">
        <v>167</v>
      </c>
      <c r="BM33" s="196"/>
      <c r="BN33" s="196"/>
    </row>
    <row r="34" spans="1:66" x14ac:dyDescent="0.25">
      <c r="A34" s="557" t="s">
        <v>682</v>
      </c>
      <c r="B34" s="558" t="s">
        <v>657</v>
      </c>
      <c r="C34" s="558" t="s">
        <v>2032</v>
      </c>
      <c r="D34" s="558">
        <v>780</v>
      </c>
      <c r="E34" s="558"/>
      <c r="F34" s="558" t="s">
        <v>749</v>
      </c>
      <c r="G34" s="558" t="s">
        <v>747</v>
      </c>
      <c r="H34" s="558" t="s">
        <v>746</v>
      </c>
      <c r="I34" s="558" t="s">
        <v>164</v>
      </c>
      <c r="J34" s="558">
        <v>33</v>
      </c>
      <c r="K34" s="558" t="s">
        <v>893</v>
      </c>
      <c r="L34" s="558"/>
      <c r="M34" s="196"/>
      <c r="N34" s="118">
        <v>40622</v>
      </c>
      <c r="O34" s="196" t="s">
        <v>992</v>
      </c>
      <c r="P34" s="196"/>
      <c r="Q34" s="196">
        <v>192</v>
      </c>
      <c r="R34" s="196"/>
      <c r="S34" s="196" t="s">
        <v>165</v>
      </c>
      <c r="T34" s="196" t="s">
        <v>744</v>
      </c>
      <c r="U34" s="196" t="s">
        <v>752</v>
      </c>
      <c r="V34" s="196" t="s">
        <v>164</v>
      </c>
      <c r="W34" s="199">
        <v>33</v>
      </c>
      <c r="X34" s="196" t="s">
        <v>894</v>
      </c>
      <c r="Y34" s="199">
        <v>0.08</v>
      </c>
      <c r="Z34" s="194">
        <v>7.0000000000000007E-2</v>
      </c>
      <c r="AA34" s="196"/>
      <c r="AB34" s="196"/>
      <c r="AC34" s="196"/>
      <c r="AD34" s="196"/>
      <c r="AE34" s="196"/>
      <c r="AF34" s="54"/>
      <c r="AG34" s="54"/>
      <c r="AH34" s="54" t="s">
        <v>240</v>
      </c>
      <c r="AI34" s="54"/>
      <c r="AJ34" s="54"/>
      <c r="AK34" s="54"/>
      <c r="AL34" s="54"/>
      <c r="AM34" s="54"/>
      <c r="AN34" s="54"/>
      <c r="AO34" s="54"/>
      <c r="AP34" s="54"/>
      <c r="AQ34" s="54"/>
      <c r="AR34" s="54"/>
      <c r="AS34" s="54"/>
      <c r="AT34" s="54"/>
      <c r="AU34" s="54"/>
      <c r="AV34" s="54"/>
      <c r="AW34" s="196"/>
      <c r="AX34" s="198">
        <v>4050900</v>
      </c>
      <c r="AY34" s="54" t="s">
        <v>1019</v>
      </c>
      <c r="AZ34" s="196" t="s">
        <v>802</v>
      </c>
      <c r="BA34" s="196"/>
      <c r="BB34" s="196"/>
      <c r="BC34" s="196">
        <v>15</v>
      </c>
      <c r="BD34" s="196"/>
      <c r="BE34" s="196"/>
      <c r="BF34" s="196"/>
      <c r="BG34" s="196"/>
      <c r="BH34" s="194">
        <v>33</v>
      </c>
      <c r="BI34" s="196" t="s">
        <v>167</v>
      </c>
      <c r="BJ34" s="198"/>
      <c r="BK34" s="194" t="s">
        <v>134</v>
      </c>
      <c r="BL34" s="196" t="s">
        <v>167</v>
      </c>
      <c r="BM34" s="196"/>
    </row>
    <row r="35" spans="1:66" x14ac:dyDescent="0.25">
      <c r="A35" s="557" t="s">
        <v>664</v>
      </c>
      <c r="B35" s="558" t="s">
        <v>192</v>
      </c>
      <c r="C35" s="558" t="s">
        <v>856</v>
      </c>
      <c r="D35" s="558">
        <v>48</v>
      </c>
      <c r="E35" s="558"/>
      <c r="F35" s="558" t="s">
        <v>180</v>
      </c>
      <c r="G35" s="558" t="s">
        <v>744</v>
      </c>
      <c r="H35" s="558" t="s">
        <v>656</v>
      </c>
      <c r="I35" s="558" t="s">
        <v>164</v>
      </c>
      <c r="J35" s="558">
        <v>34</v>
      </c>
      <c r="K35" s="558" t="s">
        <v>893</v>
      </c>
      <c r="L35" s="558"/>
      <c r="M35" s="196"/>
      <c r="N35" s="118">
        <v>40623</v>
      </c>
      <c r="O35" s="200" t="s">
        <v>895</v>
      </c>
      <c r="P35" s="200" t="s">
        <v>209</v>
      </c>
      <c r="Q35" s="200">
        <v>62</v>
      </c>
      <c r="R35" s="200"/>
      <c r="S35" s="200" t="s">
        <v>901</v>
      </c>
      <c r="T35" s="200" t="s">
        <v>744</v>
      </c>
      <c r="U35" s="196" t="s">
        <v>656</v>
      </c>
      <c r="V35" s="196" t="s">
        <v>164</v>
      </c>
      <c r="W35" s="199">
        <v>34</v>
      </c>
      <c r="X35" s="196" t="s">
        <v>894</v>
      </c>
      <c r="Y35" s="199">
        <v>0.08</v>
      </c>
      <c r="Z35" s="194">
        <v>7.0000000000000007E-2</v>
      </c>
      <c r="AA35" s="196"/>
      <c r="AB35" s="196"/>
      <c r="AC35" s="196"/>
      <c r="AD35" s="196"/>
      <c r="AE35" s="196"/>
      <c r="AF35" s="54"/>
      <c r="AG35" s="54"/>
      <c r="AH35" s="54" t="s">
        <v>240</v>
      </c>
      <c r="AI35" s="54"/>
      <c r="AJ35" s="54"/>
      <c r="AK35" s="54"/>
      <c r="AL35" s="54"/>
      <c r="AM35" s="54"/>
      <c r="AN35" s="54"/>
      <c r="AO35" s="54"/>
      <c r="AP35" s="54"/>
      <c r="AQ35" s="54"/>
      <c r="AR35" s="54"/>
      <c r="AS35" s="54"/>
      <c r="AT35" s="54"/>
      <c r="AU35" s="54"/>
      <c r="AV35" s="54"/>
      <c r="AW35" s="196"/>
      <c r="AX35" s="198">
        <v>4052300</v>
      </c>
      <c r="AY35" s="54" t="s">
        <v>1019</v>
      </c>
      <c r="AZ35" s="196" t="s">
        <v>803</v>
      </c>
      <c r="BA35" s="196"/>
      <c r="BB35" s="196"/>
      <c r="BC35" s="196">
        <v>15</v>
      </c>
      <c r="BD35" s="196"/>
      <c r="BE35" s="196"/>
      <c r="BF35" s="196"/>
      <c r="BG35" s="196"/>
      <c r="BH35" s="196">
        <v>34</v>
      </c>
      <c r="BI35" s="196" t="s">
        <v>167</v>
      </c>
      <c r="BJ35" s="198"/>
      <c r="BK35" s="194" t="s">
        <v>134</v>
      </c>
      <c r="BL35" s="196" t="s">
        <v>167</v>
      </c>
      <c r="BM35" s="196"/>
      <c r="BN35" s="196"/>
    </row>
    <row r="36" spans="1:66" x14ac:dyDescent="0.25">
      <c r="A36" s="557" t="s">
        <v>664</v>
      </c>
      <c r="B36" s="558" t="s">
        <v>193</v>
      </c>
      <c r="C36" s="558" t="s">
        <v>857</v>
      </c>
      <c r="D36" s="558">
        <v>72</v>
      </c>
      <c r="E36" s="558"/>
      <c r="F36" s="558" t="s">
        <v>180</v>
      </c>
      <c r="G36" s="558" t="s">
        <v>744</v>
      </c>
      <c r="H36" s="558" t="s">
        <v>742</v>
      </c>
      <c r="I36" s="558" t="s">
        <v>164</v>
      </c>
      <c r="J36" s="558">
        <v>35</v>
      </c>
      <c r="K36" s="558" t="s">
        <v>893</v>
      </c>
      <c r="L36" s="558"/>
      <c r="M36" s="196"/>
      <c r="N36" s="118">
        <v>40623</v>
      </c>
      <c r="O36" s="200" t="s">
        <v>896</v>
      </c>
      <c r="P36" s="200" t="s">
        <v>210</v>
      </c>
      <c r="Q36" s="200">
        <v>117</v>
      </c>
      <c r="R36" s="200"/>
      <c r="S36" s="200" t="s">
        <v>901</v>
      </c>
      <c r="T36" s="200" t="s">
        <v>744</v>
      </c>
      <c r="U36" s="196" t="s">
        <v>742</v>
      </c>
      <c r="V36" s="196" t="s">
        <v>164</v>
      </c>
      <c r="W36" s="199">
        <v>35</v>
      </c>
      <c r="X36" s="196" t="s">
        <v>894</v>
      </c>
      <c r="Y36" s="199">
        <v>0.08</v>
      </c>
      <c r="Z36" s="194">
        <v>7.0000000000000007E-2</v>
      </c>
      <c r="AA36" s="196"/>
      <c r="AB36" s="196"/>
      <c r="AC36" s="196"/>
      <c r="AD36" s="196"/>
      <c r="AE36" s="196"/>
      <c r="AF36" s="54"/>
      <c r="AG36" s="54"/>
      <c r="AH36" s="54" t="s">
        <v>240</v>
      </c>
      <c r="AI36" s="54"/>
      <c r="AJ36" s="54"/>
      <c r="AK36" s="54"/>
      <c r="AL36" s="54"/>
      <c r="AM36" s="54"/>
      <c r="AN36" s="54"/>
      <c r="AO36" s="54"/>
      <c r="AP36" s="54"/>
      <c r="AQ36" s="54"/>
      <c r="AR36" s="54"/>
      <c r="AS36" s="54"/>
      <c r="AT36" s="54"/>
      <c r="AU36" s="54"/>
      <c r="AV36" s="54"/>
      <c r="AW36" s="196"/>
      <c r="AX36" s="198">
        <v>4050800</v>
      </c>
      <c r="AY36" s="54" t="s">
        <v>1019</v>
      </c>
      <c r="AZ36" s="196" t="s">
        <v>828</v>
      </c>
      <c r="BA36" s="196"/>
      <c r="BB36" s="196"/>
      <c r="BC36" s="196">
        <v>15</v>
      </c>
      <c r="BD36" s="196"/>
      <c r="BE36" s="196"/>
      <c r="BF36" s="196"/>
      <c r="BG36" s="196"/>
      <c r="BH36" s="194">
        <v>35</v>
      </c>
      <c r="BI36" s="196" t="s">
        <v>167</v>
      </c>
      <c r="BJ36" s="198"/>
      <c r="BK36" s="194" t="s">
        <v>134</v>
      </c>
      <c r="BL36" s="196" t="s">
        <v>167</v>
      </c>
      <c r="BM36" s="196"/>
      <c r="BN36" s="196"/>
    </row>
    <row r="37" spans="1:66" x14ac:dyDescent="0.25">
      <c r="A37" s="557" t="s">
        <v>664</v>
      </c>
      <c r="B37" s="558" t="s">
        <v>2033</v>
      </c>
      <c r="C37" s="558" t="s">
        <v>2034</v>
      </c>
      <c r="D37" s="558">
        <v>115</v>
      </c>
      <c r="E37" s="558"/>
      <c r="F37" s="558" t="s">
        <v>180</v>
      </c>
      <c r="G37" s="558" t="s">
        <v>744</v>
      </c>
      <c r="H37" s="558" t="s">
        <v>745</v>
      </c>
      <c r="I37" s="558" t="s">
        <v>164</v>
      </c>
      <c r="J37" s="558">
        <v>36</v>
      </c>
      <c r="K37" s="558" t="s">
        <v>894</v>
      </c>
      <c r="L37" s="558"/>
      <c r="M37" s="196"/>
      <c r="N37" s="118">
        <v>40623</v>
      </c>
      <c r="O37" s="200" t="s">
        <v>897</v>
      </c>
      <c r="P37" s="200" t="s">
        <v>211</v>
      </c>
      <c r="Q37" s="200">
        <v>240</v>
      </c>
      <c r="R37" s="200"/>
      <c r="S37" s="200" t="s">
        <v>901</v>
      </c>
      <c r="T37" s="200" t="s">
        <v>744</v>
      </c>
      <c r="U37" s="196" t="s">
        <v>746</v>
      </c>
      <c r="V37" s="196" t="s">
        <v>164</v>
      </c>
      <c r="W37" s="199">
        <v>36</v>
      </c>
      <c r="X37" s="196" t="s">
        <v>894</v>
      </c>
      <c r="Y37" s="199">
        <v>0.08</v>
      </c>
      <c r="Z37" s="194">
        <v>7.0000000000000007E-2</v>
      </c>
      <c r="AA37" s="196"/>
      <c r="AB37" s="196"/>
      <c r="AC37" s="196"/>
      <c r="AD37" s="196"/>
      <c r="AE37" s="196"/>
      <c r="AF37" s="54"/>
      <c r="AG37" s="54"/>
      <c r="AH37" s="54" t="s">
        <v>240</v>
      </c>
      <c r="AI37" s="54"/>
      <c r="AJ37" s="54"/>
      <c r="AK37" s="54"/>
      <c r="AL37" s="54"/>
      <c r="AM37" s="54"/>
      <c r="AN37" s="54"/>
      <c r="AO37" s="54"/>
      <c r="AP37" s="54"/>
      <c r="AQ37" s="54"/>
      <c r="AR37" s="54"/>
      <c r="AS37" s="54"/>
      <c r="AT37" s="54"/>
      <c r="AU37" s="54"/>
      <c r="AV37" s="54"/>
      <c r="AW37" s="196"/>
      <c r="AX37" s="198">
        <v>4010100</v>
      </c>
      <c r="AY37" s="54" t="s">
        <v>1019</v>
      </c>
      <c r="AZ37" s="196" t="s">
        <v>831</v>
      </c>
      <c r="BA37" s="196"/>
      <c r="BB37" s="196"/>
      <c r="BC37" s="196">
        <v>20</v>
      </c>
      <c r="BD37" s="196"/>
      <c r="BE37" s="196"/>
      <c r="BF37" s="196"/>
      <c r="BG37" s="196"/>
      <c r="BH37" s="196">
        <v>36</v>
      </c>
      <c r="BI37" s="196" t="s">
        <v>589</v>
      </c>
      <c r="BJ37" s="198"/>
      <c r="BK37" s="194" t="s">
        <v>134</v>
      </c>
      <c r="BL37" s="196" t="s">
        <v>167</v>
      </c>
      <c r="BM37" s="196"/>
      <c r="BN37" s="196"/>
    </row>
    <row r="38" spans="1:66" x14ac:dyDescent="0.25">
      <c r="A38" s="557"/>
      <c r="B38" s="558" t="s">
        <v>1402</v>
      </c>
      <c r="C38" s="558"/>
      <c r="D38" s="558" t="s">
        <v>845</v>
      </c>
      <c r="E38" s="558"/>
      <c r="F38" s="558"/>
      <c r="G38" s="558"/>
      <c r="H38" s="558"/>
      <c r="I38" s="558"/>
      <c r="J38" s="558">
        <v>37</v>
      </c>
      <c r="K38" s="558"/>
      <c r="L38" s="558"/>
      <c r="M38" s="196"/>
      <c r="N38" s="118">
        <v>40623</v>
      </c>
      <c r="O38" s="200" t="s">
        <v>898</v>
      </c>
      <c r="P38" s="200" t="s">
        <v>212</v>
      </c>
      <c r="Q38" s="200">
        <v>360</v>
      </c>
      <c r="R38" s="200"/>
      <c r="S38" s="200" t="s">
        <v>901</v>
      </c>
      <c r="T38" s="200" t="s">
        <v>744</v>
      </c>
      <c r="U38" s="196" t="s">
        <v>752</v>
      </c>
      <c r="V38" s="196" t="s">
        <v>164</v>
      </c>
      <c r="W38" s="199">
        <v>37</v>
      </c>
      <c r="X38" s="196" t="s">
        <v>894</v>
      </c>
      <c r="Y38" s="199">
        <v>0.08</v>
      </c>
      <c r="Z38" s="194">
        <v>7.0000000000000007E-2</v>
      </c>
      <c r="AA38" s="196"/>
      <c r="AB38" s="196"/>
      <c r="AC38" s="196"/>
      <c r="AD38" s="196"/>
      <c r="AE38" s="196"/>
      <c r="AF38" s="54"/>
      <c r="AG38" s="54"/>
      <c r="AH38" s="54" t="s">
        <v>240</v>
      </c>
      <c r="AI38" s="54"/>
      <c r="AJ38" s="54"/>
      <c r="AK38" s="54"/>
      <c r="AL38" s="54"/>
      <c r="AM38" s="54"/>
      <c r="AN38" s="54"/>
      <c r="AO38" s="54"/>
      <c r="AP38" s="54"/>
      <c r="AQ38" s="54"/>
      <c r="AR38" s="54"/>
      <c r="AS38" s="54"/>
      <c r="AT38" s="54"/>
      <c r="AU38" s="54"/>
      <c r="AV38" s="54"/>
      <c r="AW38" s="196"/>
      <c r="AX38" s="198">
        <v>4010200</v>
      </c>
      <c r="AY38" s="54" t="s">
        <v>1019</v>
      </c>
      <c r="AZ38" s="196" t="s">
        <v>808</v>
      </c>
      <c r="BA38" s="196"/>
      <c r="BB38" s="196"/>
      <c r="BC38" s="196">
        <v>10</v>
      </c>
      <c r="BD38" s="196"/>
      <c r="BE38" s="196"/>
      <c r="BF38" s="196"/>
      <c r="BG38" s="196"/>
      <c r="BH38" s="194">
        <v>37</v>
      </c>
      <c r="BI38" s="196" t="s">
        <v>589</v>
      </c>
      <c r="BJ38" s="198"/>
      <c r="BK38" s="194" t="s">
        <v>134</v>
      </c>
      <c r="BL38" s="196" t="s">
        <v>167</v>
      </c>
      <c r="BM38" s="196"/>
      <c r="BN38" s="196"/>
    </row>
    <row r="39" spans="1:66" x14ac:dyDescent="0.25">
      <c r="A39" s="557" t="s">
        <v>686</v>
      </c>
      <c r="B39" s="558" t="s">
        <v>687</v>
      </c>
      <c r="C39" s="558" t="s">
        <v>858</v>
      </c>
      <c r="D39" s="558">
        <v>16</v>
      </c>
      <c r="E39" s="558"/>
      <c r="F39" s="558" t="s">
        <v>166</v>
      </c>
      <c r="G39" s="558" t="s">
        <v>653</v>
      </c>
      <c r="H39" s="558" t="s">
        <v>656</v>
      </c>
      <c r="I39" s="558" t="s">
        <v>164</v>
      </c>
      <c r="J39" s="558">
        <v>38</v>
      </c>
      <c r="K39" s="558" t="s">
        <v>894</v>
      </c>
      <c r="L39" s="558"/>
      <c r="M39" s="196"/>
      <c r="N39" s="118">
        <v>40623</v>
      </c>
      <c r="O39" s="200" t="s">
        <v>899</v>
      </c>
      <c r="P39" s="200" t="s">
        <v>213</v>
      </c>
      <c r="Q39" s="200">
        <v>468</v>
      </c>
      <c r="R39" s="200"/>
      <c r="S39" s="200" t="s">
        <v>901</v>
      </c>
      <c r="T39" s="200" t="s">
        <v>744</v>
      </c>
      <c r="U39" s="196" t="s">
        <v>753</v>
      </c>
      <c r="V39" s="196" t="s">
        <v>164</v>
      </c>
      <c r="W39" s="199">
        <v>38</v>
      </c>
      <c r="X39" s="196" t="s">
        <v>894</v>
      </c>
      <c r="Y39" s="199">
        <v>0.08</v>
      </c>
      <c r="Z39" s="194">
        <v>7.0000000000000007E-2</v>
      </c>
      <c r="AA39" s="196"/>
      <c r="AB39" s="196"/>
      <c r="AC39" s="196"/>
      <c r="AD39" s="196"/>
      <c r="AE39" s="196"/>
      <c r="AF39" s="54"/>
      <c r="AG39" s="54"/>
      <c r="AH39" s="54" t="s">
        <v>240</v>
      </c>
      <c r="AI39" s="54"/>
      <c r="AJ39" s="54"/>
      <c r="AK39" s="54"/>
      <c r="AL39" s="54"/>
      <c r="AM39" s="54"/>
      <c r="AN39" s="54"/>
      <c r="AO39" s="54"/>
      <c r="AP39" s="54"/>
      <c r="AQ39" s="54"/>
      <c r="AR39" s="54"/>
      <c r="AS39" s="54"/>
      <c r="AT39" s="54"/>
      <c r="AU39" s="54"/>
      <c r="AV39" s="54"/>
      <c r="AW39" s="196"/>
      <c r="AX39" s="198">
        <v>4010300</v>
      </c>
      <c r="AY39" s="54" t="s">
        <v>1019</v>
      </c>
      <c r="AZ39" s="196" t="s">
        <v>809</v>
      </c>
      <c r="BA39" s="196"/>
      <c r="BB39" s="196"/>
      <c r="BC39" s="196">
        <v>15</v>
      </c>
      <c r="BD39" s="196"/>
      <c r="BE39" s="196"/>
      <c r="BF39" s="196"/>
      <c r="BG39" s="196"/>
      <c r="BH39" s="196">
        <v>38</v>
      </c>
      <c r="BI39" s="196" t="s">
        <v>589</v>
      </c>
      <c r="BJ39" s="198"/>
      <c r="BK39" s="194" t="s">
        <v>134</v>
      </c>
      <c r="BL39" s="196" t="s">
        <v>167</v>
      </c>
      <c r="BM39" s="196"/>
    </row>
    <row r="40" spans="1:66" x14ac:dyDescent="0.25">
      <c r="A40" s="557" t="s">
        <v>686</v>
      </c>
      <c r="B40" s="558" t="s">
        <v>688</v>
      </c>
      <c r="C40" s="558" t="s">
        <v>859</v>
      </c>
      <c r="D40" s="558">
        <v>32</v>
      </c>
      <c r="E40" s="558"/>
      <c r="F40" s="558" t="s">
        <v>166</v>
      </c>
      <c r="G40" s="558" t="s">
        <v>653</v>
      </c>
      <c r="H40" s="558" t="s">
        <v>742</v>
      </c>
      <c r="I40" s="558" t="s">
        <v>164</v>
      </c>
      <c r="J40" s="558">
        <v>39</v>
      </c>
      <c r="K40" s="558" t="s">
        <v>894</v>
      </c>
      <c r="L40" s="558"/>
      <c r="M40" s="196"/>
      <c r="N40" s="118">
        <v>40623</v>
      </c>
      <c r="O40" s="200" t="s">
        <v>900</v>
      </c>
      <c r="P40" s="200" t="s">
        <v>214</v>
      </c>
      <c r="Q40" s="200">
        <v>577</v>
      </c>
      <c r="R40" s="200"/>
      <c r="S40" s="200" t="s">
        <v>901</v>
      </c>
      <c r="T40" s="200" t="s">
        <v>744</v>
      </c>
      <c r="U40" s="196" t="s">
        <v>754</v>
      </c>
      <c r="V40" s="196" t="s">
        <v>164</v>
      </c>
      <c r="W40" s="199">
        <v>39</v>
      </c>
      <c r="X40" s="196" t="s">
        <v>906</v>
      </c>
      <c r="Y40" s="199">
        <v>0.08</v>
      </c>
      <c r="Z40" s="194">
        <v>7.0000000000000007E-2</v>
      </c>
      <c r="AA40" s="196"/>
      <c r="AB40" s="196"/>
      <c r="AC40" s="196"/>
      <c r="AD40" s="196"/>
      <c r="AE40" s="196"/>
      <c r="AF40" s="54"/>
      <c r="AG40" s="54"/>
      <c r="AH40" s="54" t="s">
        <v>240</v>
      </c>
      <c r="AI40" s="54"/>
      <c r="AJ40" s="54"/>
      <c r="AK40" s="54"/>
      <c r="AL40" s="54"/>
      <c r="AM40" s="54"/>
      <c r="AN40" s="54"/>
      <c r="AO40" s="54"/>
      <c r="AP40" s="54"/>
      <c r="AQ40" s="54"/>
      <c r="AR40" s="54"/>
      <c r="AS40" s="54"/>
      <c r="AT40" s="54"/>
      <c r="AU40" s="54"/>
      <c r="AV40" s="54"/>
      <c r="AW40" s="196"/>
      <c r="AX40" s="193">
        <v>4051700</v>
      </c>
      <c r="AY40" s="561" t="s">
        <v>1019</v>
      </c>
      <c r="AZ40" s="194" t="s">
        <v>2102</v>
      </c>
      <c r="BA40" s="194"/>
      <c r="BB40" s="194"/>
      <c r="BC40" s="194">
        <v>15</v>
      </c>
      <c r="BD40" s="194"/>
      <c r="BE40" s="194"/>
      <c r="BF40" s="194"/>
      <c r="BG40" s="194"/>
      <c r="BH40" s="194">
        <v>39</v>
      </c>
      <c r="BI40" s="194" t="s">
        <v>167</v>
      </c>
      <c r="BJ40" s="193"/>
      <c r="BK40" s="194" t="s">
        <v>134</v>
      </c>
      <c r="BL40" s="194" t="s">
        <v>167</v>
      </c>
      <c r="BM40" s="196"/>
      <c r="BN40" s="196"/>
    </row>
    <row r="41" spans="1:66" x14ac:dyDescent="0.25">
      <c r="A41" s="557" t="s">
        <v>686</v>
      </c>
      <c r="B41" s="558" t="s">
        <v>2035</v>
      </c>
      <c r="C41" s="558" t="s">
        <v>2036</v>
      </c>
      <c r="D41" s="558">
        <v>48</v>
      </c>
      <c r="E41" s="558"/>
      <c r="F41" s="558" t="s">
        <v>166</v>
      </c>
      <c r="G41" s="558" t="s">
        <v>653</v>
      </c>
      <c r="H41" s="558" t="s">
        <v>745</v>
      </c>
      <c r="I41" s="558" t="s">
        <v>164</v>
      </c>
      <c r="J41" s="558">
        <v>40</v>
      </c>
      <c r="K41" s="558" t="s">
        <v>894</v>
      </c>
      <c r="L41" s="558"/>
      <c r="M41" s="196"/>
      <c r="N41" s="198"/>
      <c r="O41" s="194" t="s">
        <v>1402</v>
      </c>
      <c r="P41" s="200"/>
      <c r="Q41" s="200" t="s">
        <v>845</v>
      </c>
      <c r="R41" s="200"/>
      <c r="S41" s="200"/>
      <c r="T41" s="200"/>
      <c r="U41" s="196"/>
      <c r="V41" s="196"/>
      <c r="W41" s="199">
        <v>40</v>
      </c>
      <c r="X41" s="196"/>
      <c r="Y41" s="199"/>
      <c r="Z41" s="194"/>
      <c r="AA41" s="196"/>
      <c r="AB41" s="196"/>
      <c r="AC41" s="196"/>
      <c r="AD41" s="196"/>
      <c r="AE41" s="196"/>
      <c r="AF41" s="54"/>
      <c r="AG41" s="54"/>
      <c r="AH41" s="54" t="s">
        <v>240</v>
      </c>
      <c r="AI41" s="54"/>
      <c r="AJ41" s="54"/>
      <c r="AK41" s="54"/>
      <c r="AL41" s="54"/>
      <c r="AM41" s="54"/>
      <c r="AN41" s="54"/>
      <c r="AO41" s="54"/>
      <c r="AP41" s="54"/>
      <c r="AQ41" s="54"/>
      <c r="AR41" s="54"/>
      <c r="AS41" s="54"/>
      <c r="AT41" s="54"/>
      <c r="AU41" s="54"/>
      <c r="AV41" s="54"/>
      <c r="AW41" s="196"/>
      <c r="AX41" s="198">
        <v>4040100</v>
      </c>
      <c r="AY41" s="54" t="s">
        <v>1019</v>
      </c>
      <c r="AZ41" s="194" t="s">
        <v>1027</v>
      </c>
      <c r="BA41" s="196"/>
      <c r="BB41" s="196"/>
      <c r="BC41" s="196"/>
      <c r="BD41" s="196"/>
      <c r="BE41" s="196"/>
      <c r="BF41" s="196"/>
      <c r="BG41" s="196"/>
      <c r="BH41" s="196">
        <v>40</v>
      </c>
      <c r="BI41" s="196" t="s">
        <v>591</v>
      </c>
      <c r="BJ41" s="198"/>
      <c r="BK41" s="194" t="s">
        <v>134</v>
      </c>
      <c r="BL41" s="196" t="s">
        <v>167</v>
      </c>
      <c r="BM41" s="196"/>
    </row>
    <row r="42" spans="1:66" x14ac:dyDescent="0.25">
      <c r="A42" s="557" t="s">
        <v>686</v>
      </c>
      <c r="B42" s="558" t="s">
        <v>2037</v>
      </c>
      <c r="C42" s="558" t="s">
        <v>2038</v>
      </c>
      <c r="D42" s="558">
        <v>64</v>
      </c>
      <c r="E42" s="558"/>
      <c r="F42" s="558" t="s">
        <v>166</v>
      </c>
      <c r="G42" s="558" t="s">
        <v>653</v>
      </c>
      <c r="H42" s="558" t="s">
        <v>746</v>
      </c>
      <c r="I42" s="558" t="s">
        <v>164</v>
      </c>
      <c r="J42" s="558">
        <v>41</v>
      </c>
      <c r="K42" s="558" t="s">
        <v>894</v>
      </c>
      <c r="L42" s="558"/>
      <c r="M42" s="196"/>
      <c r="N42" s="118">
        <v>40625</v>
      </c>
      <c r="O42" s="200" t="s">
        <v>999</v>
      </c>
      <c r="P42" s="200"/>
      <c r="Q42" s="196" t="str">
        <f>""</f>
        <v/>
      </c>
      <c r="R42" s="200"/>
      <c r="S42" s="200" t="s">
        <v>1001</v>
      </c>
      <c r="T42" s="200"/>
      <c r="U42" s="196"/>
      <c r="V42" s="196" t="s">
        <v>164</v>
      </c>
      <c r="W42" s="199">
        <v>41</v>
      </c>
      <c r="X42" s="196"/>
      <c r="Y42" s="199">
        <v>0.08</v>
      </c>
      <c r="Z42" s="194">
        <v>7.0000000000000007E-2</v>
      </c>
      <c r="AA42" s="196"/>
      <c r="AB42" s="196"/>
      <c r="AC42" s="196"/>
      <c r="AD42" s="196"/>
      <c r="AE42" s="196"/>
      <c r="AF42" s="54"/>
      <c r="AG42" s="54"/>
      <c r="AH42" s="54" t="s">
        <v>240</v>
      </c>
      <c r="AI42" s="54"/>
      <c r="AJ42" s="54"/>
      <c r="AK42" s="54"/>
      <c r="AL42" s="54"/>
      <c r="AM42" s="54"/>
      <c r="AN42" s="54"/>
      <c r="AO42" s="54"/>
      <c r="AP42" s="54"/>
      <c r="AQ42" s="54"/>
      <c r="AR42" s="54"/>
      <c r="AS42" s="54"/>
      <c r="AT42" s="54"/>
      <c r="AU42" s="54"/>
      <c r="AV42" s="54"/>
      <c r="AW42" s="196"/>
      <c r="AX42" s="198" t="s">
        <v>141</v>
      </c>
      <c r="AY42" s="198" t="s">
        <v>1004</v>
      </c>
      <c r="AZ42" s="196" t="s">
        <v>832</v>
      </c>
      <c r="BA42" s="196" t="s">
        <v>833</v>
      </c>
      <c r="BB42" s="194" t="s">
        <v>1021</v>
      </c>
      <c r="BC42" s="196" t="s">
        <v>152</v>
      </c>
      <c r="BD42" s="196" t="s">
        <v>144</v>
      </c>
      <c r="BE42" s="196" t="s">
        <v>654</v>
      </c>
      <c r="BF42" s="196" t="s">
        <v>655</v>
      </c>
      <c r="BG42" s="196" t="s">
        <v>800</v>
      </c>
      <c r="BH42" s="196" t="s">
        <v>659</v>
      </c>
      <c r="BI42" s="196" t="s">
        <v>799</v>
      </c>
      <c r="BJ42" s="196" t="s">
        <v>636</v>
      </c>
      <c r="BK42" s="194" t="s">
        <v>1074</v>
      </c>
      <c r="BL42" s="196" t="s">
        <v>798</v>
      </c>
      <c r="BM42" s="196"/>
    </row>
    <row r="43" spans="1:66" x14ac:dyDescent="0.25">
      <c r="A43" s="557" t="s">
        <v>686</v>
      </c>
      <c r="B43" s="558" t="s">
        <v>689</v>
      </c>
      <c r="C43" s="558" t="s">
        <v>2039</v>
      </c>
      <c r="D43" s="558">
        <v>23</v>
      </c>
      <c r="E43" s="558"/>
      <c r="F43" s="558" t="s">
        <v>166</v>
      </c>
      <c r="G43" s="558" t="s">
        <v>743</v>
      </c>
      <c r="H43" s="558" t="s">
        <v>656</v>
      </c>
      <c r="I43" s="558" t="s">
        <v>164</v>
      </c>
      <c r="J43" s="558">
        <v>42</v>
      </c>
      <c r="K43" s="558" t="s">
        <v>894</v>
      </c>
      <c r="L43" s="558"/>
      <c r="M43" s="196"/>
      <c r="N43" s="118">
        <v>40624</v>
      </c>
      <c r="O43" s="215" t="s">
        <v>1081</v>
      </c>
      <c r="P43" s="215"/>
      <c r="Q43" s="196" t="str">
        <f>""</f>
        <v/>
      </c>
      <c r="R43" s="215"/>
      <c r="S43" s="215" t="s">
        <v>1081</v>
      </c>
      <c r="T43" s="215"/>
      <c r="U43" s="194"/>
      <c r="V43" s="196" t="s">
        <v>164</v>
      </c>
      <c r="W43" s="199">
        <v>42</v>
      </c>
      <c r="X43" s="194"/>
      <c r="Y43" s="199">
        <v>0</v>
      </c>
      <c r="Z43" s="194"/>
      <c r="AA43" s="196"/>
      <c r="AB43" s="196"/>
      <c r="AC43" s="196"/>
      <c r="AD43" s="196"/>
      <c r="AE43" s="196"/>
      <c r="AF43" s="54"/>
      <c r="AG43" s="54"/>
      <c r="AH43" s="54" t="s">
        <v>240</v>
      </c>
      <c r="AI43" s="54"/>
      <c r="AJ43" s="54"/>
      <c r="AK43" s="54"/>
      <c r="AL43" s="54"/>
      <c r="AM43" s="54"/>
      <c r="AN43" s="54"/>
      <c r="AO43" s="54"/>
      <c r="AP43" s="54"/>
      <c r="AQ43" s="54"/>
      <c r="AR43" s="54"/>
      <c r="AS43" s="54"/>
      <c r="AT43" s="54"/>
      <c r="AU43" s="54"/>
      <c r="AV43" s="54"/>
      <c r="AW43" s="196"/>
      <c r="AX43" s="198"/>
      <c r="AY43" s="198"/>
      <c r="AZ43" s="196" t="s">
        <v>638</v>
      </c>
      <c r="BA43" s="196"/>
      <c r="BB43" s="196"/>
      <c r="BC43" s="196">
        <v>15</v>
      </c>
      <c r="BD43" s="196"/>
      <c r="BE43" s="196"/>
      <c r="BF43" s="196"/>
      <c r="BG43" s="196"/>
      <c r="BH43" s="196">
        <v>1</v>
      </c>
      <c r="BI43" s="196" t="s">
        <v>161</v>
      </c>
      <c r="BJ43" s="196"/>
      <c r="BK43" s="194" t="s">
        <v>910</v>
      </c>
      <c r="BL43" s="196" t="s">
        <v>161</v>
      </c>
      <c r="BM43" s="196"/>
      <c r="BN43" s="196"/>
    </row>
    <row r="44" spans="1:66" x14ac:dyDescent="0.25">
      <c r="A44" s="557" t="s">
        <v>686</v>
      </c>
      <c r="B44" s="558" t="s">
        <v>690</v>
      </c>
      <c r="C44" s="558" t="s">
        <v>2040</v>
      </c>
      <c r="D44" s="558">
        <v>46</v>
      </c>
      <c r="E44" s="558"/>
      <c r="F44" s="558" t="s">
        <v>166</v>
      </c>
      <c r="G44" s="558" t="s">
        <v>743</v>
      </c>
      <c r="H44" s="558" t="s">
        <v>742</v>
      </c>
      <c r="I44" s="558" t="s">
        <v>164</v>
      </c>
      <c r="J44" s="558">
        <v>43</v>
      </c>
      <c r="K44" s="558" t="s">
        <v>894</v>
      </c>
      <c r="L44" s="558"/>
      <c r="M44" s="196"/>
      <c r="N44" s="118">
        <v>40626</v>
      </c>
      <c r="O44" s="196" t="s">
        <v>993</v>
      </c>
      <c r="P44" s="196"/>
      <c r="Q44" s="196" t="str">
        <f>""</f>
        <v/>
      </c>
      <c r="R44" s="196"/>
      <c r="S44" s="194" t="s">
        <v>1082</v>
      </c>
      <c r="T44" s="196" t="s">
        <v>170</v>
      </c>
      <c r="U44" s="196"/>
      <c r="V44" s="196" t="s">
        <v>164</v>
      </c>
      <c r="W44" s="199">
        <v>43</v>
      </c>
      <c r="X44" s="196"/>
      <c r="Y44" s="199">
        <v>0.08</v>
      </c>
      <c r="Z44" s="194">
        <v>7.0000000000000007E-2</v>
      </c>
      <c r="AA44" s="196"/>
      <c r="AB44" s="196"/>
      <c r="AC44" s="196"/>
      <c r="AD44" s="196"/>
      <c r="AE44" s="196"/>
      <c r="AF44" s="54"/>
      <c r="AG44" s="54"/>
      <c r="AH44" s="54"/>
      <c r="AI44" s="54"/>
      <c r="AJ44" s="54"/>
      <c r="AK44" s="54"/>
      <c r="AL44" s="54"/>
      <c r="AM44" s="54"/>
      <c r="AN44" s="54"/>
      <c r="AO44" s="54"/>
      <c r="AP44" s="54"/>
      <c r="AQ44" s="54"/>
      <c r="AR44" s="54"/>
      <c r="AS44" s="54"/>
      <c r="AT44" s="54"/>
      <c r="AU44" s="54"/>
      <c r="AV44" s="54"/>
      <c r="AW44" s="196"/>
      <c r="AX44" s="198"/>
      <c r="AY44" s="198"/>
      <c r="AZ44" s="196" t="s">
        <v>639</v>
      </c>
      <c r="BA44" s="196"/>
      <c r="BB44" s="196"/>
      <c r="BC44" s="196">
        <v>15</v>
      </c>
      <c r="BD44" s="196"/>
      <c r="BE44" s="196"/>
      <c r="BF44" s="196"/>
      <c r="BG44" s="196"/>
      <c r="BH44" s="196">
        <v>2</v>
      </c>
      <c r="BI44" s="196" t="s">
        <v>592</v>
      </c>
      <c r="BJ44" s="196"/>
      <c r="BK44" s="194" t="s">
        <v>910</v>
      </c>
      <c r="BL44" s="196" t="s">
        <v>161</v>
      </c>
      <c r="BM44" s="196"/>
      <c r="BN44" s="196"/>
    </row>
    <row r="45" spans="1:66" x14ac:dyDescent="0.25">
      <c r="A45" s="557" t="s">
        <v>686</v>
      </c>
      <c r="B45" s="558" t="s">
        <v>2041</v>
      </c>
      <c r="C45" s="558" t="s">
        <v>2042</v>
      </c>
      <c r="D45" s="558">
        <v>69</v>
      </c>
      <c r="E45" s="558"/>
      <c r="F45" s="558" t="s">
        <v>166</v>
      </c>
      <c r="G45" s="558" t="s">
        <v>743</v>
      </c>
      <c r="H45" s="558" t="s">
        <v>745</v>
      </c>
      <c r="I45" s="558" t="s">
        <v>164</v>
      </c>
      <c r="J45" s="558">
        <v>44</v>
      </c>
      <c r="K45" s="558" t="s">
        <v>894</v>
      </c>
      <c r="L45" s="558"/>
      <c r="M45" s="196"/>
      <c r="N45" s="198"/>
      <c r="O45" s="194"/>
      <c r="P45" s="200"/>
      <c r="Q45" s="200"/>
      <c r="R45" s="200"/>
      <c r="S45" s="200"/>
      <c r="T45" s="200"/>
      <c r="U45" s="196"/>
      <c r="V45" s="196"/>
      <c r="W45" s="196"/>
      <c r="X45" s="196"/>
      <c r="Y45" s="194"/>
      <c r="Z45" s="194"/>
      <c r="AA45" s="196"/>
      <c r="AB45" s="196"/>
      <c r="AC45" s="196"/>
      <c r="AD45" s="196"/>
      <c r="AE45" s="196"/>
      <c r="AF45" s="54"/>
      <c r="AG45" s="54"/>
      <c r="AH45" s="54"/>
      <c r="AI45" s="54"/>
      <c r="AJ45" s="54"/>
      <c r="AK45" s="54"/>
      <c r="AL45" s="54"/>
      <c r="AM45" s="54"/>
      <c r="AN45" s="54"/>
      <c r="AO45" s="54"/>
      <c r="AP45" s="54"/>
      <c r="AQ45" s="54"/>
      <c r="AR45" s="54"/>
      <c r="AS45" s="54"/>
      <c r="AT45" s="54"/>
      <c r="AU45" s="54"/>
      <c r="AV45" s="54"/>
      <c r="AW45" s="196"/>
      <c r="AX45" s="198"/>
      <c r="AY45" s="198"/>
      <c r="AZ45" s="196" t="s">
        <v>640</v>
      </c>
      <c r="BA45" s="196"/>
      <c r="BB45" s="196"/>
      <c r="BC45" s="196">
        <v>15</v>
      </c>
      <c r="BD45" s="196"/>
      <c r="BE45" s="196"/>
      <c r="BF45" s="196"/>
      <c r="BG45" s="196"/>
      <c r="BH45" s="196">
        <v>3</v>
      </c>
      <c r="BI45" s="196" t="s">
        <v>594</v>
      </c>
      <c r="BJ45" s="196"/>
      <c r="BK45" s="194" t="s">
        <v>910</v>
      </c>
      <c r="BL45" s="196" t="s">
        <v>161</v>
      </c>
      <c r="BM45" s="196"/>
      <c r="BN45" s="196"/>
    </row>
    <row r="46" spans="1:66" x14ac:dyDescent="0.25">
      <c r="A46" s="557" t="s">
        <v>686</v>
      </c>
      <c r="B46" s="558" t="s">
        <v>2043</v>
      </c>
      <c r="C46" s="558" t="s">
        <v>2044</v>
      </c>
      <c r="D46" s="558">
        <v>92</v>
      </c>
      <c r="E46" s="558"/>
      <c r="F46" s="558" t="s">
        <v>166</v>
      </c>
      <c r="G46" s="558" t="s">
        <v>743</v>
      </c>
      <c r="H46" s="558" t="s">
        <v>746</v>
      </c>
      <c r="I46" s="558" t="s">
        <v>164</v>
      </c>
      <c r="J46" s="558">
        <v>45</v>
      </c>
      <c r="K46" s="558" t="s">
        <v>894</v>
      </c>
      <c r="L46" s="558"/>
      <c r="M46" s="196"/>
      <c r="N46" s="63"/>
      <c r="O46" s="200"/>
      <c r="P46" s="200"/>
      <c r="Q46" s="196"/>
      <c r="R46" s="200"/>
      <c r="S46" s="200"/>
      <c r="T46" s="200"/>
      <c r="U46" s="196"/>
      <c r="V46" s="196"/>
      <c r="W46" s="196"/>
      <c r="X46" s="196"/>
      <c r="Y46" s="199"/>
      <c r="Z46" s="194"/>
      <c r="AA46" s="196"/>
      <c r="AB46" s="196"/>
      <c r="AC46" s="196"/>
      <c r="AD46" s="196"/>
      <c r="AE46" s="196"/>
      <c r="AF46" s="54"/>
      <c r="AG46" s="54"/>
      <c r="AH46" s="54"/>
      <c r="AI46" s="54"/>
      <c r="AJ46" s="54"/>
      <c r="AK46" s="54"/>
      <c r="AL46" s="54"/>
      <c r="AM46" s="54"/>
      <c r="AN46" s="54"/>
      <c r="AO46" s="54"/>
      <c r="AP46" s="54"/>
      <c r="AQ46" s="54"/>
      <c r="AR46" s="54"/>
      <c r="AS46" s="54"/>
      <c r="AT46" s="54"/>
      <c r="AU46" s="54"/>
      <c r="AV46" s="54"/>
      <c r="AW46" s="196"/>
      <c r="AX46" s="198"/>
      <c r="AY46" s="198"/>
      <c r="AZ46" s="196" t="s">
        <v>810</v>
      </c>
      <c r="BA46" s="196"/>
      <c r="BB46" s="196"/>
      <c r="BC46" s="196">
        <v>15</v>
      </c>
      <c r="BD46" s="196"/>
      <c r="BE46" s="196"/>
      <c r="BF46" s="196"/>
      <c r="BG46" s="196"/>
      <c r="BH46" s="196">
        <v>4</v>
      </c>
      <c r="BI46" s="196" t="s">
        <v>592</v>
      </c>
      <c r="BJ46" s="196"/>
      <c r="BK46" s="194" t="s">
        <v>910</v>
      </c>
      <c r="BL46" s="196" t="s">
        <v>161</v>
      </c>
      <c r="BM46" s="196"/>
      <c r="BN46" s="194" t="s">
        <v>1075</v>
      </c>
    </row>
    <row r="47" spans="1:66" x14ac:dyDescent="0.25">
      <c r="A47" s="557" t="s">
        <v>686</v>
      </c>
      <c r="B47" s="558" t="s">
        <v>691</v>
      </c>
      <c r="C47" s="558" t="s">
        <v>194</v>
      </c>
      <c r="D47" s="558">
        <v>32</v>
      </c>
      <c r="E47" s="558"/>
      <c r="F47" s="558" t="s">
        <v>166</v>
      </c>
      <c r="G47" s="558" t="s">
        <v>744</v>
      </c>
      <c r="H47" s="558" t="s">
        <v>656</v>
      </c>
      <c r="I47" s="558" t="s">
        <v>164</v>
      </c>
      <c r="J47" s="558">
        <v>46</v>
      </c>
      <c r="K47" s="558" t="s">
        <v>894</v>
      </c>
      <c r="L47" s="558"/>
      <c r="M47" s="196"/>
      <c r="N47" s="63"/>
      <c r="O47" s="215"/>
      <c r="P47" s="215"/>
      <c r="Q47" s="196"/>
      <c r="R47" s="215"/>
      <c r="S47" s="215"/>
      <c r="T47" s="215"/>
      <c r="U47" s="194"/>
      <c r="V47" s="196"/>
      <c r="W47" s="196"/>
      <c r="X47" s="194"/>
      <c r="Y47" s="199"/>
      <c r="Z47" s="194"/>
      <c r="AA47" s="196"/>
      <c r="AB47" s="196"/>
      <c r="AC47" s="196"/>
      <c r="AD47" s="196"/>
      <c r="AE47" s="196"/>
      <c r="AF47" s="54"/>
      <c r="AG47" s="54"/>
      <c r="AH47" s="54"/>
      <c r="AI47" s="54"/>
      <c r="AJ47" s="54"/>
      <c r="AK47" s="54"/>
      <c r="AL47" s="54"/>
      <c r="AM47" s="54"/>
      <c r="AN47" s="54"/>
      <c r="AO47" s="54"/>
      <c r="AP47" s="54"/>
      <c r="AQ47" s="54"/>
      <c r="AR47" s="54"/>
      <c r="AS47" s="54"/>
      <c r="AT47" s="54"/>
      <c r="AU47" s="54"/>
      <c r="AV47" s="54"/>
      <c r="AW47" s="196"/>
      <c r="AX47" s="198"/>
      <c r="AY47" s="198"/>
      <c r="AZ47" s="196" t="s">
        <v>641</v>
      </c>
      <c r="BA47" s="196"/>
      <c r="BB47" s="196"/>
      <c r="BC47" s="196">
        <v>15</v>
      </c>
      <c r="BD47" s="196"/>
      <c r="BE47" s="196"/>
      <c r="BF47" s="196"/>
      <c r="BG47" s="196"/>
      <c r="BH47" s="196">
        <v>5</v>
      </c>
      <c r="BI47" s="196" t="s">
        <v>594</v>
      </c>
      <c r="BJ47" s="196"/>
      <c r="BK47" s="194" t="s">
        <v>910</v>
      </c>
      <c r="BL47" s="196" t="s">
        <v>161</v>
      </c>
      <c r="BM47" s="196"/>
      <c r="BN47" s="196"/>
    </row>
    <row r="48" spans="1:66" x14ac:dyDescent="0.25">
      <c r="A48" s="557" t="s">
        <v>686</v>
      </c>
      <c r="B48" s="558" t="s">
        <v>692</v>
      </c>
      <c r="C48" s="558" t="s">
        <v>2045</v>
      </c>
      <c r="D48" s="558">
        <v>59</v>
      </c>
      <c r="E48" s="558"/>
      <c r="F48" s="558" t="s">
        <v>166</v>
      </c>
      <c r="G48" s="558" t="s">
        <v>744</v>
      </c>
      <c r="H48" s="558" t="s">
        <v>742</v>
      </c>
      <c r="I48" s="558" t="s">
        <v>164</v>
      </c>
      <c r="J48" s="558">
        <v>47</v>
      </c>
      <c r="K48" s="558" t="s">
        <v>894</v>
      </c>
      <c r="L48" s="558"/>
      <c r="M48" s="196"/>
      <c r="N48" s="63"/>
      <c r="O48" s="196"/>
      <c r="P48" s="196"/>
      <c r="Q48" s="196"/>
      <c r="R48" s="196"/>
      <c r="S48" s="194"/>
      <c r="T48" s="196"/>
      <c r="U48" s="196"/>
      <c r="V48" s="196"/>
      <c r="W48" s="199"/>
      <c r="X48" s="196"/>
      <c r="Y48" s="199"/>
      <c r="Z48" s="194"/>
      <c r="AA48" s="196"/>
      <c r="AB48" s="196"/>
      <c r="AC48" s="196"/>
      <c r="AD48" s="196"/>
      <c r="AE48" s="196"/>
      <c r="AF48" s="54"/>
      <c r="AG48" s="54"/>
      <c r="AH48" s="54"/>
      <c r="AI48" s="54"/>
      <c r="AJ48" s="54"/>
      <c r="AK48" s="54"/>
      <c r="AL48" s="54"/>
      <c r="AM48" s="54"/>
      <c r="AN48" s="54"/>
      <c r="AO48" s="54"/>
      <c r="AP48" s="54"/>
      <c r="AQ48" s="54"/>
      <c r="AR48" s="54"/>
      <c r="AS48" s="54"/>
      <c r="AT48" s="54"/>
      <c r="AU48" s="54"/>
      <c r="AV48" s="54"/>
      <c r="AW48" s="196"/>
      <c r="AX48" s="198"/>
      <c r="AY48" s="196"/>
      <c r="AZ48" s="196"/>
      <c r="BA48" s="196"/>
      <c r="BB48" s="196"/>
      <c r="BC48" s="196"/>
      <c r="BD48" s="196"/>
      <c r="BE48" s="196"/>
      <c r="BF48" s="196"/>
      <c r="BG48" s="196"/>
      <c r="BH48" s="196"/>
      <c r="BI48" s="196"/>
      <c r="BJ48" s="196"/>
      <c r="BK48" s="196"/>
      <c r="BL48" s="196"/>
      <c r="BM48" s="196"/>
      <c r="BN48" s="196"/>
    </row>
    <row r="49" spans="1:66" x14ac:dyDescent="0.25">
      <c r="A49" s="557" t="s">
        <v>686</v>
      </c>
      <c r="B49" s="558" t="s">
        <v>693</v>
      </c>
      <c r="C49" s="558" t="s">
        <v>196</v>
      </c>
      <c r="D49" s="558">
        <v>88</v>
      </c>
      <c r="E49" s="558"/>
      <c r="F49" s="558" t="s">
        <v>166</v>
      </c>
      <c r="G49" s="558" t="s">
        <v>744</v>
      </c>
      <c r="H49" s="558" t="s">
        <v>745</v>
      </c>
      <c r="I49" s="558" t="s">
        <v>164</v>
      </c>
      <c r="J49" s="558">
        <v>48</v>
      </c>
      <c r="K49" s="558" t="s">
        <v>894</v>
      </c>
      <c r="L49" s="558"/>
      <c r="M49" s="196"/>
      <c r="N49" s="198"/>
      <c r="O49" s="196"/>
      <c r="P49" s="196"/>
      <c r="Q49" s="196"/>
      <c r="R49" s="196"/>
      <c r="S49" s="196"/>
      <c r="T49" s="196"/>
      <c r="U49" s="196"/>
      <c r="V49" s="196"/>
      <c r="W49" s="196"/>
      <c r="X49" s="196"/>
      <c r="Y49" s="196"/>
      <c r="Z49" s="196"/>
      <c r="AA49" s="196"/>
      <c r="AB49" s="196"/>
      <c r="AC49" s="196"/>
      <c r="AD49" s="196"/>
      <c r="AE49" s="196"/>
      <c r="AF49" s="54"/>
      <c r="AG49" s="54"/>
      <c r="AH49" s="54"/>
      <c r="AI49" s="54"/>
      <c r="AJ49" s="54"/>
      <c r="AK49" s="54"/>
      <c r="AL49" s="54"/>
      <c r="AM49" s="54"/>
      <c r="AN49" s="54"/>
      <c r="AO49" s="54"/>
      <c r="AP49" s="54"/>
      <c r="AQ49" s="54"/>
      <c r="AR49" s="54"/>
      <c r="AS49" s="54"/>
      <c r="AT49" s="54"/>
      <c r="AU49" s="54"/>
      <c r="AV49" s="54"/>
      <c r="AW49" s="196"/>
      <c r="AX49" s="198" t="s">
        <v>141</v>
      </c>
      <c r="AY49" s="198" t="s">
        <v>1004</v>
      </c>
      <c r="AZ49" s="196" t="s">
        <v>832</v>
      </c>
      <c r="BA49" s="196" t="s">
        <v>833</v>
      </c>
      <c r="BB49" s="194" t="s">
        <v>1021</v>
      </c>
      <c r="BC49" s="196" t="s">
        <v>152</v>
      </c>
      <c r="BD49" s="196" t="s">
        <v>144</v>
      </c>
      <c r="BE49" s="196" t="s">
        <v>654</v>
      </c>
      <c r="BF49" s="196" t="s">
        <v>655</v>
      </c>
      <c r="BG49" s="196" t="s">
        <v>800</v>
      </c>
      <c r="BH49" s="196" t="s">
        <v>659</v>
      </c>
      <c r="BI49" s="196" t="s">
        <v>799</v>
      </c>
      <c r="BJ49" s="196" t="s">
        <v>636</v>
      </c>
      <c r="BK49" s="194" t="s">
        <v>1074</v>
      </c>
      <c r="BL49" s="196" t="s">
        <v>798</v>
      </c>
      <c r="BM49" s="196"/>
      <c r="BN49" s="196"/>
    </row>
    <row r="50" spans="1:66" x14ac:dyDescent="0.25">
      <c r="A50" s="557" t="s">
        <v>686</v>
      </c>
      <c r="B50" s="558" t="s">
        <v>694</v>
      </c>
      <c r="C50" s="558" t="s">
        <v>197</v>
      </c>
      <c r="D50" s="558">
        <v>114</v>
      </c>
      <c r="E50" s="558"/>
      <c r="F50" s="558" t="s">
        <v>166</v>
      </c>
      <c r="G50" s="558" t="s">
        <v>744</v>
      </c>
      <c r="H50" s="558" t="s">
        <v>746</v>
      </c>
      <c r="I50" s="558" t="s">
        <v>164</v>
      </c>
      <c r="J50" s="558">
        <v>49</v>
      </c>
      <c r="K50" s="558" t="s">
        <v>894</v>
      </c>
      <c r="L50" s="558"/>
      <c r="M50" s="196"/>
      <c r="N50" s="198"/>
      <c r="O50" s="196"/>
      <c r="P50" s="196"/>
      <c r="Q50" s="196"/>
      <c r="R50" s="196"/>
      <c r="S50" s="196"/>
      <c r="T50" s="196"/>
      <c r="U50" s="196"/>
      <c r="V50" s="196"/>
      <c r="W50" s="196"/>
      <c r="X50" s="196"/>
      <c r="Y50" s="196"/>
      <c r="Z50" s="196"/>
      <c r="AA50" s="196"/>
      <c r="AB50" s="196"/>
      <c r="AC50" s="196"/>
      <c r="AD50" s="196"/>
      <c r="AE50" s="196"/>
      <c r="AF50" s="54"/>
      <c r="AG50" s="54"/>
      <c r="AH50" s="54"/>
      <c r="AI50" s="54"/>
      <c r="AJ50" s="54"/>
      <c r="AK50" s="54"/>
      <c r="AL50" s="54"/>
      <c r="AM50" s="54"/>
      <c r="AN50" s="54"/>
      <c r="AO50" s="54"/>
      <c r="AP50" s="54"/>
      <c r="AQ50" s="54"/>
      <c r="AR50" s="54"/>
      <c r="AS50" s="54"/>
      <c r="AT50" s="54"/>
      <c r="AU50" s="54"/>
      <c r="AV50" s="54"/>
      <c r="AW50" s="196"/>
      <c r="AX50" s="198">
        <v>4060201</v>
      </c>
      <c r="AY50" s="198" t="s">
        <v>1002</v>
      </c>
      <c r="AZ50" s="194" t="s">
        <v>1023</v>
      </c>
      <c r="BA50" s="196"/>
      <c r="BB50" s="196"/>
      <c r="BC50" s="196">
        <v>10</v>
      </c>
      <c r="BD50" s="196"/>
      <c r="BE50" s="196"/>
      <c r="BF50" s="196"/>
      <c r="BG50" s="196"/>
      <c r="BH50" s="196">
        <v>1</v>
      </c>
      <c r="BI50" s="196" t="s">
        <v>161</v>
      </c>
      <c r="BJ50" s="198"/>
      <c r="BK50" s="194" t="s">
        <v>910</v>
      </c>
      <c r="BL50" s="196" t="s">
        <v>627</v>
      </c>
      <c r="BM50" s="196"/>
      <c r="BN50" s="196"/>
    </row>
    <row r="51" spans="1:66" x14ac:dyDescent="0.25">
      <c r="A51" s="557" t="s">
        <v>686</v>
      </c>
      <c r="B51" s="558" t="s">
        <v>2046</v>
      </c>
      <c r="C51" s="558" t="s">
        <v>2047</v>
      </c>
      <c r="D51" s="558">
        <v>175</v>
      </c>
      <c r="E51" s="558"/>
      <c r="F51" s="558" t="s">
        <v>166</v>
      </c>
      <c r="G51" s="558" t="s">
        <v>744</v>
      </c>
      <c r="H51" s="558" t="s">
        <v>752</v>
      </c>
      <c r="I51" s="558" t="s">
        <v>164</v>
      </c>
      <c r="J51" s="558">
        <v>50</v>
      </c>
      <c r="K51" s="558" t="s">
        <v>894</v>
      </c>
      <c r="L51" s="558"/>
      <c r="M51" s="196"/>
      <c r="N51" s="198"/>
      <c r="O51" s="196"/>
      <c r="P51" s="196"/>
      <c r="Q51" s="196"/>
      <c r="R51" s="196"/>
      <c r="S51" s="196"/>
      <c r="T51" s="196"/>
      <c r="U51" s="196"/>
      <c r="V51" s="196"/>
      <c r="W51" s="196"/>
      <c r="X51" s="196"/>
      <c r="Y51" s="196"/>
      <c r="Z51" s="196"/>
      <c r="AA51" s="196"/>
      <c r="AB51" s="196"/>
      <c r="AC51" s="196"/>
      <c r="AD51" s="196"/>
      <c r="AE51" s="196"/>
      <c r="AF51" s="54"/>
      <c r="AG51" s="54"/>
      <c r="AH51" s="54"/>
      <c r="AI51" s="54"/>
      <c r="AJ51" s="54"/>
      <c r="AK51" s="54"/>
      <c r="AL51" s="54"/>
      <c r="AM51" s="54"/>
      <c r="AN51" s="54"/>
      <c r="AO51" s="54"/>
      <c r="AP51" s="54"/>
      <c r="AQ51" s="54"/>
      <c r="AR51" s="54"/>
      <c r="AS51" s="54"/>
      <c r="AT51" s="54"/>
      <c r="AU51" s="54"/>
      <c r="AV51" s="54"/>
      <c r="AW51" s="196"/>
      <c r="AX51" s="198">
        <v>4060101</v>
      </c>
      <c r="AY51" s="198" t="s">
        <v>1002</v>
      </c>
      <c r="AZ51" s="194" t="s">
        <v>1025</v>
      </c>
      <c r="BA51" s="196"/>
      <c r="BB51" s="196"/>
      <c r="BC51" s="196">
        <v>10</v>
      </c>
      <c r="BD51" s="196"/>
      <c r="BE51" s="196"/>
      <c r="BF51" s="196"/>
      <c r="BG51" s="196"/>
      <c r="BH51" s="196">
        <v>2</v>
      </c>
      <c r="BI51" s="196" t="s">
        <v>161</v>
      </c>
      <c r="BJ51" s="198"/>
      <c r="BK51" s="194" t="s">
        <v>910</v>
      </c>
      <c r="BL51" s="196" t="s">
        <v>627</v>
      </c>
      <c r="BM51" s="196"/>
      <c r="BN51" s="196"/>
    </row>
    <row r="52" spans="1:66" x14ac:dyDescent="0.25">
      <c r="A52" s="557" t="s">
        <v>686</v>
      </c>
      <c r="B52" s="558" t="s">
        <v>2048</v>
      </c>
      <c r="C52" s="558" t="s">
        <v>2049</v>
      </c>
      <c r="D52" s="558">
        <v>221</v>
      </c>
      <c r="E52" s="558"/>
      <c r="F52" s="558" t="s">
        <v>166</v>
      </c>
      <c r="G52" s="558" t="s">
        <v>744</v>
      </c>
      <c r="H52" s="558" t="s">
        <v>752</v>
      </c>
      <c r="I52" s="558" t="s">
        <v>164</v>
      </c>
      <c r="J52" s="558">
        <v>51</v>
      </c>
      <c r="K52" s="558" t="s">
        <v>893</v>
      </c>
      <c r="L52" s="558"/>
      <c r="M52" s="196"/>
      <c r="N52" s="198"/>
      <c r="O52" s="196"/>
      <c r="P52" s="196"/>
      <c r="Q52" s="196"/>
      <c r="R52" s="196"/>
      <c r="S52" s="196"/>
      <c r="T52" s="196"/>
      <c r="U52" s="196"/>
      <c r="V52" s="196"/>
      <c r="W52" s="196"/>
      <c r="X52" s="196"/>
      <c r="Y52" s="196"/>
      <c r="Z52" s="196"/>
      <c r="AA52" s="196"/>
      <c r="AB52" s="196"/>
      <c r="AC52" s="196"/>
      <c r="AD52" s="196"/>
      <c r="AE52" s="196"/>
      <c r="AF52" s="54"/>
      <c r="AG52" s="54"/>
      <c r="AH52" s="54"/>
      <c r="AI52" s="54"/>
      <c r="AJ52" s="54"/>
      <c r="AK52" s="54"/>
      <c r="AL52" s="54"/>
      <c r="AM52" s="54"/>
      <c r="AN52" s="54"/>
      <c r="AO52" s="54"/>
      <c r="AP52" s="54"/>
      <c r="AQ52" s="54"/>
      <c r="AR52" s="54"/>
      <c r="AS52" s="54"/>
      <c r="AT52" s="54"/>
      <c r="AU52" s="54"/>
      <c r="AV52" s="54"/>
      <c r="AW52" s="196"/>
      <c r="AX52" s="198">
        <v>4060211</v>
      </c>
      <c r="AY52" s="198" t="s">
        <v>1002</v>
      </c>
      <c r="AZ52" s="194" t="s">
        <v>1024</v>
      </c>
      <c r="BA52" s="196"/>
      <c r="BB52" s="196"/>
      <c r="BC52" s="196">
        <v>10</v>
      </c>
      <c r="BD52" s="196"/>
      <c r="BE52" s="196"/>
      <c r="BF52" s="196"/>
      <c r="BG52" s="196"/>
      <c r="BH52" s="196">
        <v>3</v>
      </c>
      <c r="BI52" s="196" t="s">
        <v>161</v>
      </c>
      <c r="BJ52" s="198"/>
      <c r="BK52" s="194" t="s">
        <v>910</v>
      </c>
      <c r="BL52" s="196" t="s">
        <v>627</v>
      </c>
      <c r="BM52" s="196"/>
      <c r="BN52" s="196"/>
    </row>
    <row r="53" spans="1:66" x14ac:dyDescent="0.25">
      <c r="A53" s="557" t="s">
        <v>686</v>
      </c>
      <c r="B53" s="558" t="s">
        <v>2050</v>
      </c>
      <c r="C53" s="558" t="s">
        <v>2051</v>
      </c>
      <c r="D53" s="558">
        <v>292</v>
      </c>
      <c r="E53" s="558"/>
      <c r="F53" s="558" t="s">
        <v>166</v>
      </c>
      <c r="G53" s="558" t="s">
        <v>744</v>
      </c>
      <c r="H53" s="558" t="s">
        <v>753</v>
      </c>
      <c r="I53" s="558" t="s">
        <v>164</v>
      </c>
      <c r="J53" s="558">
        <v>52</v>
      </c>
      <c r="K53" s="558" t="s">
        <v>893</v>
      </c>
      <c r="L53" s="558"/>
      <c r="M53" s="196"/>
      <c r="N53" s="198"/>
      <c r="O53" s="196"/>
      <c r="P53" s="196"/>
      <c r="Q53" s="196"/>
      <c r="R53" s="196"/>
      <c r="S53" s="196"/>
      <c r="T53" s="196"/>
      <c r="U53" s="196"/>
      <c r="V53" s="196"/>
      <c r="W53" s="196"/>
      <c r="X53" s="196"/>
      <c r="Y53" s="196"/>
      <c r="Z53" s="196"/>
      <c r="AA53" s="196"/>
      <c r="AB53" s="196"/>
      <c r="AC53" s="196"/>
      <c r="AD53" s="196"/>
      <c r="AE53" s="196"/>
      <c r="AF53" s="54"/>
      <c r="AG53" s="54"/>
      <c r="AH53" s="54"/>
      <c r="AI53" s="54"/>
      <c r="AJ53" s="54"/>
      <c r="AK53" s="54"/>
      <c r="AL53" s="54"/>
      <c r="AM53" s="54"/>
      <c r="AN53" s="54"/>
      <c r="AO53" s="54"/>
      <c r="AP53" s="54"/>
      <c r="AQ53" s="54"/>
      <c r="AR53" s="54"/>
      <c r="AS53" s="54"/>
      <c r="AT53" s="54"/>
      <c r="AU53" s="54"/>
      <c r="AV53" s="54"/>
      <c r="AW53" s="196"/>
      <c r="AX53" s="198">
        <v>4060111</v>
      </c>
      <c r="AY53" s="198" t="s">
        <v>1002</v>
      </c>
      <c r="AZ53" s="194" t="s">
        <v>1026</v>
      </c>
      <c r="BA53" s="196"/>
      <c r="BB53" s="196"/>
      <c r="BC53" s="196">
        <v>10</v>
      </c>
      <c r="BD53" s="196"/>
      <c r="BE53" s="196"/>
      <c r="BF53" s="196"/>
      <c r="BG53" s="196"/>
      <c r="BH53" s="196">
        <v>4</v>
      </c>
      <c r="BI53" s="196" t="s">
        <v>161</v>
      </c>
      <c r="BJ53" s="198"/>
      <c r="BK53" s="194" t="s">
        <v>910</v>
      </c>
      <c r="BL53" s="196" t="s">
        <v>627</v>
      </c>
      <c r="BM53" s="196"/>
    </row>
    <row r="54" spans="1:66" x14ac:dyDescent="0.25">
      <c r="A54" s="193" t="s">
        <v>686</v>
      </c>
      <c r="B54" s="194" t="s">
        <v>2052</v>
      </c>
      <c r="C54" s="194" t="s">
        <v>2053</v>
      </c>
      <c r="D54" s="194">
        <v>39</v>
      </c>
      <c r="E54" s="194"/>
      <c r="F54" s="194" t="s">
        <v>166</v>
      </c>
      <c r="G54" s="194" t="s">
        <v>2021</v>
      </c>
      <c r="H54" s="558" t="s">
        <v>656</v>
      </c>
      <c r="I54" s="558" t="s">
        <v>164</v>
      </c>
      <c r="J54" s="558">
        <v>53</v>
      </c>
      <c r="K54" s="194" t="s">
        <v>2022</v>
      </c>
      <c r="L54" s="194"/>
      <c r="M54" s="196"/>
      <c r="N54" s="198"/>
      <c r="O54" s="196"/>
      <c r="P54" s="196"/>
      <c r="Q54" s="196"/>
      <c r="R54" s="196"/>
      <c r="S54" s="196"/>
      <c r="T54" s="196"/>
      <c r="U54" s="196"/>
      <c r="V54" s="196"/>
      <c r="W54" s="196"/>
      <c r="X54" s="196"/>
      <c r="Y54" s="196"/>
      <c r="Z54" s="196"/>
      <c r="AA54" s="196"/>
      <c r="AB54" s="196"/>
      <c r="AC54" s="196"/>
      <c r="AD54" s="196"/>
      <c r="AE54" s="196"/>
      <c r="AF54" s="54"/>
      <c r="AG54" s="54"/>
      <c r="AH54" s="54"/>
      <c r="AI54" s="54"/>
      <c r="AJ54" s="54"/>
      <c r="AK54" s="54"/>
      <c r="AL54" s="54"/>
      <c r="AM54" s="54"/>
      <c r="AN54" s="54"/>
      <c r="AO54" s="54"/>
      <c r="AP54" s="54"/>
      <c r="AQ54" s="54"/>
      <c r="AR54" s="54"/>
      <c r="AS54" s="54"/>
      <c r="AT54" s="54"/>
      <c r="AU54" s="54"/>
      <c r="AV54" s="54"/>
      <c r="AW54" s="196"/>
      <c r="AX54" s="198">
        <v>4040201</v>
      </c>
      <c r="AY54" s="198" t="s">
        <v>1002</v>
      </c>
      <c r="AZ54" s="194" t="s">
        <v>1028</v>
      </c>
      <c r="BA54" s="196"/>
      <c r="BB54" s="196"/>
      <c r="BC54" s="196"/>
      <c r="BD54" s="196"/>
      <c r="BE54" s="196"/>
      <c r="BF54" s="196"/>
      <c r="BG54" s="196"/>
      <c r="BH54" s="196">
        <v>5</v>
      </c>
      <c r="BI54" s="196"/>
      <c r="BJ54" s="198"/>
      <c r="BK54" s="194" t="s">
        <v>910</v>
      </c>
      <c r="BL54" s="196" t="s">
        <v>627</v>
      </c>
      <c r="BM54" s="196"/>
    </row>
    <row r="55" spans="1:66" x14ac:dyDescent="0.25">
      <c r="A55" s="193" t="s">
        <v>686</v>
      </c>
      <c r="B55" s="194" t="s">
        <v>2054</v>
      </c>
      <c r="C55" s="194" t="s">
        <v>2055</v>
      </c>
      <c r="D55" s="194">
        <v>75</v>
      </c>
      <c r="E55" s="194"/>
      <c r="F55" s="194" t="s">
        <v>166</v>
      </c>
      <c r="G55" s="194" t="s">
        <v>2021</v>
      </c>
      <c r="H55" s="558" t="s">
        <v>742</v>
      </c>
      <c r="I55" s="558" t="s">
        <v>164</v>
      </c>
      <c r="J55" s="558">
        <v>54</v>
      </c>
      <c r="K55" s="194" t="s">
        <v>2022</v>
      </c>
      <c r="L55" s="194"/>
      <c r="M55" s="196"/>
      <c r="N55" s="198"/>
      <c r="O55" s="196"/>
      <c r="P55" s="196"/>
      <c r="Q55" s="196"/>
      <c r="R55" s="196"/>
      <c r="S55" s="196"/>
      <c r="T55" s="196"/>
      <c r="U55" s="196"/>
      <c r="V55" s="196"/>
      <c r="W55" s="196"/>
      <c r="X55" s="196"/>
      <c r="Y55" s="196"/>
      <c r="Z55" s="196"/>
      <c r="AA55" s="196"/>
      <c r="AB55" s="196"/>
      <c r="AC55" s="196"/>
      <c r="AD55" s="196"/>
      <c r="AE55" s="196"/>
      <c r="AF55" s="54"/>
      <c r="AG55" s="54"/>
      <c r="AH55" s="54"/>
      <c r="AI55" s="54"/>
      <c r="AJ55" s="54"/>
      <c r="AK55" s="54"/>
      <c r="AL55" s="54"/>
      <c r="AM55" s="54"/>
      <c r="AN55" s="54"/>
      <c r="AO55" s="54"/>
      <c r="AP55" s="54"/>
      <c r="AQ55" s="54"/>
      <c r="AR55" s="54"/>
      <c r="AS55" s="54"/>
      <c r="AT55" s="54"/>
      <c r="AU55" s="54"/>
      <c r="AV55" s="54"/>
      <c r="AW55" s="196"/>
      <c r="AX55" s="198">
        <v>4060200</v>
      </c>
      <c r="AY55" s="54" t="s">
        <v>1019</v>
      </c>
      <c r="AZ55" s="196" t="s">
        <v>811</v>
      </c>
      <c r="BA55" s="196"/>
      <c r="BB55" s="196"/>
      <c r="BC55" s="196">
        <v>10</v>
      </c>
      <c r="BD55" s="196"/>
      <c r="BE55" s="196"/>
      <c r="BF55" s="196"/>
      <c r="BG55" s="196"/>
      <c r="BH55" s="196">
        <v>6</v>
      </c>
      <c r="BI55" s="196" t="s">
        <v>161</v>
      </c>
      <c r="BJ55" s="198"/>
      <c r="BK55" s="194" t="s">
        <v>134</v>
      </c>
      <c r="BL55" s="196" t="s">
        <v>627</v>
      </c>
      <c r="BM55" s="196"/>
      <c r="BN55" s="196"/>
    </row>
    <row r="56" spans="1:66" x14ac:dyDescent="0.25">
      <c r="A56" s="193" t="s">
        <v>686</v>
      </c>
      <c r="B56" s="194" t="s">
        <v>2056</v>
      </c>
      <c r="C56" s="194" t="s">
        <v>2057</v>
      </c>
      <c r="D56" s="194">
        <v>107</v>
      </c>
      <c r="E56" s="194"/>
      <c r="F56" s="194" t="s">
        <v>166</v>
      </c>
      <c r="G56" s="194" t="s">
        <v>2021</v>
      </c>
      <c r="H56" s="558" t="s">
        <v>745</v>
      </c>
      <c r="I56" s="558" t="s">
        <v>164</v>
      </c>
      <c r="J56" s="558">
        <v>55</v>
      </c>
      <c r="K56" s="194" t="s">
        <v>2022</v>
      </c>
      <c r="L56" s="194"/>
      <c r="M56" s="196"/>
      <c r="N56" s="198"/>
      <c r="O56" s="196"/>
      <c r="P56" s="196"/>
      <c r="Q56" s="196"/>
      <c r="R56" s="196"/>
      <c r="S56" s="196"/>
      <c r="T56" s="196"/>
      <c r="U56" s="196"/>
      <c r="V56" s="196"/>
      <c r="W56" s="196"/>
      <c r="X56" s="196"/>
      <c r="Y56" s="196"/>
      <c r="Z56" s="196"/>
      <c r="AA56" s="196"/>
      <c r="AB56" s="196"/>
      <c r="AC56" s="196"/>
      <c r="AD56" s="196"/>
      <c r="AE56" s="196"/>
      <c r="AF56" s="54"/>
      <c r="AG56" s="54"/>
      <c r="AH56" s="54"/>
      <c r="AI56" s="54"/>
      <c r="AJ56" s="54"/>
      <c r="AK56" s="54"/>
      <c r="AL56" s="54"/>
      <c r="AM56" s="54"/>
      <c r="AN56" s="54"/>
      <c r="AO56" s="54"/>
      <c r="AP56" s="54"/>
      <c r="AQ56" s="54"/>
      <c r="AR56" s="54"/>
      <c r="AS56" s="54"/>
      <c r="AT56" s="54"/>
      <c r="AU56" s="54"/>
      <c r="AV56" s="54"/>
      <c r="AW56" s="196"/>
      <c r="AX56" s="198">
        <v>4060100</v>
      </c>
      <c r="AY56" s="54" t="s">
        <v>1019</v>
      </c>
      <c r="AZ56" s="196" t="s">
        <v>813</v>
      </c>
      <c r="BA56" s="196"/>
      <c r="BB56" s="196"/>
      <c r="BC56" s="196">
        <v>10</v>
      </c>
      <c r="BD56" s="196"/>
      <c r="BE56" s="196"/>
      <c r="BF56" s="196"/>
      <c r="BG56" s="196"/>
      <c r="BH56" s="196">
        <v>7</v>
      </c>
      <c r="BI56" s="196" t="s">
        <v>161</v>
      </c>
      <c r="BJ56" s="198"/>
      <c r="BK56" s="194" t="s">
        <v>134</v>
      </c>
      <c r="BL56" s="196" t="s">
        <v>627</v>
      </c>
      <c r="BM56" s="196"/>
      <c r="BN56" s="196"/>
    </row>
    <row r="57" spans="1:66" x14ac:dyDescent="0.25">
      <c r="A57" s="193" t="s">
        <v>686</v>
      </c>
      <c r="B57" s="194" t="s">
        <v>2058</v>
      </c>
      <c r="C57" s="194" t="s">
        <v>2059</v>
      </c>
      <c r="D57" s="194">
        <v>116</v>
      </c>
      <c r="E57" s="194"/>
      <c r="F57" s="194" t="s">
        <v>166</v>
      </c>
      <c r="G57" s="194" t="s">
        <v>2021</v>
      </c>
      <c r="H57" s="558" t="s">
        <v>746</v>
      </c>
      <c r="I57" s="558" t="s">
        <v>164</v>
      </c>
      <c r="J57" s="558">
        <v>56</v>
      </c>
      <c r="K57" s="194" t="s">
        <v>2022</v>
      </c>
      <c r="L57" s="194"/>
      <c r="M57" s="196"/>
      <c r="N57" s="198"/>
      <c r="O57" s="196"/>
      <c r="P57" s="196"/>
      <c r="Q57" s="196"/>
      <c r="R57" s="196"/>
      <c r="S57" s="196"/>
      <c r="T57" s="196"/>
      <c r="U57" s="196"/>
      <c r="V57" s="196"/>
      <c r="W57" s="196"/>
      <c r="X57" s="196"/>
      <c r="Y57" s="196"/>
      <c r="Z57" s="196"/>
      <c r="AA57" s="196"/>
      <c r="AB57" s="196"/>
      <c r="AC57" s="196"/>
      <c r="AD57" s="196"/>
      <c r="AE57" s="196"/>
      <c r="AF57" s="54"/>
      <c r="AG57" s="54"/>
      <c r="AH57" s="54"/>
      <c r="AI57" s="54"/>
      <c r="AJ57" s="54"/>
      <c r="AK57" s="54"/>
      <c r="AL57" s="54"/>
      <c r="AM57" s="54"/>
      <c r="AN57" s="54"/>
      <c r="AO57" s="54"/>
      <c r="AP57" s="54"/>
      <c r="AQ57" s="54"/>
      <c r="AR57" s="54"/>
      <c r="AS57" s="54"/>
      <c r="AT57" s="54"/>
      <c r="AU57" s="54"/>
      <c r="AV57" s="54"/>
      <c r="AW57" s="196"/>
      <c r="AX57" s="198">
        <v>4060210</v>
      </c>
      <c r="AY57" s="54" t="s">
        <v>1019</v>
      </c>
      <c r="AZ57" s="196" t="s">
        <v>812</v>
      </c>
      <c r="BA57" s="196"/>
      <c r="BB57" s="196"/>
      <c r="BC57" s="196">
        <v>10</v>
      </c>
      <c r="BD57" s="196"/>
      <c r="BE57" s="196"/>
      <c r="BF57" s="196"/>
      <c r="BG57" s="196"/>
      <c r="BH57" s="196">
        <v>8</v>
      </c>
      <c r="BI57" s="196" t="s">
        <v>161</v>
      </c>
      <c r="BJ57" s="198"/>
      <c r="BK57" s="194" t="s">
        <v>134</v>
      </c>
      <c r="BL57" s="196" t="s">
        <v>627</v>
      </c>
      <c r="BM57" s="196"/>
      <c r="BN57" s="196"/>
    </row>
    <row r="58" spans="1:66" x14ac:dyDescent="0.25">
      <c r="A58" s="198" t="s">
        <v>686</v>
      </c>
      <c r="B58" s="196" t="s">
        <v>2060</v>
      </c>
      <c r="C58" s="558" t="s">
        <v>2061</v>
      </c>
      <c r="D58" s="196">
        <v>50</v>
      </c>
      <c r="E58" s="196"/>
      <c r="F58" s="558" t="s">
        <v>166</v>
      </c>
      <c r="G58" s="196" t="s">
        <v>2027</v>
      </c>
      <c r="H58" s="196" t="s">
        <v>656</v>
      </c>
      <c r="I58" s="196" t="s">
        <v>164</v>
      </c>
      <c r="J58" s="558">
        <v>57</v>
      </c>
      <c r="K58" s="196" t="s">
        <v>2022</v>
      </c>
      <c r="L58" s="196"/>
      <c r="M58" s="196"/>
      <c r="N58" s="198"/>
      <c r="O58" s="196"/>
      <c r="P58" s="196"/>
      <c r="Q58" s="196"/>
      <c r="R58" s="196"/>
      <c r="S58" s="196"/>
      <c r="T58" s="196"/>
      <c r="U58" s="196"/>
      <c r="V58" s="196"/>
      <c r="W58" s="196"/>
      <c r="X58" s="196"/>
      <c r="Y58" s="196"/>
      <c r="Z58" s="196"/>
      <c r="AA58" s="196"/>
      <c r="AB58" s="196"/>
      <c r="AC58" s="196"/>
      <c r="AD58" s="196"/>
      <c r="AE58" s="196"/>
      <c r="AF58" s="54"/>
      <c r="AG58" s="54"/>
      <c r="AH58" s="54"/>
      <c r="AI58" s="54"/>
      <c r="AJ58" s="54"/>
      <c r="AK58" s="54"/>
      <c r="AL58" s="54"/>
      <c r="AM58" s="54"/>
      <c r="AN58" s="54"/>
      <c r="AO58" s="54"/>
      <c r="AP58" s="54"/>
      <c r="AQ58" s="54"/>
      <c r="AR58" s="54"/>
      <c r="AS58" s="54"/>
      <c r="AT58" s="54"/>
      <c r="AU58" s="54"/>
      <c r="AV58" s="54"/>
      <c r="AW58" s="196"/>
      <c r="AX58" s="198">
        <v>4060110</v>
      </c>
      <c r="AY58" s="54" t="s">
        <v>1019</v>
      </c>
      <c r="AZ58" s="196" t="s">
        <v>814</v>
      </c>
      <c r="BA58" s="196"/>
      <c r="BB58" s="196"/>
      <c r="BC58" s="196">
        <v>10</v>
      </c>
      <c r="BD58" s="196"/>
      <c r="BE58" s="196"/>
      <c r="BF58" s="196"/>
      <c r="BG58" s="196"/>
      <c r="BH58" s="196">
        <v>9</v>
      </c>
      <c r="BI58" s="196" t="s">
        <v>161</v>
      </c>
      <c r="BJ58" s="198"/>
      <c r="BK58" s="194" t="s">
        <v>134</v>
      </c>
      <c r="BL58" s="196" t="s">
        <v>627</v>
      </c>
      <c r="BM58" s="196"/>
      <c r="BN58" s="194" t="s">
        <v>1076</v>
      </c>
    </row>
    <row r="59" spans="1:66" x14ac:dyDescent="0.25">
      <c r="A59" s="198" t="s">
        <v>686</v>
      </c>
      <c r="B59" s="196" t="s">
        <v>2062</v>
      </c>
      <c r="C59" s="558" t="s">
        <v>2063</v>
      </c>
      <c r="D59" s="196">
        <v>88</v>
      </c>
      <c r="E59" s="196"/>
      <c r="F59" s="558" t="s">
        <v>166</v>
      </c>
      <c r="G59" s="196" t="s">
        <v>2027</v>
      </c>
      <c r="H59" s="196" t="s">
        <v>742</v>
      </c>
      <c r="I59" s="196" t="s">
        <v>164</v>
      </c>
      <c r="J59" s="558">
        <v>58</v>
      </c>
      <c r="K59" s="196" t="s">
        <v>2022</v>
      </c>
      <c r="L59" s="196"/>
      <c r="M59" s="196"/>
      <c r="N59" s="198"/>
      <c r="O59" s="196"/>
      <c r="P59" s="196"/>
      <c r="Q59" s="196"/>
      <c r="R59" s="196"/>
      <c r="S59" s="196"/>
      <c r="T59" s="196"/>
      <c r="U59" s="196"/>
      <c r="V59" s="196"/>
      <c r="W59" s="196"/>
      <c r="X59" s="196"/>
      <c r="Y59" s="196"/>
      <c r="Z59" s="196"/>
      <c r="AA59" s="196"/>
      <c r="AB59" s="196"/>
      <c r="AC59" s="196"/>
      <c r="AD59" s="196"/>
      <c r="AE59" s="196"/>
      <c r="AF59" s="54"/>
      <c r="AG59" s="54"/>
      <c r="AH59" s="54"/>
      <c r="AI59" s="54"/>
      <c r="AJ59" s="54"/>
      <c r="AK59" s="54"/>
      <c r="AL59" s="54"/>
      <c r="AM59" s="54"/>
      <c r="AN59" s="54"/>
      <c r="AO59" s="54"/>
      <c r="AP59" s="54"/>
      <c r="AQ59" s="54"/>
      <c r="AR59" s="54"/>
      <c r="AS59" s="54"/>
      <c r="AT59" s="54"/>
      <c r="AU59" s="54"/>
      <c r="AV59" s="54"/>
      <c r="AW59" s="196"/>
      <c r="AX59" s="198">
        <v>4040200</v>
      </c>
      <c r="AY59" s="54" t="s">
        <v>1019</v>
      </c>
      <c r="AZ59" s="194" t="s">
        <v>1027</v>
      </c>
      <c r="BA59" s="196"/>
      <c r="BB59" s="196"/>
      <c r="BC59" s="196"/>
      <c r="BD59" s="196"/>
      <c r="BE59" s="196"/>
      <c r="BF59" s="196"/>
      <c r="BG59" s="196"/>
      <c r="BH59" s="196">
        <v>10</v>
      </c>
      <c r="BI59" s="196"/>
      <c r="BJ59" s="198"/>
      <c r="BK59" s="194" t="s">
        <v>134</v>
      </c>
      <c r="BL59" s="196" t="s">
        <v>627</v>
      </c>
      <c r="BM59" s="196"/>
      <c r="BN59" s="196"/>
    </row>
    <row r="60" spans="1:66" x14ac:dyDescent="0.25">
      <c r="A60" s="557" t="s">
        <v>686</v>
      </c>
      <c r="B60" s="558" t="s">
        <v>695</v>
      </c>
      <c r="C60" s="558" t="s">
        <v>860</v>
      </c>
      <c r="D60" s="558">
        <v>62</v>
      </c>
      <c r="E60" s="558"/>
      <c r="F60" s="558" t="s">
        <v>166</v>
      </c>
      <c r="G60" s="558" t="s">
        <v>747</v>
      </c>
      <c r="H60" s="558" t="s">
        <v>656</v>
      </c>
      <c r="I60" s="558" t="s">
        <v>164</v>
      </c>
      <c r="J60" s="558">
        <v>59</v>
      </c>
      <c r="K60" s="558" t="s">
        <v>894</v>
      </c>
      <c r="L60" s="558"/>
      <c r="M60" s="196"/>
      <c r="N60" s="198"/>
      <c r="O60" s="196"/>
      <c r="P60" s="196"/>
      <c r="Q60" s="196"/>
      <c r="R60" s="196"/>
      <c r="S60" s="196"/>
      <c r="T60" s="196"/>
      <c r="U60" s="196"/>
      <c r="V60" s="196"/>
      <c r="W60" s="196"/>
      <c r="X60" s="196"/>
      <c r="Y60" s="196"/>
      <c r="Z60" s="196"/>
      <c r="AA60" s="196"/>
      <c r="AB60" s="196"/>
      <c r="AC60" s="196"/>
      <c r="AD60" s="196"/>
      <c r="AE60" s="196"/>
      <c r="AF60" s="54"/>
      <c r="AG60" s="54"/>
      <c r="AH60" s="54"/>
      <c r="AI60" s="54"/>
      <c r="AJ60" s="54"/>
      <c r="AK60" s="54"/>
      <c r="AL60" s="54"/>
      <c r="AM60" s="54"/>
      <c r="AN60" s="54"/>
      <c r="AO60" s="54"/>
      <c r="AP60" s="54"/>
      <c r="AQ60" s="54"/>
      <c r="AR60" s="54"/>
      <c r="AS60" s="54"/>
      <c r="AT60" s="54"/>
      <c r="AU60" s="54"/>
      <c r="AV60" s="54"/>
      <c r="AW60" s="196"/>
      <c r="AX60" s="198"/>
      <c r="AY60" s="196"/>
      <c r="AZ60" s="196"/>
      <c r="BA60" s="196"/>
      <c r="BB60" s="196"/>
      <c r="BC60" s="196"/>
      <c r="BD60" s="196"/>
      <c r="BE60" s="196"/>
      <c r="BF60" s="196"/>
      <c r="BG60" s="196"/>
      <c r="BH60" s="196"/>
      <c r="BI60" s="196"/>
      <c r="BJ60" s="196"/>
      <c r="BK60" s="196"/>
      <c r="BL60" s="196"/>
      <c r="BM60" s="196"/>
      <c r="BN60" s="196"/>
    </row>
    <row r="61" spans="1:66" x14ac:dyDescent="0.25">
      <c r="A61" s="557" t="s">
        <v>686</v>
      </c>
      <c r="B61" s="558" t="s">
        <v>696</v>
      </c>
      <c r="C61" s="558" t="s">
        <v>861</v>
      </c>
      <c r="D61" s="558">
        <v>124</v>
      </c>
      <c r="E61" s="558"/>
      <c r="F61" s="558" t="s">
        <v>166</v>
      </c>
      <c r="G61" s="558" t="s">
        <v>747</v>
      </c>
      <c r="H61" s="558" t="s">
        <v>742</v>
      </c>
      <c r="I61" s="558" t="s">
        <v>164</v>
      </c>
      <c r="J61" s="558">
        <v>60</v>
      </c>
      <c r="K61" s="558" t="s">
        <v>894</v>
      </c>
      <c r="L61" s="558"/>
      <c r="M61" s="196"/>
      <c r="N61" s="198"/>
      <c r="O61" s="196"/>
      <c r="P61" s="196"/>
      <c r="Q61" s="196"/>
      <c r="R61" s="196"/>
      <c r="S61" s="196"/>
      <c r="T61" s="196"/>
      <c r="U61" s="196"/>
      <c r="V61" s="196"/>
      <c r="W61" s="196"/>
      <c r="X61" s="196"/>
      <c r="Y61" s="196"/>
      <c r="Z61" s="196"/>
      <c r="AA61" s="196"/>
      <c r="AB61" s="196"/>
      <c r="AC61" s="196"/>
      <c r="AD61" s="196"/>
      <c r="AE61" s="196"/>
      <c r="AF61" s="54"/>
      <c r="AG61" s="54"/>
      <c r="AH61" s="54"/>
      <c r="AI61" s="54"/>
      <c r="AJ61" s="54"/>
      <c r="AK61" s="54"/>
      <c r="AL61" s="54"/>
      <c r="AM61" s="54"/>
      <c r="AN61" s="54"/>
      <c r="AO61" s="54"/>
      <c r="AP61" s="54"/>
      <c r="AQ61" s="54"/>
      <c r="AR61" s="54"/>
      <c r="AS61" s="54"/>
      <c r="AT61" s="54"/>
      <c r="AU61" s="54"/>
      <c r="AV61" s="54"/>
      <c r="AW61" s="196"/>
      <c r="AX61" s="198" t="s">
        <v>141</v>
      </c>
      <c r="AY61" s="198" t="s">
        <v>1004</v>
      </c>
      <c r="AZ61" s="196" t="s">
        <v>832</v>
      </c>
      <c r="BA61" s="196" t="s">
        <v>833</v>
      </c>
      <c r="BB61" s="194" t="s">
        <v>1021</v>
      </c>
      <c r="BC61" s="196" t="s">
        <v>152</v>
      </c>
      <c r="BD61" s="196" t="s">
        <v>144</v>
      </c>
      <c r="BE61" s="196" t="s">
        <v>654</v>
      </c>
      <c r="BF61" s="196" t="s">
        <v>655</v>
      </c>
      <c r="BG61" s="196" t="s">
        <v>800</v>
      </c>
      <c r="BH61" s="196" t="s">
        <v>659</v>
      </c>
      <c r="BI61" s="196" t="s">
        <v>799</v>
      </c>
      <c r="BJ61" s="196" t="s">
        <v>636</v>
      </c>
      <c r="BK61" s="194" t="s">
        <v>1074</v>
      </c>
      <c r="BL61" s="196" t="s">
        <v>798</v>
      </c>
      <c r="BM61" s="196"/>
      <c r="BN61" s="196"/>
    </row>
    <row r="62" spans="1:66" x14ac:dyDescent="0.25">
      <c r="A62" s="557" t="s">
        <v>686</v>
      </c>
      <c r="B62" s="558" t="s">
        <v>697</v>
      </c>
      <c r="C62" s="558" t="s">
        <v>862</v>
      </c>
      <c r="D62" s="558">
        <v>186</v>
      </c>
      <c r="E62" s="558"/>
      <c r="F62" s="558" t="s">
        <v>166</v>
      </c>
      <c r="G62" s="558" t="s">
        <v>747</v>
      </c>
      <c r="H62" s="558" t="s">
        <v>745</v>
      </c>
      <c r="I62" s="558" t="s">
        <v>164</v>
      </c>
      <c r="J62" s="558">
        <v>61</v>
      </c>
      <c r="K62" s="558" t="s">
        <v>894</v>
      </c>
      <c r="L62" s="558"/>
      <c r="M62" s="196"/>
      <c r="N62" s="198"/>
      <c r="O62" s="196"/>
      <c r="P62" s="196"/>
      <c r="Q62" s="196"/>
      <c r="R62" s="196"/>
      <c r="S62" s="196"/>
      <c r="T62" s="196"/>
      <c r="U62" s="196"/>
      <c r="V62" s="196"/>
      <c r="W62" s="196"/>
      <c r="X62" s="196"/>
      <c r="Y62" s="196"/>
      <c r="Z62" s="196"/>
      <c r="AA62" s="196"/>
      <c r="AB62" s="196"/>
      <c r="AC62" s="196"/>
      <c r="AD62" s="196"/>
      <c r="AE62" s="196"/>
      <c r="AF62" s="54"/>
      <c r="AG62" s="54"/>
      <c r="AH62" s="54"/>
      <c r="AI62" s="54"/>
      <c r="AJ62" s="54"/>
      <c r="AK62" s="54"/>
      <c r="AL62" s="54"/>
      <c r="AM62" s="54"/>
      <c r="AN62" s="54"/>
      <c r="AO62" s="54"/>
      <c r="AP62" s="54"/>
      <c r="AQ62" s="54"/>
      <c r="AR62" s="54"/>
      <c r="AS62" s="54"/>
      <c r="AT62" s="54"/>
      <c r="AU62" s="54"/>
      <c r="AV62" s="54"/>
      <c r="AW62" s="196"/>
      <c r="AX62" s="198">
        <v>4030101</v>
      </c>
      <c r="AY62" s="198" t="s">
        <v>1002</v>
      </c>
      <c r="AZ62" s="194" t="s">
        <v>1029</v>
      </c>
      <c r="BA62" s="196"/>
      <c r="BB62" s="196"/>
      <c r="BC62" s="196">
        <v>12</v>
      </c>
      <c r="BD62" s="196"/>
      <c r="BE62" s="196"/>
      <c r="BF62" s="196"/>
      <c r="BG62" s="196"/>
      <c r="BH62" s="196">
        <v>1</v>
      </c>
      <c r="BI62" s="196" t="s">
        <v>590</v>
      </c>
      <c r="BJ62" s="198"/>
      <c r="BK62" s="194" t="s">
        <v>910</v>
      </c>
      <c r="BL62" s="196" t="s">
        <v>815</v>
      </c>
      <c r="BM62" s="196"/>
      <c r="BN62" s="196"/>
    </row>
    <row r="63" spans="1:66" x14ac:dyDescent="0.25">
      <c r="A63" s="557" t="s">
        <v>686</v>
      </c>
      <c r="B63" s="558" t="s">
        <v>698</v>
      </c>
      <c r="C63" s="558" t="s">
        <v>863</v>
      </c>
      <c r="D63" s="558">
        <v>248</v>
      </c>
      <c r="E63" s="558"/>
      <c r="F63" s="558" t="s">
        <v>166</v>
      </c>
      <c r="G63" s="558" t="s">
        <v>747</v>
      </c>
      <c r="H63" s="558" t="s">
        <v>746</v>
      </c>
      <c r="I63" s="558" t="s">
        <v>164</v>
      </c>
      <c r="J63" s="558">
        <v>62</v>
      </c>
      <c r="K63" s="558" t="s">
        <v>894</v>
      </c>
      <c r="L63" s="558"/>
      <c r="M63" s="196"/>
      <c r="N63" s="198"/>
      <c r="O63" s="196"/>
      <c r="P63" s="196"/>
      <c r="Q63" s="196"/>
      <c r="R63" s="196"/>
      <c r="S63" s="196"/>
      <c r="T63" s="196"/>
      <c r="U63" s="196"/>
      <c r="V63" s="196"/>
      <c r="W63" s="196"/>
      <c r="X63" s="196"/>
      <c r="Y63" s="196"/>
      <c r="Z63" s="196"/>
      <c r="AA63" s="196"/>
      <c r="AB63" s="196"/>
      <c r="AC63" s="196"/>
      <c r="AD63" s="196"/>
      <c r="AE63" s="196"/>
      <c r="AF63" s="54"/>
      <c r="AG63" s="54"/>
      <c r="AH63" s="54"/>
      <c r="AI63" s="54"/>
      <c r="AJ63" s="54"/>
      <c r="AK63" s="54"/>
      <c r="AL63" s="54"/>
      <c r="AM63" s="54"/>
      <c r="AN63" s="54"/>
      <c r="AO63" s="54"/>
      <c r="AP63" s="54"/>
      <c r="AQ63" s="54"/>
      <c r="AR63" s="54"/>
      <c r="AS63" s="54"/>
      <c r="AT63" s="54"/>
      <c r="AU63" s="54"/>
      <c r="AV63" s="54"/>
      <c r="AW63" s="196"/>
      <c r="AX63" s="198">
        <v>4030201</v>
      </c>
      <c r="AY63" s="198" t="s">
        <v>1002</v>
      </c>
      <c r="AZ63" s="194" t="s">
        <v>1030</v>
      </c>
      <c r="BA63" s="196"/>
      <c r="BB63" s="196"/>
      <c r="BC63" s="196">
        <v>12</v>
      </c>
      <c r="BD63" s="196"/>
      <c r="BE63" s="196"/>
      <c r="BF63" s="196"/>
      <c r="BG63" s="196"/>
      <c r="BH63" s="196">
        <v>2</v>
      </c>
      <c r="BI63" s="196" t="s">
        <v>590</v>
      </c>
      <c r="BJ63" s="198"/>
      <c r="BK63" s="194" t="s">
        <v>910</v>
      </c>
      <c r="BL63" s="196" t="s">
        <v>815</v>
      </c>
      <c r="BM63" s="196"/>
      <c r="BN63" s="196"/>
    </row>
    <row r="64" spans="1:66" x14ac:dyDescent="0.25">
      <c r="A64" s="557" t="s">
        <v>686</v>
      </c>
      <c r="B64" s="558" t="s">
        <v>2064</v>
      </c>
      <c r="C64" s="558" t="s">
        <v>2065</v>
      </c>
      <c r="D64" s="558">
        <v>328</v>
      </c>
      <c r="E64" s="558"/>
      <c r="F64" s="558" t="s">
        <v>166</v>
      </c>
      <c r="G64" s="558" t="s">
        <v>747</v>
      </c>
      <c r="H64" s="558" t="s">
        <v>2018</v>
      </c>
      <c r="I64" s="558" t="s">
        <v>164</v>
      </c>
      <c r="J64" s="558">
        <v>63</v>
      </c>
      <c r="K64" s="558" t="s">
        <v>894</v>
      </c>
      <c r="L64" s="558"/>
      <c r="M64" s="196"/>
      <c r="N64" s="198"/>
      <c r="O64" s="196"/>
      <c r="P64" s="196"/>
      <c r="Q64" s="196"/>
      <c r="R64" s="196"/>
      <c r="S64" s="196"/>
      <c r="T64" s="196"/>
      <c r="U64" s="196"/>
      <c r="V64" s="196"/>
      <c r="W64" s="196"/>
      <c r="X64" s="196"/>
      <c r="Y64" s="196"/>
      <c r="Z64" s="196"/>
      <c r="AA64" s="196"/>
      <c r="AB64" s="196"/>
      <c r="AC64" s="196"/>
      <c r="AD64" s="196"/>
      <c r="AE64" s="196"/>
      <c r="AF64" s="54"/>
      <c r="AG64" s="54"/>
      <c r="AH64" s="54"/>
      <c r="AI64" s="54"/>
      <c r="AJ64" s="54"/>
      <c r="AK64" s="54"/>
      <c r="AL64" s="54"/>
      <c r="AM64" s="54"/>
      <c r="AN64" s="54"/>
      <c r="AO64" s="54"/>
      <c r="AP64" s="54"/>
      <c r="AQ64" s="54"/>
      <c r="AR64" s="54"/>
      <c r="AS64" s="54"/>
      <c r="AT64" s="54"/>
      <c r="AU64" s="54"/>
      <c r="AV64" s="54"/>
      <c r="AW64" s="196"/>
      <c r="AX64" s="198">
        <v>4030301</v>
      </c>
      <c r="AY64" s="198" t="s">
        <v>1002</v>
      </c>
      <c r="AZ64" s="194" t="s">
        <v>1031</v>
      </c>
      <c r="BA64" s="196"/>
      <c r="BB64" s="196"/>
      <c r="BC64" s="196">
        <v>15</v>
      </c>
      <c r="BD64" s="196"/>
      <c r="BE64" s="196"/>
      <c r="BF64" s="196"/>
      <c r="BG64" s="196"/>
      <c r="BH64" s="196">
        <v>3</v>
      </c>
      <c r="BI64" s="196" t="s">
        <v>590</v>
      </c>
      <c r="BJ64" s="198"/>
      <c r="BK64" s="194" t="s">
        <v>910</v>
      </c>
      <c r="BL64" s="196" t="s">
        <v>815</v>
      </c>
      <c r="BM64" s="196"/>
      <c r="BN64" s="196"/>
    </row>
    <row r="65" spans="1:66" x14ac:dyDescent="0.25">
      <c r="A65" s="557" t="s">
        <v>699</v>
      </c>
      <c r="B65" s="558" t="s">
        <v>700</v>
      </c>
      <c r="C65" s="558" t="s">
        <v>864</v>
      </c>
      <c r="D65" s="558">
        <v>85</v>
      </c>
      <c r="E65" s="558"/>
      <c r="F65" s="558" t="s">
        <v>751</v>
      </c>
      <c r="G65" s="558" t="s">
        <v>747</v>
      </c>
      <c r="H65" s="558" t="s">
        <v>656</v>
      </c>
      <c r="I65" s="558" t="s">
        <v>164</v>
      </c>
      <c r="J65" s="558">
        <v>64</v>
      </c>
      <c r="K65" s="558" t="s">
        <v>894</v>
      </c>
      <c r="L65" s="558"/>
      <c r="M65" s="196"/>
      <c r="N65" s="198"/>
      <c r="O65" s="196"/>
      <c r="P65" s="196"/>
      <c r="Q65" s="196"/>
      <c r="R65" s="196"/>
      <c r="S65" s="196"/>
      <c r="T65" s="196"/>
      <c r="U65" s="196"/>
      <c r="V65" s="196"/>
      <c r="W65" s="196"/>
      <c r="X65" s="196"/>
      <c r="Y65" s="196"/>
      <c r="Z65" s="196"/>
      <c r="AA65" s="196"/>
      <c r="AB65" s="196"/>
      <c r="AC65" s="196"/>
      <c r="AD65" s="196"/>
      <c r="AE65" s="196"/>
      <c r="AF65" s="54"/>
      <c r="AG65" s="54"/>
      <c r="AH65" s="54"/>
      <c r="AI65" s="54"/>
      <c r="AJ65" s="54"/>
      <c r="AK65" s="54"/>
      <c r="AL65" s="54"/>
      <c r="AM65" s="54"/>
      <c r="AN65" s="54"/>
      <c r="AO65" s="54"/>
      <c r="AP65" s="54"/>
      <c r="AQ65" s="54"/>
      <c r="AR65" s="54"/>
      <c r="AS65" s="54"/>
      <c r="AT65" s="54"/>
      <c r="AU65" s="54"/>
      <c r="AV65" s="54"/>
      <c r="AW65" s="196"/>
      <c r="AX65" s="198">
        <v>4030401</v>
      </c>
      <c r="AY65" s="198" t="s">
        <v>1002</v>
      </c>
      <c r="AZ65" s="194" t="s">
        <v>1032</v>
      </c>
      <c r="BA65" s="196"/>
      <c r="BB65" s="196"/>
      <c r="BC65" s="196">
        <v>12</v>
      </c>
      <c r="BD65" s="196"/>
      <c r="BE65" s="196"/>
      <c r="BF65" s="196"/>
      <c r="BG65" s="196"/>
      <c r="BH65" s="196">
        <v>4</v>
      </c>
      <c r="BI65" s="196" t="s">
        <v>590</v>
      </c>
      <c r="BJ65" s="198"/>
      <c r="BK65" s="194" t="s">
        <v>910</v>
      </c>
      <c r="BL65" s="196" t="s">
        <v>815</v>
      </c>
      <c r="BM65" s="196"/>
      <c r="BN65" s="196"/>
    </row>
    <row r="66" spans="1:66" x14ac:dyDescent="0.25">
      <c r="A66" s="557" t="s">
        <v>699</v>
      </c>
      <c r="B66" s="558" t="s">
        <v>701</v>
      </c>
      <c r="C66" s="558" t="s">
        <v>865</v>
      </c>
      <c r="D66" s="558">
        <v>160</v>
      </c>
      <c r="E66" s="558"/>
      <c r="F66" s="558" t="s">
        <v>751</v>
      </c>
      <c r="G66" s="558" t="s">
        <v>747</v>
      </c>
      <c r="H66" s="558" t="s">
        <v>742</v>
      </c>
      <c r="I66" s="558" t="s">
        <v>164</v>
      </c>
      <c r="J66" s="558">
        <v>65</v>
      </c>
      <c r="K66" s="558" t="s">
        <v>894</v>
      </c>
      <c r="L66" s="558"/>
      <c r="M66" s="196"/>
      <c r="N66" s="198"/>
      <c r="O66" s="196"/>
      <c r="P66" s="196"/>
      <c r="Q66" s="196"/>
      <c r="R66" s="196"/>
      <c r="S66" s="196"/>
      <c r="T66" s="196"/>
      <c r="U66" s="196"/>
      <c r="V66" s="196"/>
      <c r="W66" s="196"/>
      <c r="X66" s="196"/>
      <c r="Y66" s="196"/>
      <c r="Z66" s="196"/>
      <c r="AA66" s="196"/>
      <c r="AB66" s="196"/>
      <c r="AC66" s="196"/>
      <c r="AD66" s="196"/>
      <c r="AE66" s="196"/>
      <c r="AF66" s="54"/>
      <c r="AG66" s="54"/>
      <c r="AH66" s="54"/>
      <c r="AI66" s="54"/>
      <c r="AJ66" s="54"/>
      <c r="AK66" s="54"/>
      <c r="AL66" s="54"/>
      <c r="AM66" s="54"/>
      <c r="AN66" s="54"/>
      <c r="AO66" s="54"/>
      <c r="AP66" s="54"/>
      <c r="AQ66" s="54"/>
      <c r="AR66" s="54"/>
      <c r="AS66" s="54"/>
      <c r="AT66" s="54"/>
      <c r="AU66" s="54"/>
      <c r="AV66" s="54"/>
      <c r="AW66" s="196"/>
      <c r="AX66" s="193" t="s">
        <v>2103</v>
      </c>
      <c r="AY66" s="198" t="s">
        <v>1002</v>
      </c>
      <c r="AZ66" s="194" t="s">
        <v>1035</v>
      </c>
      <c r="BA66" s="196"/>
      <c r="BB66" s="196"/>
      <c r="BC66" s="196">
        <v>12</v>
      </c>
      <c r="BD66" s="196"/>
      <c r="BE66" s="196"/>
      <c r="BF66" s="196"/>
      <c r="BG66" s="196"/>
      <c r="BH66" s="196">
        <v>5</v>
      </c>
      <c r="BI66" s="196" t="s">
        <v>590</v>
      </c>
      <c r="BJ66" s="198"/>
      <c r="BK66" s="194" t="s">
        <v>910</v>
      </c>
      <c r="BL66" s="196" t="s">
        <v>815</v>
      </c>
      <c r="BM66" s="196"/>
      <c r="BN66" s="196"/>
    </row>
    <row r="67" spans="1:66" x14ac:dyDescent="0.25">
      <c r="A67" s="557" t="s">
        <v>699</v>
      </c>
      <c r="B67" s="558" t="s">
        <v>702</v>
      </c>
      <c r="C67" s="558" t="s">
        <v>866</v>
      </c>
      <c r="D67" s="558">
        <v>285</v>
      </c>
      <c r="E67" s="558"/>
      <c r="F67" s="558" t="s">
        <v>751</v>
      </c>
      <c r="G67" s="558" t="s">
        <v>747</v>
      </c>
      <c r="H67" s="558" t="s">
        <v>745</v>
      </c>
      <c r="I67" s="558" t="s">
        <v>164</v>
      </c>
      <c r="J67" s="558">
        <v>66</v>
      </c>
      <c r="K67" s="558" t="s">
        <v>906</v>
      </c>
      <c r="L67" s="558"/>
      <c r="M67" s="196"/>
      <c r="N67" s="198"/>
      <c r="O67" s="196"/>
      <c r="P67" s="196"/>
      <c r="Q67" s="196"/>
      <c r="R67" s="196"/>
      <c r="S67" s="196"/>
      <c r="T67" s="196"/>
      <c r="U67" s="196"/>
      <c r="V67" s="196"/>
      <c r="W67" s="196"/>
      <c r="X67" s="196"/>
      <c r="Y67" s="196"/>
      <c r="Z67" s="196"/>
      <c r="AA67" s="196"/>
      <c r="AB67" s="196"/>
      <c r="AC67" s="196"/>
      <c r="AD67" s="196"/>
      <c r="AE67" s="196"/>
      <c r="AF67" s="54"/>
      <c r="AG67" s="54"/>
      <c r="AH67" s="54"/>
      <c r="AI67" s="54"/>
      <c r="AJ67" s="54"/>
      <c r="AK67" s="54"/>
      <c r="AL67" s="54"/>
      <c r="AM67" s="54"/>
      <c r="AN67" s="54"/>
      <c r="AO67" s="54"/>
      <c r="AP67" s="54"/>
      <c r="AQ67" s="54"/>
      <c r="AR67" s="54"/>
      <c r="AS67" s="54"/>
      <c r="AT67" s="54"/>
      <c r="AU67" s="54"/>
      <c r="AV67" s="54"/>
      <c r="AW67" s="196"/>
      <c r="AX67" s="198">
        <v>4120101</v>
      </c>
      <c r="AY67" s="198" t="s">
        <v>1002</v>
      </c>
      <c r="AZ67" s="194" t="s">
        <v>1033</v>
      </c>
      <c r="BA67" s="196"/>
      <c r="BB67" s="196"/>
      <c r="BC67" s="196">
        <v>10</v>
      </c>
      <c r="BD67" s="196"/>
      <c r="BE67" s="196"/>
      <c r="BF67" s="196"/>
      <c r="BG67" s="196"/>
      <c r="BH67" s="196">
        <v>6</v>
      </c>
      <c r="BI67" s="196" t="s">
        <v>251</v>
      </c>
      <c r="BJ67" s="198"/>
      <c r="BK67" s="194" t="s">
        <v>910</v>
      </c>
      <c r="BL67" s="196" t="s">
        <v>815</v>
      </c>
      <c r="BM67" s="196"/>
      <c r="BN67" s="196"/>
    </row>
    <row r="68" spans="1:66" x14ac:dyDescent="0.25">
      <c r="A68" s="557" t="s">
        <v>699</v>
      </c>
      <c r="B68" s="558" t="s">
        <v>703</v>
      </c>
      <c r="C68" s="558" t="s">
        <v>867</v>
      </c>
      <c r="D68" s="558">
        <v>320</v>
      </c>
      <c r="E68" s="558"/>
      <c r="F68" s="558" t="s">
        <v>751</v>
      </c>
      <c r="G68" s="558" t="s">
        <v>747</v>
      </c>
      <c r="H68" s="558" t="s">
        <v>746</v>
      </c>
      <c r="I68" s="558" t="s">
        <v>164</v>
      </c>
      <c r="J68" s="558">
        <v>67</v>
      </c>
      <c r="K68" s="558" t="s">
        <v>894</v>
      </c>
      <c r="L68" s="558"/>
      <c r="M68" s="196"/>
      <c r="N68" s="198"/>
      <c r="O68" s="196"/>
      <c r="P68" s="196"/>
      <c r="Q68" s="196"/>
      <c r="R68" s="196"/>
      <c r="S68" s="196"/>
      <c r="T68" s="196"/>
      <c r="U68" s="196"/>
      <c r="V68" s="196"/>
      <c r="W68" s="196"/>
      <c r="X68" s="196"/>
      <c r="Y68" s="196"/>
      <c r="Z68" s="196"/>
      <c r="AA68" s="196"/>
      <c r="AB68" s="196"/>
      <c r="AC68" s="196"/>
      <c r="AD68" s="196"/>
      <c r="AE68" s="196"/>
      <c r="AF68" s="54"/>
      <c r="AG68" s="54"/>
      <c r="AH68" s="54"/>
      <c r="AI68" s="54"/>
      <c r="AJ68" s="54"/>
      <c r="AK68" s="54"/>
      <c r="AL68" s="54"/>
      <c r="AM68" s="54"/>
      <c r="AN68" s="54"/>
      <c r="AO68" s="54"/>
      <c r="AP68" s="54"/>
      <c r="AQ68" s="54"/>
      <c r="AR68" s="54"/>
      <c r="AS68" s="54"/>
      <c r="AT68" s="54"/>
      <c r="AU68" s="54"/>
      <c r="AV68" s="54"/>
      <c r="AW68" s="196"/>
      <c r="AX68" s="198">
        <v>4120201</v>
      </c>
      <c r="AY68" s="198" t="s">
        <v>1002</v>
      </c>
      <c r="AZ68" s="194" t="s">
        <v>1034</v>
      </c>
      <c r="BA68" s="196"/>
      <c r="BB68" s="196"/>
      <c r="BC68" s="196">
        <v>15</v>
      </c>
      <c r="BD68" s="196"/>
      <c r="BE68" s="196"/>
      <c r="BF68" s="196"/>
      <c r="BG68" s="196"/>
      <c r="BH68" s="196">
        <v>7</v>
      </c>
      <c r="BI68" s="196" t="s">
        <v>251</v>
      </c>
      <c r="BJ68" s="198"/>
      <c r="BK68" s="194" t="s">
        <v>910</v>
      </c>
      <c r="BL68" s="196" t="s">
        <v>815</v>
      </c>
      <c r="BM68" s="196"/>
      <c r="BN68" s="196"/>
    </row>
    <row r="69" spans="1:66" x14ac:dyDescent="0.25">
      <c r="A69" s="557" t="s">
        <v>686</v>
      </c>
      <c r="B69" s="558" t="s">
        <v>704</v>
      </c>
      <c r="C69" s="558" t="s">
        <v>868</v>
      </c>
      <c r="D69" s="558">
        <v>28</v>
      </c>
      <c r="E69" s="558"/>
      <c r="F69" s="558" t="s">
        <v>166</v>
      </c>
      <c r="G69" s="558" t="s">
        <v>744</v>
      </c>
      <c r="H69" s="558" t="s">
        <v>656</v>
      </c>
      <c r="I69" s="558" t="s">
        <v>164</v>
      </c>
      <c r="J69" s="558">
        <v>68</v>
      </c>
      <c r="K69" s="558" t="s">
        <v>894</v>
      </c>
      <c r="L69" s="558"/>
      <c r="M69" s="196"/>
      <c r="N69" s="198"/>
      <c r="O69" s="196"/>
      <c r="P69" s="196"/>
      <c r="Q69" s="196"/>
      <c r="R69" s="196"/>
      <c r="S69" s="196"/>
      <c r="T69" s="196"/>
      <c r="U69" s="196"/>
      <c r="V69" s="196"/>
      <c r="W69" s="196"/>
      <c r="X69" s="196"/>
      <c r="Y69" s="196"/>
      <c r="Z69" s="196"/>
      <c r="AA69" s="196"/>
      <c r="AB69" s="196"/>
      <c r="AC69" s="196"/>
      <c r="AD69" s="196"/>
      <c r="AE69" s="196"/>
      <c r="AF69" s="54"/>
      <c r="AG69" s="54"/>
      <c r="AH69" s="54"/>
      <c r="AI69" s="54"/>
      <c r="AJ69" s="54"/>
      <c r="AK69" s="54"/>
      <c r="AL69" s="54"/>
      <c r="AM69" s="54"/>
      <c r="AN69" s="54"/>
      <c r="AO69" s="54"/>
      <c r="AP69" s="54"/>
      <c r="AQ69" s="54"/>
      <c r="AR69" s="54"/>
      <c r="AS69" s="54"/>
      <c r="AT69" s="54"/>
      <c r="AU69" s="54"/>
      <c r="AV69" s="54"/>
      <c r="AW69" s="196"/>
      <c r="AX69" s="198" t="s">
        <v>2104</v>
      </c>
      <c r="AY69" s="198" t="s">
        <v>1002</v>
      </c>
      <c r="AZ69" s="194" t="s">
        <v>1028</v>
      </c>
      <c r="BA69" s="196"/>
      <c r="BB69" s="196"/>
      <c r="BC69" s="196"/>
      <c r="BD69" s="196"/>
      <c r="BE69" s="196"/>
      <c r="BF69" s="196"/>
      <c r="BG69" s="196"/>
      <c r="BH69" s="196">
        <v>8</v>
      </c>
      <c r="BI69" s="196"/>
      <c r="BJ69" s="198"/>
      <c r="BK69" s="194" t="s">
        <v>910</v>
      </c>
      <c r="BL69" s="196" t="s">
        <v>815</v>
      </c>
      <c r="BM69" s="196"/>
      <c r="BN69" s="196"/>
    </row>
    <row r="70" spans="1:66" x14ac:dyDescent="0.25">
      <c r="A70" s="557" t="s">
        <v>686</v>
      </c>
      <c r="B70" s="558" t="s">
        <v>705</v>
      </c>
      <c r="C70" s="558" t="s">
        <v>869</v>
      </c>
      <c r="D70" s="558">
        <v>56</v>
      </c>
      <c r="E70" s="558"/>
      <c r="F70" s="558" t="s">
        <v>166</v>
      </c>
      <c r="G70" s="558" t="s">
        <v>744</v>
      </c>
      <c r="H70" s="558" t="s">
        <v>742</v>
      </c>
      <c r="I70" s="558" t="s">
        <v>164</v>
      </c>
      <c r="J70" s="558">
        <v>69</v>
      </c>
      <c r="K70" s="558" t="s">
        <v>894</v>
      </c>
      <c r="L70" s="558"/>
      <c r="M70" s="196"/>
      <c r="N70" s="198"/>
      <c r="O70" s="196"/>
      <c r="P70" s="196"/>
      <c r="Q70" s="196"/>
      <c r="R70" s="196"/>
      <c r="S70" s="196"/>
      <c r="T70" s="196"/>
      <c r="U70" s="196"/>
      <c r="V70" s="196"/>
      <c r="W70" s="196"/>
      <c r="X70" s="196"/>
      <c r="Y70" s="196"/>
      <c r="Z70" s="196"/>
      <c r="AA70" s="196"/>
      <c r="AB70" s="196"/>
      <c r="AC70" s="196"/>
      <c r="AD70" s="196"/>
      <c r="AE70" s="196"/>
      <c r="AF70" s="54"/>
      <c r="AG70" s="54"/>
      <c r="AH70" s="54"/>
      <c r="AI70" s="54"/>
      <c r="AJ70" s="54"/>
      <c r="AK70" s="54"/>
      <c r="AL70" s="54"/>
      <c r="AM70" s="54"/>
      <c r="AN70" s="54"/>
      <c r="AO70" s="54"/>
      <c r="AP70" s="54"/>
      <c r="AQ70" s="54"/>
      <c r="AR70" s="54"/>
      <c r="AS70" s="54"/>
      <c r="AT70" s="54"/>
      <c r="AU70" s="54"/>
      <c r="AV70" s="54"/>
      <c r="AW70" s="196"/>
      <c r="AX70" s="198">
        <v>4030100</v>
      </c>
      <c r="AY70" s="54" t="s">
        <v>1019</v>
      </c>
      <c r="AZ70" s="194" t="s">
        <v>835</v>
      </c>
      <c r="BA70" s="196"/>
      <c r="BB70" s="196"/>
      <c r="BC70" s="196">
        <v>12</v>
      </c>
      <c r="BD70" s="196"/>
      <c r="BE70" s="196"/>
      <c r="BF70" s="196"/>
      <c r="BG70" s="196"/>
      <c r="BH70" s="196">
        <v>9</v>
      </c>
      <c r="BI70" s="196" t="s">
        <v>590</v>
      </c>
      <c r="BJ70" s="198"/>
      <c r="BK70" s="194" t="s">
        <v>134</v>
      </c>
      <c r="BL70" s="196" t="s">
        <v>815</v>
      </c>
      <c r="BM70" s="196"/>
      <c r="BN70" s="196"/>
    </row>
    <row r="71" spans="1:66" x14ac:dyDescent="0.25">
      <c r="A71" s="557" t="s">
        <v>686</v>
      </c>
      <c r="B71" s="558" t="s">
        <v>2066</v>
      </c>
      <c r="C71" s="558" t="s">
        <v>2067</v>
      </c>
      <c r="D71" s="558">
        <v>89</v>
      </c>
      <c r="E71" s="558"/>
      <c r="F71" s="558" t="s">
        <v>166</v>
      </c>
      <c r="G71" s="558" t="s">
        <v>744</v>
      </c>
      <c r="H71" s="558" t="s">
        <v>745</v>
      </c>
      <c r="I71" s="558" t="s">
        <v>164</v>
      </c>
      <c r="J71" s="558">
        <v>70</v>
      </c>
      <c r="K71" s="558" t="s">
        <v>894</v>
      </c>
      <c r="L71" s="558"/>
      <c r="M71" s="196"/>
      <c r="N71" s="198"/>
      <c r="O71" s="196"/>
      <c r="P71" s="196"/>
      <c r="Q71" s="196"/>
      <c r="R71" s="196"/>
      <c r="S71" s="196"/>
      <c r="T71" s="196"/>
      <c r="U71" s="196"/>
      <c r="V71" s="196"/>
      <c r="W71" s="196"/>
      <c r="X71" s="196"/>
      <c r="Y71" s="196"/>
      <c r="Z71" s="196"/>
      <c r="AA71" s="196"/>
      <c r="AB71" s="196"/>
      <c r="AC71" s="196"/>
      <c r="AD71" s="196"/>
      <c r="AE71" s="196"/>
      <c r="AF71" s="54"/>
      <c r="AG71" s="54"/>
      <c r="AH71" s="54"/>
      <c r="AI71" s="54"/>
      <c r="AJ71" s="54"/>
      <c r="AK71" s="54"/>
      <c r="AL71" s="54"/>
      <c r="AM71" s="54"/>
      <c r="AN71" s="54"/>
      <c r="AO71" s="54"/>
      <c r="AP71" s="54"/>
      <c r="AQ71" s="54"/>
      <c r="AR71" s="54"/>
      <c r="AS71" s="54"/>
      <c r="AT71" s="54"/>
      <c r="AU71" s="54"/>
      <c r="AV71" s="54"/>
      <c r="AW71" s="196"/>
      <c r="AX71" s="198">
        <v>4030200</v>
      </c>
      <c r="AY71" s="54" t="s">
        <v>1019</v>
      </c>
      <c r="AZ71" s="194" t="s">
        <v>836</v>
      </c>
      <c r="BA71" s="196"/>
      <c r="BB71" s="196"/>
      <c r="BC71" s="196">
        <v>12</v>
      </c>
      <c r="BD71" s="196"/>
      <c r="BE71" s="196"/>
      <c r="BF71" s="196"/>
      <c r="BG71" s="196"/>
      <c r="BH71" s="196">
        <v>10</v>
      </c>
      <c r="BI71" s="196" t="s">
        <v>590</v>
      </c>
      <c r="BJ71" s="198"/>
      <c r="BK71" s="194" t="s">
        <v>134</v>
      </c>
      <c r="BL71" s="196" t="s">
        <v>815</v>
      </c>
      <c r="BM71" s="196"/>
    </row>
    <row r="72" spans="1:66" x14ac:dyDescent="0.25">
      <c r="A72" s="557"/>
      <c r="B72" s="558" t="s">
        <v>1402</v>
      </c>
      <c r="C72" s="558"/>
      <c r="D72" s="558" t="s">
        <v>845</v>
      </c>
      <c r="E72" s="558"/>
      <c r="F72" s="558"/>
      <c r="G72" s="558"/>
      <c r="H72" s="558"/>
      <c r="I72" s="558"/>
      <c r="J72" s="558">
        <v>71</v>
      </c>
      <c r="K72" s="558"/>
      <c r="L72" s="558"/>
      <c r="M72" s="196"/>
      <c r="N72" s="198"/>
      <c r="O72" s="196"/>
      <c r="P72" s="196"/>
      <c r="Q72" s="196"/>
      <c r="R72" s="196"/>
      <c r="S72" s="196"/>
      <c r="T72" s="196"/>
      <c r="U72" s="196"/>
      <c r="V72" s="196"/>
      <c r="W72" s="196"/>
      <c r="X72" s="196"/>
      <c r="Y72" s="196"/>
      <c r="Z72" s="196"/>
      <c r="AA72" s="196"/>
      <c r="AB72" s="196"/>
      <c r="AC72" s="196"/>
      <c r="AD72" s="196"/>
      <c r="AE72" s="196"/>
      <c r="AF72" s="54"/>
      <c r="AG72" s="54"/>
      <c r="AH72" s="54"/>
      <c r="AI72" s="54"/>
      <c r="AJ72" s="54"/>
      <c r="AK72" s="54"/>
      <c r="AL72" s="54"/>
      <c r="AM72" s="54"/>
      <c r="AN72" s="54"/>
      <c r="AO72" s="54"/>
      <c r="AP72" s="54"/>
      <c r="AQ72" s="54"/>
      <c r="AR72" s="54"/>
      <c r="AS72" s="54"/>
      <c r="AT72" s="54"/>
      <c r="AU72" s="54"/>
      <c r="AV72" s="54"/>
      <c r="AW72" s="196"/>
      <c r="AX72" s="198">
        <v>4030300</v>
      </c>
      <c r="AY72" s="54" t="s">
        <v>1019</v>
      </c>
      <c r="AZ72" s="194" t="s">
        <v>838</v>
      </c>
      <c r="BA72" s="196"/>
      <c r="BB72" s="196"/>
      <c r="BC72" s="196">
        <v>15</v>
      </c>
      <c r="BD72" s="196"/>
      <c r="BE72" s="196"/>
      <c r="BF72" s="196"/>
      <c r="BG72" s="196"/>
      <c r="BH72" s="196">
        <v>11</v>
      </c>
      <c r="BI72" s="196" t="s">
        <v>590</v>
      </c>
      <c r="BJ72" s="198"/>
      <c r="BK72" s="194" t="s">
        <v>134</v>
      </c>
      <c r="BL72" s="196" t="s">
        <v>815</v>
      </c>
      <c r="BM72" s="196"/>
    </row>
    <row r="73" spans="1:66" x14ac:dyDescent="0.25">
      <c r="A73" s="193" t="s">
        <v>706</v>
      </c>
      <c r="B73" s="196" t="s">
        <v>2068</v>
      </c>
      <c r="C73" s="560" t="s">
        <v>2069</v>
      </c>
      <c r="D73" s="196">
        <v>28</v>
      </c>
      <c r="E73" s="196"/>
      <c r="F73" s="196" t="s">
        <v>165</v>
      </c>
      <c r="G73" s="196" t="s">
        <v>653</v>
      </c>
      <c r="H73" s="196" t="s">
        <v>656</v>
      </c>
      <c r="I73" s="196" t="s">
        <v>164</v>
      </c>
      <c r="J73" s="558">
        <v>72</v>
      </c>
      <c r="K73" s="196" t="s">
        <v>893</v>
      </c>
      <c r="L73" s="196"/>
      <c r="M73" s="196"/>
      <c r="N73" s="198"/>
      <c r="O73" s="196"/>
      <c r="P73" s="196"/>
      <c r="Q73" s="196"/>
      <c r="R73" s="196"/>
      <c r="S73" s="196"/>
      <c r="T73" s="196"/>
      <c r="U73" s="196"/>
      <c r="V73" s="196"/>
      <c r="W73" s="196"/>
      <c r="X73" s="196"/>
      <c r="Y73" s="196"/>
      <c r="Z73" s="196"/>
      <c r="AA73" s="196"/>
      <c r="AB73" s="196"/>
      <c r="AC73" s="196"/>
      <c r="AD73" s="196"/>
      <c r="AE73" s="196"/>
      <c r="AF73" s="54"/>
      <c r="AG73" s="54"/>
      <c r="AH73" s="54"/>
      <c r="AI73" s="54"/>
      <c r="AJ73" s="54"/>
      <c r="AK73" s="54"/>
      <c r="AL73" s="54"/>
      <c r="AM73" s="54"/>
      <c r="AN73" s="54"/>
      <c r="AO73" s="54"/>
      <c r="AP73" s="54"/>
      <c r="AQ73" s="54"/>
      <c r="AR73" s="54"/>
      <c r="AS73" s="54"/>
      <c r="AT73" s="54"/>
      <c r="AU73" s="54"/>
      <c r="AV73" s="54"/>
      <c r="AW73" s="196"/>
      <c r="AX73" s="198">
        <v>4030400</v>
      </c>
      <c r="AY73" s="54" t="s">
        <v>1019</v>
      </c>
      <c r="AZ73" s="194" t="s">
        <v>837</v>
      </c>
      <c r="BA73" s="196"/>
      <c r="BB73" s="196"/>
      <c r="BC73" s="196">
        <v>12</v>
      </c>
      <c r="BD73" s="196"/>
      <c r="BE73" s="196"/>
      <c r="BF73" s="196"/>
      <c r="BG73" s="196"/>
      <c r="BH73" s="196">
        <v>12</v>
      </c>
      <c r="BI73" s="196" t="s">
        <v>590</v>
      </c>
      <c r="BJ73" s="198"/>
      <c r="BK73" s="194" t="s">
        <v>134</v>
      </c>
      <c r="BL73" s="196" t="s">
        <v>815</v>
      </c>
      <c r="BM73" s="196"/>
      <c r="BN73" s="196"/>
    </row>
    <row r="74" spans="1:66" x14ac:dyDescent="0.25">
      <c r="A74" s="193" t="s">
        <v>706</v>
      </c>
      <c r="B74" s="196" t="s">
        <v>2070</v>
      </c>
      <c r="C74" s="560" t="s">
        <v>2071</v>
      </c>
      <c r="D74" s="196">
        <v>54</v>
      </c>
      <c r="E74" s="196"/>
      <c r="F74" s="196" t="s">
        <v>165</v>
      </c>
      <c r="G74" s="196" t="s">
        <v>653</v>
      </c>
      <c r="H74" s="196" t="s">
        <v>742</v>
      </c>
      <c r="I74" s="196" t="s">
        <v>164</v>
      </c>
      <c r="J74" s="558">
        <v>73</v>
      </c>
      <c r="K74" s="196" t="s">
        <v>893</v>
      </c>
      <c r="L74" s="196"/>
      <c r="M74" s="196"/>
      <c r="N74" s="198"/>
      <c r="O74" s="196"/>
      <c r="P74" s="196"/>
      <c r="Q74" s="196"/>
      <c r="R74" s="196"/>
      <c r="S74" s="196"/>
      <c r="T74" s="196"/>
      <c r="U74" s="196"/>
      <c r="V74" s="196"/>
      <c r="W74" s="196"/>
      <c r="X74" s="196"/>
      <c r="Y74" s="196"/>
      <c r="Z74" s="196"/>
      <c r="AA74" s="196"/>
      <c r="AB74" s="196"/>
      <c r="AC74" s="196"/>
      <c r="AD74" s="196"/>
      <c r="AE74" s="196"/>
      <c r="AF74" s="54"/>
      <c r="AG74" s="54"/>
      <c r="AH74" s="54"/>
      <c r="AI74" s="54"/>
      <c r="AJ74" s="54"/>
      <c r="AK74" s="54"/>
      <c r="AL74" s="54"/>
      <c r="AM74" s="54"/>
      <c r="AN74" s="54"/>
      <c r="AO74" s="54"/>
      <c r="AP74" s="54"/>
      <c r="AQ74" s="54"/>
      <c r="AR74" s="54"/>
      <c r="AS74" s="54"/>
      <c r="AT74" s="54"/>
      <c r="AU74" s="54"/>
      <c r="AV74" s="54"/>
      <c r="AW74" s="196"/>
      <c r="AX74" s="193" t="s">
        <v>2105</v>
      </c>
      <c r="AY74" s="54" t="s">
        <v>1019</v>
      </c>
      <c r="AZ74" s="194" t="s">
        <v>834</v>
      </c>
      <c r="BA74" s="196"/>
      <c r="BB74" s="196"/>
      <c r="BC74" s="196">
        <v>12</v>
      </c>
      <c r="BD74" s="196"/>
      <c r="BE74" s="196"/>
      <c r="BF74" s="196"/>
      <c r="BG74" s="196"/>
      <c r="BH74" s="196">
        <v>13</v>
      </c>
      <c r="BI74" s="196" t="s">
        <v>590</v>
      </c>
      <c r="BJ74" s="198"/>
      <c r="BK74" s="194" t="s">
        <v>134</v>
      </c>
      <c r="BL74" s="196" t="s">
        <v>815</v>
      </c>
      <c r="BM74" s="196"/>
      <c r="BN74" s="196"/>
    </row>
    <row r="75" spans="1:66" x14ac:dyDescent="0.25">
      <c r="A75" s="557" t="s">
        <v>706</v>
      </c>
      <c r="B75" s="558" t="s">
        <v>989</v>
      </c>
      <c r="C75" s="560" t="s">
        <v>2072</v>
      </c>
      <c r="D75" s="558">
        <v>32</v>
      </c>
      <c r="E75" s="558"/>
      <c r="F75" s="558" t="s">
        <v>165</v>
      </c>
      <c r="G75" s="558" t="s">
        <v>744</v>
      </c>
      <c r="H75" s="558" t="s">
        <v>656</v>
      </c>
      <c r="I75" s="558" t="s">
        <v>164</v>
      </c>
      <c r="J75" s="558">
        <v>74</v>
      </c>
      <c r="K75" s="558" t="s">
        <v>893</v>
      </c>
      <c r="L75" s="558"/>
      <c r="M75" s="196"/>
      <c r="N75" s="198"/>
      <c r="O75" s="196"/>
      <c r="P75" s="196"/>
      <c r="Q75" s="196"/>
      <c r="R75" s="196"/>
      <c r="S75" s="196"/>
      <c r="T75" s="196"/>
      <c r="U75" s="196"/>
      <c r="V75" s="196"/>
      <c r="W75" s="196"/>
      <c r="X75" s="196"/>
      <c r="Y75" s="196"/>
      <c r="Z75" s="196"/>
      <c r="AA75" s="196"/>
      <c r="AB75" s="196"/>
      <c r="AC75" s="196"/>
      <c r="AD75" s="196"/>
      <c r="AE75" s="196"/>
      <c r="AF75" s="54"/>
      <c r="AG75" s="54"/>
      <c r="AH75" s="54"/>
      <c r="AI75" s="54"/>
      <c r="AJ75" s="54"/>
      <c r="AK75" s="54"/>
      <c r="AL75" s="54"/>
      <c r="AM75" s="54"/>
      <c r="AN75" s="54"/>
      <c r="AO75" s="54"/>
      <c r="AP75" s="54"/>
      <c r="AQ75" s="54"/>
      <c r="AR75" s="54"/>
      <c r="AS75" s="54"/>
      <c r="AT75" s="54"/>
      <c r="AU75" s="54"/>
      <c r="AV75" s="54"/>
      <c r="AW75" s="196"/>
      <c r="AX75" s="198">
        <v>4120100</v>
      </c>
      <c r="AY75" s="54" t="s">
        <v>1019</v>
      </c>
      <c r="AZ75" s="194" t="s">
        <v>817</v>
      </c>
      <c r="BA75" s="196"/>
      <c r="BB75" s="196"/>
      <c r="BC75" s="196">
        <v>10</v>
      </c>
      <c r="BD75" s="196"/>
      <c r="BE75" s="196"/>
      <c r="BF75" s="196"/>
      <c r="BG75" s="196"/>
      <c r="BH75" s="196">
        <v>14</v>
      </c>
      <c r="BI75" s="196" t="s">
        <v>251</v>
      </c>
      <c r="BJ75" s="198"/>
      <c r="BK75" s="194" t="s">
        <v>134</v>
      </c>
      <c r="BL75" s="196" t="s">
        <v>815</v>
      </c>
      <c r="BM75" s="196"/>
      <c r="BN75" s="196"/>
    </row>
    <row r="76" spans="1:66" x14ac:dyDescent="0.25">
      <c r="A76" s="557" t="s">
        <v>706</v>
      </c>
      <c r="B76" s="558" t="s">
        <v>990</v>
      </c>
      <c r="C76" s="560" t="s">
        <v>2073</v>
      </c>
      <c r="D76" s="558">
        <v>64</v>
      </c>
      <c r="E76" s="558"/>
      <c r="F76" s="558" t="s">
        <v>165</v>
      </c>
      <c r="G76" s="558" t="s">
        <v>744</v>
      </c>
      <c r="H76" s="558" t="s">
        <v>742</v>
      </c>
      <c r="I76" s="558" t="s">
        <v>164</v>
      </c>
      <c r="J76" s="558">
        <v>75</v>
      </c>
      <c r="K76" s="558" t="s">
        <v>893</v>
      </c>
      <c r="L76" s="558"/>
      <c r="M76" s="196"/>
      <c r="N76" s="198"/>
      <c r="O76" s="196"/>
      <c r="P76" s="196"/>
      <c r="Q76" s="196"/>
      <c r="R76" s="196"/>
      <c r="S76" s="196"/>
      <c r="T76" s="196"/>
      <c r="U76" s="196"/>
      <c r="V76" s="196"/>
      <c r="W76" s="196"/>
      <c r="X76" s="196"/>
      <c r="Y76" s="196"/>
      <c r="Z76" s="196"/>
      <c r="AA76" s="196"/>
      <c r="AB76" s="196"/>
      <c r="AC76" s="196"/>
      <c r="AD76" s="196"/>
      <c r="AE76" s="196"/>
      <c r="AF76" s="54"/>
      <c r="AG76" s="54"/>
      <c r="AH76" s="54"/>
      <c r="AI76" s="54"/>
      <c r="AJ76" s="54"/>
      <c r="AK76" s="54"/>
      <c r="AL76" s="54"/>
      <c r="AM76" s="54"/>
      <c r="AN76" s="54"/>
      <c r="AO76" s="54"/>
      <c r="AP76" s="54"/>
      <c r="AQ76" s="54"/>
      <c r="AR76" s="54"/>
      <c r="AS76" s="54"/>
      <c r="AT76" s="54"/>
      <c r="AU76" s="54"/>
      <c r="AV76" s="54"/>
      <c r="AW76" s="196"/>
      <c r="AX76" s="198">
        <v>4120200</v>
      </c>
      <c r="AY76" s="54" t="s">
        <v>1019</v>
      </c>
      <c r="AZ76" s="194" t="s">
        <v>816</v>
      </c>
      <c r="BA76" s="196"/>
      <c r="BB76" s="196"/>
      <c r="BC76" s="196">
        <v>15</v>
      </c>
      <c r="BD76" s="196"/>
      <c r="BE76" s="196"/>
      <c r="BF76" s="196"/>
      <c r="BG76" s="196"/>
      <c r="BH76" s="196">
        <v>15</v>
      </c>
      <c r="BI76" s="196" t="s">
        <v>251</v>
      </c>
      <c r="BJ76" s="198"/>
      <c r="BK76" s="194" t="s">
        <v>134</v>
      </c>
      <c r="BL76" s="196" t="s">
        <v>815</v>
      </c>
      <c r="BM76" s="196"/>
      <c r="BN76" s="194" t="s">
        <v>1078</v>
      </c>
    </row>
    <row r="77" spans="1:66" x14ac:dyDescent="0.25">
      <c r="A77" s="557" t="s">
        <v>706</v>
      </c>
      <c r="B77" s="558" t="s">
        <v>2074</v>
      </c>
      <c r="C77" s="560" t="s">
        <v>2075</v>
      </c>
      <c r="D77" s="558">
        <v>96</v>
      </c>
      <c r="E77" s="558"/>
      <c r="F77" s="558" t="s">
        <v>165</v>
      </c>
      <c r="G77" s="558" t="s">
        <v>744</v>
      </c>
      <c r="H77" s="558" t="s">
        <v>745</v>
      </c>
      <c r="I77" s="558" t="s">
        <v>164</v>
      </c>
      <c r="J77" s="558">
        <v>76</v>
      </c>
      <c r="K77" s="558" t="s">
        <v>893</v>
      </c>
      <c r="L77" s="558"/>
      <c r="M77" s="196"/>
      <c r="N77" s="198"/>
      <c r="O77" s="196"/>
      <c r="P77" s="196"/>
      <c r="Q77" s="196"/>
      <c r="R77" s="196"/>
      <c r="S77" s="196"/>
      <c r="T77" s="196"/>
      <c r="U77" s="196"/>
      <c r="V77" s="196"/>
      <c r="W77" s="196"/>
      <c r="X77" s="196"/>
      <c r="Y77" s="196"/>
      <c r="Z77" s="196"/>
      <c r="AA77" s="196"/>
      <c r="AB77" s="196"/>
      <c r="AC77" s="196"/>
      <c r="AD77" s="196"/>
      <c r="AE77" s="196"/>
      <c r="AF77" s="54"/>
      <c r="AG77" s="54"/>
      <c r="AH77" s="54"/>
      <c r="AI77" s="54"/>
      <c r="AJ77" s="54"/>
      <c r="AK77" s="54"/>
      <c r="AL77" s="54"/>
      <c r="AM77" s="54"/>
      <c r="AN77" s="54"/>
      <c r="AO77" s="54"/>
      <c r="AP77" s="54"/>
      <c r="AQ77" s="54"/>
      <c r="AR77" s="54"/>
      <c r="AS77" s="54"/>
      <c r="AT77" s="54"/>
      <c r="AU77" s="54"/>
      <c r="AV77" s="54"/>
      <c r="AW77" s="196"/>
      <c r="AX77" s="193" t="s">
        <v>2106</v>
      </c>
      <c r="AY77" s="54" t="s">
        <v>1019</v>
      </c>
      <c r="AZ77" s="194" t="s">
        <v>1027</v>
      </c>
      <c r="BA77" s="194"/>
      <c r="BB77" s="194"/>
      <c r="BC77" s="194"/>
      <c r="BD77" s="194"/>
      <c r="BE77" s="194"/>
      <c r="BF77" s="194"/>
      <c r="BG77" s="194"/>
      <c r="BH77" s="196">
        <v>16</v>
      </c>
      <c r="BI77" s="194"/>
      <c r="BJ77" s="193"/>
      <c r="BK77" s="194" t="s">
        <v>134</v>
      </c>
      <c r="BL77" s="194" t="s">
        <v>815</v>
      </c>
      <c r="BM77" s="196"/>
      <c r="BN77" s="196"/>
    </row>
    <row r="78" spans="1:66" x14ac:dyDescent="0.25">
      <c r="A78" s="557" t="s">
        <v>706</v>
      </c>
      <c r="B78" s="558" t="s">
        <v>991</v>
      </c>
      <c r="C78" s="560" t="s">
        <v>2076</v>
      </c>
      <c r="D78" s="558">
        <v>128</v>
      </c>
      <c r="E78" s="558"/>
      <c r="F78" s="558" t="s">
        <v>165</v>
      </c>
      <c r="G78" s="558" t="s">
        <v>744</v>
      </c>
      <c r="H78" s="558" t="s">
        <v>746</v>
      </c>
      <c r="I78" s="558" t="s">
        <v>164</v>
      </c>
      <c r="J78" s="558">
        <v>77</v>
      </c>
      <c r="K78" s="558" t="s">
        <v>893</v>
      </c>
      <c r="L78" s="558"/>
      <c r="M78" s="196"/>
      <c r="N78" s="198"/>
      <c r="O78" s="196"/>
      <c r="P78" s="196"/>
      <c r="Q78" s="196"/>
      <c r="R78" s="196"/>
      <c r="S78" s="196"/>
      <c r="T78" s="196"/>
      <c r="U78" s="196"/>
      <c r="V78" s="196"/>
      <c r="W78" s="196"/>
      <c r="X78" s="196"/>
      <c r="Y78" s="196"/>
      <c r="Z78" s="196"/>
      <c r="AA78" s="196"/>
      <c r="AB78" s="196"/>
      <c r="AC78" s="196"/>
      <c r="AD78" s="196"/>
      <c r="AE78" s="196"/>
      <c r="AF78" s="54"/>
      <c r="AG78" s="54"/>
      <c r="AH78" s="54"/>
      <c r="AI78" s="54"/>
      <c r="AJ78" s="54"/>
      <c r="AK78" s="54"/>
      <c r="AL78" s="54"/>
      <c r="AM78" s="54"/>
      <c r="AN78" s="54"/>
      <c r="AO78" s="54"/>
      <c r="AP78" s="54"/>
      <c r="AQ78" s="54"/>
      <c r="AR78" s="54"/>
      <c r="AS78" s="54"/>
      <c r="AT78" s="54"/>
      <c r="AU78" s="54"/>
      <c r="AV78" s="54"/>
      <c r="AW78" s="196"/>
      <c r="AX78" s="198"/>
      <c r="AY78" s="196"/>
      <c r="AZ78" s="196"/>
      <c r="BA78" s="196"/>
      <c r="BB78" s="196"/>
      <c r="BC78" s="196"/>
      <c r="BD78" s="196"/>
      <c r="BE78" s="196"/>
      <c r="BF78" s="196"/>
      <c r="BG78" s="196"/>
      <c r="BH78" s="196"/>
      <c r="BI78" s="196"/>
      <c r="BJ78" s="196"/>
      <c r="BK78" s="196"/>
      <c r="BL78" s="196"/>
      <c r="BM78" s="196"/>
      <c r="BN78" s="196"/>
    </row>
    <row r="79" spans="1:66" x14ac:dyDescent="0.25">
      <c r="A79" s="557" t="s">
        <v>706</v>
      </c>
      <c r="B79" s="558" t="s">
        <v>992</v>
      </c>
      <c r="C79" s="560" t="s">
        <v>2077</v>
      </c>
      <c r="D79" s="558">
        <v>192</v>
      </c>
      <c r="E79" s="558"/>
      <c r="F79" s="558" t="s">
        <v>165</v>
      </c>
      <c r="G79" s="558" t="s">
        <v>744</v>
      </c>
      <c r="H79" s="558" t="s">
        <v>752</v>
      </c>
      <c r="I79" s="558" t="s">
        <v>164</v>
      </c>
      <c r="J79" s="558">
        <v>78</v>
      </c>
      <c r="K79" s="558" t="s">
        <v>894</v>
      </c>
      <c r="L79" s="558"/>
      <c r="M79" s="196"/>
      <c r="N79" s="198"/>
      <c r="O79" s="196"/>
      <c r="P79" s="196"/>
      <c r="Q79" s="196"/>
      <c r="R79" s="196"/>
      <c r="S79" s="196"/>
      <c r="T79" s="196"/>
      <c r="U79" s="196"/>
      <c r="V79" s="196"/>
      <c r="W79" s="196"/>
      <c r="X79" s="196"/>
      <c r="Y79" s="196"/>
      <c r="Z79" s="196"/>
      <c r="AA79" s="196"/>
      <c r="AB79" s="196"/>
      <c r="AC79" s="196"/>
      <c r="AD79" s="196"/>
      <c r="AE79" s="196"/>
      <c r="AF79" s="54"/>
      <c r="AG79" s="54"/>
      <c r="AH79" s="54"/>
      <c r="AI79" s="54"/>
      <c r="AJ79" s="54"/>
      <c r="AK79" s="54"/>
      <c r="AL79" s="54"/>
      <c r="AM79" s="54"/>
      <c r="AN79" s="54"/>
      <c r="AO79" s="54"/>
      <c r="AP79" s="54"/>
      <c r="AQ79" s="54"/>
      <c r="AR79" s="54"/>
      <c r="AS79" s="54"/>
      <c r="AT79" s="54"/>
      <c r="AU79" s="54"/>
      <c r="AV79" s="54"/>
      <c r="AW79" s="196"/>
      <c r="AX79" s="198" t="s">
        <v>141</v>
      </c>
      <c r="AY79" s="198" t="s">
        <v>1004</v>
      </c>
      <c r="AZ79" s="196" t="s">
        <v>832</v>
      </c>
      <c r="BA79" s="196" t="s">
        <v>833</v>
      </c>
      <c r="BB79" s="194" t="s">
        <v>1021</v>
      </c>
      <c r="BC79" s="196" t="s">
        <v>152</v>
      </c>
      <c r="BD79" s="196" t="s">
        <v>144</v>
      </c>
      <c r="BE79" s="196" t="s">
        <v>654</v>
      </c>
      <c r="BF79" s="196" t="s">
        <v>655</v>
      </c>
      <c r="BG79" s="196" t="s">
        <v>800</v>
      </c>
      <c r="BH79" s="196" t="s">
        <v>659</v>
      </c>
      <c r="BI79" s="196" t="s">
        <v>799</v>
      </c>
      <c r="BJ79" s="196" t="s">
        <v>636</v>
      </c>
      <c r="BK79" s="194" t="s">
        <v>1074</v>
      </c>
      <c r="BL79" s="196" t="s">
        <v>798</v>
      </c>
      <c r="BM79" s="196"/>
      <c r="BN79" s="196"/>
    </row>
    <row r="80" spans="1:66" x14ac:dyDescent="0.25">
      <c r="A80" s="557" t="s">
        <v>706</v>
      </c>
      <c r="B80" s="558" t="s">
        <v>2078</v>
      </c>
      <c r="C80" s="560" t="s">
        <v>2079</v>
      </c>
      <c r="D80" s="558">
        <v>256</v>
      </c>
      <c r="E80" s="558"/>
      <c r="F80" s="558" t="s">
        <v>165</v>
      </c>
      <c r="G80" s="558" t="s">
        <v>744</v>
      </c>
      <c r="H80" s="558" t="s">
        <v>753</v>
      </c>
      <c r="I80" s="558" t="s">
        <v>164</v>
      </c>
      <c r="J80" s="558">
        <v>79</v>
      </c>
      <c r="K80" s="558" t="s">
        <v>894</v>
      </c>
      <c r="L80" s="558"/>
      <c r="M80" s="196"/>
      <c r="N80" s="198"/>
      <c r="O80" s="196"/>
      <c r="P80" s="196"/>
      <c r="Q80" s="196"/>
      <c r="R80" s="196"/>
      <c r="S80" s="196"/>
      <c r="T80" s="196"/>
      <c r="U80" s="196"/>
      <c r="V80" s="196"/>
      <c r="W80" s="196"/>
      <c r="X80" s="196"/>
      <c r="Y80" s="196"/>
      <c r="Z80" s="196"/>
      <c r="AA80" s="196"/>
      <c r="AB80" s="196"/>
      <c r="AC80" s="196"/>
      <c r="AD80" s="196"/>
      <c r="AE80" s="196"/>
      <c r="AF80" s="54"/>
      <c r="AG80" s="54"/>
      <c r="AH80" s="54"/>
      <c r="AI80" s="54"/>
      <c r="AJ80" s="54"/>
      <c r="AK80" s="54"/>
      <c r="AL80" s="54"/>
      <c r="AM80" s="54"/>
      <c r="AN80" s="54"/>
      <c r="AO80" s="54"/>
      <c r="AP80" s="54"/>
      <c r="AQ80" s="54"/>
      <c r="AR80" s="54"/>
      <c r="AS80" s="54"/>
      <c r="AT80" s="54"/>
      <c r="AU80" s="54"/>
      <c r="AV80" s="54"/>
      <c r="AW80" s="196"/>
      <c r="AX80" s="193" t="s">
        <v>2107</v>
      </c>
      <c r="AY80" s="198" t="s">
        <v>1002</v>
      </c>
      <c r="AZ80" s="194" t="s">
        <v>1350</v>
      </c>
      <c r="BA80" s="194"/>
      <c r="BB80" s="194"/>
      <c r="BC80" s="194">
        <v>15</v>
      </c>
      <c r="BD80" s="194"/>
      <c r="BE80" s="194"/>
      <c r="BF80" s="194"/>
      <c r="BG80" s="194"/>
      <c r="BH80" s="194">
        <v>1</v>
      </c>
      <c r="BI80" s="196" t="s">
        <v>588</v>
      </c>
      <c r="BJ80" s="193"/>
      <c r="BK80" s="194" t="s">
        <v>910</v>
      </c>
      <c r="BL80" s="196" t="s">
        <v>818</v>
      </c>
      <c r="BM80" s="196"/>
      <c r="BN80" s="196"/>
    </row>
    <row r="81" spans="1:66" x14ac:dyDescent="0.25">
      <c r="A81" s="198" t="s">
        <v>706</v>
      </c>
      <c r="B81" s="194" t="s">
        <v>2080</v>
      </c>
      <c r="C81" s="560" t="s">
        <v>2081</v>
      </c>
      <c r="D81" s="196">
        <v>40</v>
      </c>
      <c r="E81" s="196"/>
      <c r="F81" s="196" t="s">
        <v>165</v>
      </c>
      <c r="G81" s="196" t="s">
        <v>2021</v>
      </c>
      <c r="H81" s="196" t="s">
        <v>656</v>
      </c>
      <c r="I81" s="196" t="s">
        <v>164</v>
      </c>
      <c r="J81" s="558">
        <v>80</v>
      </c>
      <c r="K81" s="196" t="s">
        <v>2022</v>
      </c>
      <c r="L81" s="196"/>
      <c r="M81" s="196"/>
      <c r="N81" s="198"/>
      <c r="O81" s="196"/>
      <c r="P81" s="196"/>
      <c r="Q81" s="196"/>
      <c r="R81" s="196"/>
      <c r="S81" s="196"/>
      <c r="T81" s="196"/>
      <c r="U81" s="196"/>
      <c r="V81" s="196"/>
      <c r="W81" s="196"/>
      <c r="X81" s="196"/>
      <c r="Y81" s="196"/>
      <c r="Z81" s="196"/>
      <c r="AA81" s="196"/>
      <c r="AB81" s="196"/>
      <c r="AC81" s="196"/>
      <c r="AD81" s="196"/>
      <c r="AE81" s="196"/>
      <c r="AF81" s="54"/>
      <c r="AG81" s="54"/>
      <c r="AH81" s="54"/>
      <c r="AI81" s="54"/>
      <c r="AJ81" s="54"/>
      <c r="AK81" s="54"/>
      <c r="AL81" s="54"/>
      <c r="AM81" s="54"/>
      <c r="AN81" s="54"/>
      <c r="AO81" s="54"/>
      <c r="AP81" s="54"/>
      <c r="AQ81" s="54"/>
      <c r="AR81" s="54"/>
      <c r="AS81" s="54"/>
      <c r="AT81" s="54"/>
      <c r="AU81" s="54"/>
      <c r="AV81" s="54"/>
      <c r="AW81" s="196"/>
      <c r="AX81" s="198" t="s">
        <v>2108</v>
      </c>
      <c r="AY81" s="198" t="s">
        <v>1002</v>
      </c>
      <c r="AZ81" s="194" t="s">
        <v>1037</v>
      </c>
      <c r="BA81" s="196"/>
      <c r="BB81" s="196"/>
      <c r="BC81" s="196">
        <v>10</v>
      </c>
      <c r="BD81" s="196"/>
      <c r="BE81" s="196"/>
      <c r="BF81" s="196"/>
      <c r="BG81" s="196"/>
      <c r="BH81" s="196">
        <v>2</v>
      </c>
      <c r="BI81" s="196" t="s">
        <v>588</v>
      </c>
      <c r="BJ81" s="198"/>
      <c r="BK81" s="194" t="s">
        <v>910</v>
      </c>
      <c r="BL81" s="196" t="s">
        <v>818</v>
      </c>
      <c r="BM81" s="196"/>
      <c r="BN81" s="196"/>
    </row>
    <row r="82" spans="1:66" x14ac:dyDescent="0.25">
      <c r="A82" s="198" t="s">
        <v>706</v>
      </c>
      <c r="B82" s="194" t="s">
        <v>2082</v>
      </c>
      <c r="C82" s="560" t="s">
        <v>2083</v>
      </c>
      <c r="D82" s="196">
        <v>77</v>
      </c>
      <c r="E82" s="196"/>
      <c r="F82" s="196" t="s">
        <v>165</v>
      </c>
      <c r="G82" s="196" t="s">
        <v>2021</v>
      </c>
      <c r="H82" s="196" t="s">
        <v>742</v>
      </c>
      <c r="I82" s="196" t="s">
        <v>164</v>
      </c>
      <c r="J82" s="558">
        <v>81</v>
      </c>
      <c r="K82" s="196" t="s">
        <v>2022</v>
      </c>
      <c r="L82" s="196"/>
      <c r="M82" s="196"/>
      <c r="N82" s="198"/>
      <c r="O82" s="196"/>
      <c r="P82" s="196"/>
      <c r="Q82" s="196"/>
      <c r="R82" s="196"/>
      <c r="S82" s="196"/>
      <c r="T82" s="196"/>
      <c r="U82" s="196"/>
      <c r="V82" s="196"/>
      <c r="W82" s="196"/>
      <c r="X82" s="196"/>
      <c r="Y82" s="196"/>
      <c r="Z82" s="196"/>
      <c r="AA82" s="196"/>
      <c r="AB82" s="196"/>
      <c r="AC82" s="196"/>
      <c r="AD82" s="196"/>
      <c r="AE82" s="196"/>
      <c r="AF82" s="54"/>
      <c r="AG82" s="54"/>
      <c r="AH82" s="54"/>
      <c r="AI82" s="54"/>
      <c r="AJ82" s="54"/>
      <c r="AK82" s="54"/>
      <c r="AL82" s="54"/>
      <c r="AM82" s="54"/>
      <c r="AN82" s="54"/>
      <c r="AO82" s="54"/>
      <c r="AP82" s="54"/>
      <c r="AQ82" s="54"/>
      <c r="AR82" s="54"/>
      <c r="AS82" s="54"/>
      <c r="AT82" s="54"/>
      <c r="AU82" s="54"/>
      <c r="AV82" s="54"/>
      <c r="AW82" s="196"/>
      <c r="AX82" s="198" t="s">
        <v>2109</v>
      </c>
      <c r="AY82" s="198" t="s">
        <v>1002</v>
      </c>
      <c r="AZ82" s="194" t="s">
        <v>1038</v>
      </c>
      <c r="BA82" s="196"/>
      <c r="BB82" s="196"/>
      <c r="BC82" s="196">
        <v>15</v>
      </c>
      <c r="BD82" s="196"/>
      <c r="BE82" s="196"/>
      <c r="BF82" s="196"/>
      <c r="BG82" s="196"/>
      <c r="BH82" s="196">
        <v>3</v>
      </c>
      <c r="BI82" s="196" t="s">
        <v>248</v>
      </c>
      <c r="BJ82" s="198"/>
      <c r="BK82" s="194" t="s">
        <v>910</v>
      </c>
      <c r="BL82" s="196" t="s">
        <v>818</v>
      </c>
      <c r="BM82" s="196"/>
      <c r="BN82" s="196"/>
    </row>
    <row r="83" spans="1:66" x14ac:dyDescent="0.25">
      <c r="A83" s="557" t="s">
        <v>707</v>
      </c>
      <c r="B83" s="560" t="s">
        <v>895</v>
      </c>
      <c r="C83" s="560" t="s">
        <v>209</v>
      </c>
      <c r="D83" s="560">
        <v>59</v>
      </c>
      <c r="E83" s="560"/>
      <c r="F83" s="560" t="s">
        <v>901</v>
      </c>
      <c r="G83" s="560" t="s">
        <v>744</v>
      </c>
      <c r="H83" s="560" t="s">
        <v>656</v>
      </c>
      <c r="I83" s="560" t="s">
        <v>164</v>
      </c>
      <c r="J83" s="558">
        <v>82</v>
      </c>
      <c r="K83" s="558" t="s">
        <v>893</v>
      </c>
      <c r="L83" s="558"/>
      <c r="M83" s="196"/>
      <c r="N83" s="198"/>
      <c r="O83" s="196"/>
      <c r="P83" s="196"/>
      <c r="Q83" s="196"/>
      <c r="R83" s="196"/>
      <c r="S83" s="196"/>
      <c r="T83" s="196"/>
      <c r="U83" s="196"/>
      <c r="V83" s="196"/>
      <c r="W83" s="196"/>
      <c r="X83" s="196"/>
      <c r="Y83" s="196"/>
      <c r="Z83" s="196"/>
      <c r="AA83" s="196"/>
      <c r="AB83" s="196"/>
      <c r="AC83" s="196"/>
      <c r="AD83" s="196"/>
      <c r="AE83" s="196"/>
      <c r="AF83" s="196"/>
      <c r="AG83" s="54"/>
      <c r="AH83" s="54"/>
      <c r="AI83" s="54"/>
      <c r="AJ83" s="54"/>
      <c r="AK83" s="54"/>
      <c r="AL83" s="54"/>
      <c r="AM83" s="54"/>
      <c r="AN83" s="54"/>
      <c r="AO83" s="54"/>
      <c r="AP83" s="54"/>
      <c r="AQ83" s="54"/>
      <c r="AR83" s="54"/>
      <c r="AS83" s="54"/>
      <c r="AT83" s="54"/>
      <c r="AU83" s="54"/>
      <c r="AV83" s="54"/>
      <c r="AW83" s="196"/>
      <c r="AX83" s="198" t="s">
        <v>2110</v>
      </c>
      <c r="AY83" s="198" t="s">
        <v>1002</v>
      </c>
      <c r="AZ83" s="194" t="s">
        <v>1042</v>
      </c>
      <c r="BA83" s="196"/>
      <c r="BB83" s="196"/>
      <c r="BC83" s="196">
        <v>15</v>
      </c>
      <c r="BD83" s="196"/>
      <c r="BE83" s="196"/>
      <c r="BF83" s="196"/>
      <c r="BG83" s="196"/>
      <c r="BH83" s="194">
        <v>4</v>
      </c>
      <c r="BI83" s="196" t="s">
        <v>588</v>
      </c>
      <c r="BJ83" s="198"/>
      <c r="BK83" s="194" t="s">
        <v>910</v>
      </c>
      <c r="BL83" s="196" t="s">
        <v>818</v>
      </c>
      <c r="BM83" s="196"/>
      <c r="BN83" s="196"/>
    </row>
    <row r="84" spans="1:66" x14ac:dyDescent="0.25">
      <c r="A84" s="557" t="s">
        <v>707</v>
      </c>
      <c r="B84" s="560" t="s">
        <v>896</v>
      </c>
      <c r="C84" s="560" t="s">
        <v>210</v>
      </c>
      <c r="D84" s="560">
        <v>120</v>
      </c>
      <c r="E84" s="560"/>
      <c r="F84" s="560" t="s">
        <v>901</v>
      </c>
      <c r="G84" s="560" t="s">
        <v>744</v>
      </c>
      <c r="H84" s="560" t="s">
        <v>742</v>
      </c>
      <c r="I84" s="560" t="s">
        <v>164</v>
      </c>
      <c r="J84" s="558">
        <v>83</v>
      </c>
      <c r="K84" s="558" t="s">
        <v>893</v>
      </c>
      <c r="L84" s="558"/>
      <c r="M84" s="196"/>
      <c r="N84" s="198"/>
      <c r="O84" s="196"/>
      <c r="P84" s="196"/>
      <c r="Q84" s="196"/>
      <c r="R84" s="196"/>
      <c r="S84" s="196"/>
      <c r="T84" s="196"/>
      <c r="U84" s="196"/>
      <c r="V84" s="196"/>
      <c r="W84" s="196"/>
      <c r="X84" s="196"/>
      <c r="Y84" s="196"/>
      <c r="Z84" s="196"/>
      <c r="AA84" s="196"/>
      <c r="AB84" s="196"/>
      <c r="AC84" s="196"/>
      <c r="AD84" s="196"/>
      <c r="AE84" s="196"/>
      <c r="AF84" s="196"/>
      <c r="AG84" s="196"/>
      <c r="AH84" s="54"/>
      <c r="AI84" s="54"/>
      <c r="AJ84" s="54"/>
      <c r="AK84" s="54"/>
      <c r="AL84" s="54"/>
      <c r="AM84" s="54"/>
      <c r="AN84" s="54"/>
      <c r="AO84" s="196"/>
      <c r="AP84" s="196"/>
      <c r="AQ84" s="196"/>
      <c r="AR84" s="196"/>
      <c r="AS84" s="196"/>
      <c r="AT84" s="196"/>
      <c r="AU84" s="196"/>
      <c r="AV84" s="196"/>
      <c r="AW84" s="196"/>
      <c r="AX84" s="198" t="s">
        <v>2111</v>
      </c>
      <c r="AY84" s="198" t="s">
        <v>1002</v>
      </c>
      <c r="AZ84" s="194" t="s">
        <v>1039</v>
      </c>
      <c r="BA84" s="196"/>
      <c r="BB84" s="196"/>
      <c r="BC84" s="196">
        <v>15</v>
      </c>
      <c r="BD84" s="196"/>
      <c r="BE84" s="196"/>
      <c r="BF84" s="196"/>
      <c r="BG84" s="196"/>
      <c r="BH84" s="196">
        <v>5</v>
      </c>
      <c r="BI84" s="196" t="s">
        <v>248</v>
      </c>
      <c r="BJ84" s="198"/>
      <c r="BK84" s="194" t="s">
        <v>910</v>
      </c>
      <c r="BL84" s="196" t="s">
        <v>818</v>
      </c>
      <c r="BM84" s="196"/>
      <c r="BN84" s="196"/>
    </row>
    <row r="85" spans="1:66" x14ac:dyDescent="0.25">
      <c r="A85" s="557" t="s">
        <v>707</v>
      </c>
      <c r="B85" s="560" t="s">
        <v>2084</v>
      </c>
      <c r="C85" s="560" t="s">
        <v>2085</v>
      </c>
      <c r="D85" s="560">
        <v>180</v>
      </c>
      <c r="E85" s="560"/>
      <c r="F85" s="560" t="s">
        <v>901</v>
      </c>
      <c r="G85" s="560" t="s">
        <v>744</v>
      </c>
      <c r="H85" s="560" t="s">
        <v>745</v>
      </c>
      <c r="I85" s="560" t="s">
        <v>164</v>
      </c>
      <c r="J85" s="558">
        <v>84</v>
      </c>
      <c r="K85" s="558" t="s">
        <v>893</v>
      </c>
      <c r="L85" s="558"/>
      <c r="M85" s="196"/>
      <c r="N85" s="198"/>
      <c r="O85" s="196"/>
      <c r="P85" s="196"/>
      <c r="Q85" s="196"/>
      <c r="R85" s="196"/>
      <c r="S85" s="196"/>
      <c r="T85" s="196"/>
      <c r="U85" s="196"/>
      <c r="V85" s="196"/>
      <c r="W85" s="196"/>
      <c r="X85" s="196"/>
      <c r="Y85" s="196"/>
      <c r="Z85" s="196"/>
      <c r="AA85" s="196"/>
      <c r="AB85" s="196"/>
      <c r="AC85" s="196"/>
      <c r="AD85" s="196"/>
      <c r="AE85" s="196"/>
      <c r="AF85" s="196"/>
      <c r="AG85" s="196"/>
      <c r="AH85" s="54"/>
      <c r="AI85" s="54"/>
      <c r="AJ85" s="54"/>
      <c r="AK85" s="54"/>
      <c r="AL85" s="54"/>
      <c r="AM85" s="54"/>
      <c r="AN85" s="54"/>
      <c r="AO85" s="196"/>
      <c r="AP85" s="196"/>
      <c r="AQ85" s="196"/>
      <c r="AR85" s="196"/>
      <c r="AS85" s="196"/>
      <c r="AT85" s="196"/>
      <c r="AU85" s="196"/>
      <c r="AV85" s="196"/>
      <c r="AW85" s="196"/>
      <c r="AX85" s="198" t="s">
        <v>2112</v>
      </c>
      <c r="AY85" s="198" t="s">
        <v>1002</v>
      </c>
      <c r="AZ85" s="194" t="s">
        <v>1040</v>
      </c>
      <c r="BA85" s="196"/>
      <c r="BB85" s="196"/>
      <c r="BC85" s="196">
        <v>15</v>
      </c>
      <c r="BD85" s="196"/>
      <c r="BE85" s="196"/>
      <c r="BF85" s="196"/>
      <c r="BG85" s="196"/>
      <c r="BH85" s="196">
        <v>6</v>
      </c>
      <c r="BI85" s="196" t="s">
        <v>248</v>
      </c>
      <c r="BJ85" s="198"/>
      <c r="BK85" s="194" t="s">
        <v>910</v>
      </c>
      <c r="BL85" s="196" t="s">
        <v>818</v>
      </c>
      <c r="BM85" s="196"/>
      <c r="BN85" s="196"/>
    </row>
    <row r="86" spans="1:66" x14ac:dyDescent="0.25">
      <c r="A86" s="557" t="s">
        <v>707</v>
      </c>
      <c r="B86" s="560" t="s">
        <v>897</v>
      </c>
      <c r="C86" s="560" t="s">
        <v>211</v>
      </c>
      <c r="D86" s="560">
        <v>234</v>
      </c>
      <c r="E86" s="560"/>
      <c r="F86" s="560" t="s">
        <v>901</v>
      </c>
      <c r="G86" s="560" t="s">
        <v>744</v>
      </c>
      <c r="H86" s="560" t="s">
        <v>746</v>
      </c>
      <c r="I86" s="560" t="s">
        <v>164</v>
      </c>
      <c r="J86" s="558">
        <v>85</v>
      </c>
      <c r="K86" s="558" t="s">
        <v>893</v>
      </c>
      <c r="L86" s="558"/>
      <c r="M86" s="196"/>
      <c r="N86" s="198"/>
      <c r="O86" s="196"/>
      <c r="P86" s="196"/>
      <c r="Q86" s="196"/>
      <c r="R86" s="196"/>
      <c r="S86" s="196"/>
      <c r="T86" s="196"/>
      <c r="U86" s="196"/>
      <c r="V86" s="196"/>
      <c r="W86" s="196"/>
      <c r="X86" s="196"/>
      <c r="Y86" s="196"/>
      <c r="Z86" s="196"/>
      <c r="AA86" s="196"/>
      <c r="AB86" s="196"/>
      <c r="AC86" s="196"/>
      <c r="AD86" s="196"/>
      <c r="AE86" s="196"/>
      <c r="AF86" s="196"/>
      <c r="AG86" s="196"/>
      <c r="AH86" s="54"/>
      <c r="AI86" s="54"/>
      <c r="AJ86" s="54"/>
      <c r="AK86" s="54"/>
      <c r="AL86" s="54"/>
      <c r="AM86" s="54"/>
      <c r="AN86" s="54"/>
      <c r="AO86" s="196"/>
      <c r="AP86" s="196"/>
      <c r="AQ86" s="196"/>
      <c r="AR86" s="196"/>
      <c r="AS86" s="196"/>
      <c r="AT86" s="196"/>
      <c r="AU86" s="196"/>
      <c r="AV86" s="196"/>
      <c r="AW86" s="196"/>
      <c r="AX86" s="198" t="s">
        <v>2113</v>
      </c>
      <c r="AY86" s="198" t="s">
        <v>1002</v>
      </c>
      <c r="AZ86" s="194" t="s">
        <v>1036</v>
      </c>
      <c r="BA86" s="196"/>
      <c r="BB86" s="196"/>
      <c r="BC86" s="196">
        <v>15</v>
      </c>
      <c r="BD86" s="196"/>
      <c r="BE86" s="196"/>
      <c r="BF86" s="196"/>
      <c r="BG86" s="196"/>
      <c r="BH86" s="194">
        <v>7</v>
      </c>
      <c r="BI86" s="196" t="s">
        <v>588</v>
      </c>
      <c r="BJ86" s="198"/>
      <c r="BK86" s="194" t="s">
        <v>910</v>
      </c>
      <c r="BL86" s="196" t="s">
        <v>818</v>
      </c>
      <c r="BM86" s="196"/>
      <c r="BN86" s="196"/>
    </row>
    <row r="87" spans="1:66" x14ac:dyDescent="0.25">
      <c r="A87" s="557" t="s">
        <v>707</v>
      </c>
      <c r="B87" s="560" t="s">
        <v>898</v>
      </c>
      <c r="C87" s="560" t="s">
        <v>212</v>
      </c>
      <c r="D87" s="560">
        <v>360</v>
      </c>
      <c r="E87" s="560"/>
      <c r="F87" s="560" t="s">
        <v>901</v>
      </c>
      <c r="G87" s="560" t="s">
        <v>744</v>
      </c>
      <c r="H87" s="560" t="s">
        <v>752</v>
      </c>
      <c r="I87" s="560" t="s">
        <v>164</v>
      </c>
      <c r="J87" s="558">
        <v>86</v>
      </c>
      <c r="K87" s="558" t="s">
        <v>894</v>
      </c>
      <c r="L87" s="558"/>
      <c r="M87" s="196"/>
      <c r="N87" s="198"/>
      <c r="O87" s="196"/>
      <c r="P87" s="196"/>
      <c r="Q87" s="196"/>
      <c r="R87" s="196"/>
      <c r="S87" s="196"/>
      <c r="T87" s="196"/>
      <c r="U87" s="196"/>
      <c r="V87" s="196"/>
      <c r="W87" s="196"/>
      <c r="X87" s="196"/>
      <c r="Y87" s="196"/>
      <c r="Z87" s="196"/>
      <c r="AA87" s="196"/>
      <c r="AB87" s="196"/>
      <c r="AC87" s="196"/>
      <c r="AD87" s="196"/>
      <c r="AE87" s="196"/>
      <c r="AF87" s="196"/>
      <c r="AG87" s="196"/>
      <c r="AH87" s="54"/>
      <c r="AI87" s="54"/>
      <c r="AJ87" s="54"/>
      <c r="AK87" s="54"/>
      <c r="AL87" s="54"/>
      <c r="AM87" s="54"/>
      <c r="AN87" s="54"/>
      <c r="AO87" s="196"/>
      <c r="AP87" s="196"/>
      <c r="AQ87" s="196"/>
      <c r="AR87" s="196"/>
      <c r="AS87" s="196"/>
      <c r="AT87" s="196"/>
      <c r="AU87" s="196"/>
      <c r="AV87" s="196"/>
      <c r="AW87" s="196"/>
      <c r="AX87" s="198" t="s">
        <v>2114</v>
      </c>
      <c r="AY87" s="198" t="s">
        <v>1002</v>
      </c>
      <c r="AZ87" s="194" t="s">
        <v>1028</v>
      </c>
      <c r="BA87" s="196"/>
      <c r="BB87" s="196"/>
      <c r="BC87" s="196"/>
      <c r="BD87" s="196"/>
      <c r="BE87" s="196"/>
      <c r="BF87" s="196"/>
      <c r="BG87" s="196"/>
      <c r="BH87" s="196">
        <v>8</v>
      </c>
      <c r="BI87" s="196"/>
      <c r="BJ87" s="198"/>
      <c r="BK87" s="194" t="s">
        <v>910</v>
      </c>
      <c r="BL87" s="196" t="s">
        <v>818</v>
      </c>
      <c r="BM87" s="196"/>
    </row>
    <row r="88" spans="1:66" x14ac:dyDescent="0.25">
      <c r="A88" s="557" t="s">
        <v>707</v>
      </c>
      <c r="B88" s="560" t="s">
        <v>899</v>
      </c>
      <c r="C88" s="560" t="s">
        <v>213</v>
      </c>
      <c r="D88" s="560">
        <v>468</v>
      </c>
      <c r="E88" s="560"/>
      <c r="F88" s="560" t="s">
        <v>901</v>
      </c>
      <c r="G88" s="560" t="s">
        <v>744</v>
      </c>
      <c r="H88" s="560" t="s">
        <v>753</v>
      </c>
      <c r="I88" s="560" t="s">
        <v>164</v>
      </c>
      <c r="J88" s="558">
        <v>87</v>
      </c>
      <c r="K88" s="558" t="s">
        <v>894</v>
      </c>
      <c r="L88" s="558"/>
      <c r="M88" s="196"/>
      <c r="N88" s="198"/>
      <c r="O88" s="196"/>
      <c r="P88" s="196"/>
      <c r="Q88" s="196"/>
      <c r="R88" s="196"/>
      <c r="S88" s="196"/>
      <c r="T88" s="196"/>
      <c r="U88" s="196"/>
      <c r="V88" s="196"/>
      <c r="W88" s="196"/>
      <c r="X88" s="196"/>
      <c r="Y88" s="196"/>
      <c r="Z88" s="196"/>
      <c r="AA88" s="196"/>
      <c r="AB88" s="196"/>
      <c r="AC88" s="196"/>
      <c r="AD88" s="196"/>
      <c r="AE88" s="196"/>
      <c r="AF88" s="196"/>
      <c r="AG88" s="196"/>
      <c r="AH88" s="54"/>
      <c r="AI88" s="54"/>
      <c r="AJ88" s="54"/>
      <c r="AK88" s="54"/>
      <c r="AL88" s="54"/>
      <c r="AM88" s="54"/>
      <c r="AN88" s="54"/>
      <c r="AO88" s="196"/>
      <c r="AP88" s="196"/>
      <c r="AQ88" s="196"/>
      <c r="AR88" s="196"/>
      <c r="AS88" s="196"/>
      <c r="AT88" s="196"/>
      <c r="AU88" s="196"/>
      <c r="AV88" s="196"/>
      <c r="AW88" s="196"/>
      <c r="AX88" s="193">
        <v>4020600</v>
      </c>
      <c r="AY88" s="54" t="s">
        <v>1019</v>
      </c>
      <c r="AZ88" s="194" t="s">
        <v>1349</v>
      </c>
      <c r="BA88" s="194"/>
      <c r="BB88" s="194"/>
      <c r="BC88" s="194">
        <v>15</v>
      </c>
      <c r="BD88" s="194"/>
      <c r="BE88" s="194"/>
      <c r="BF88" s="194"/>
      <c r="BG88" s="194"/>
      <c r="BH88" s="196">
        <v>9</v>
      </c>
      <c r="BI88" s="196" t="s">
        <v>588</v>
      </c>
      <c r="BJ88" s="193"/>
      <c r="BK88" s="194" t="s">
        <v>134</v>
      </c>
      <c r="BL88" s="196" t="s">
        <v>818</v>
      </c>
      <c r="BM88" s="196"/>
    </row>
    <row r="89" spans="1:66" x14ac:dyDescent="0.25">
      <c r="A89" s="557" t="s">
        <v>707</v>
      </c>
      <c r="B89" s="560" t="s">
        <v>900</v>
      </c>
      <c r="C89" s="560" t="s">
        <v>214</v>
      </c>
      <c r="D89" s="560">
        <v>577</v>
      </c>
      <c r="E89" s="560"/>
      <c r="F89" s="560" t="s">
        <v>901</v>
      </c>
      <c r="G89" s="560" t="s">
        <v>744</v>
      </c>
      <c r="H89" s="560" t="s">
        <v>754</v>
      </c>
      <c r="I89" s="560" t="s">
        <v>164</v>
      </c>
      <c r="J89" s="558">
        <v>88</v>
      </c>
      <c r="K89" s="558"/>
      <c r="L89" s="558"/>
      <c r="M89" s="196"/>
      <c r="N89" s="198"/>
      <c r="O89" s="196"/>
      <c r="P89" s="196"/>
      <c r="Q89" s="196"/>
      <c r="R89" s="196"/>
      <c r="S89" s="196"/>
      <c r="T89" s="196"/>
      <c r="U89" s="196"/>
      <c r="V89" s="196"/>
      <c r="W89" s="196"/>
      <c r="X89" s="196"/>
      <c r="Y89" s="196"/>
      <c r="Z89" s="196"/>
      <c r="AA89" s="196"/>
      <c r="AB89" s="196"/>
      <c r="AC89" s="196"/>
      <c r="AD89" s="196"/>
      <c r="AE89" s="196"/>
      <c r="AF89" s="196"/>
      <c r="AG89" s="196"/>
      <c r="AH89" s="54"/>
      <c r="AI89" s="54"/>
      <c r="AJ89" s="54"/>
      <c r="AK89" s="54"/>
      <c r="AL89" s="54"/>
      <c r="AM89" s="54"/>
      <c r="AN89" s="54"/>
      <c r="AO89" s="196"/>
      <c r="AP89" s="196"/>
      <c r="AQ89" s="196"/>
      <c r="AR89" s="196"/>
      <c r="AS89" s="196"/>
      <c r="AT89" s="196"/>
      <c r="AU89" s="196"/>
      <c r="AV89" s="196"/>
      <c r="AW89" s="196"/>
      <c r="AX89" s="198">
        <v>4020400</v>
      </c>
      <c r="AY89" s="54" t="s">
        <v>1019</v>
      </c>
      <c r="AZ89" s="196" t="s">
        <v>819</v>
      </c>
      <c r="BA89" s="196"/>
      <c r="BB89" s="196"/>
      <c r="BC89" s="196">
        <v>10</v>
      </c>
      <c r="BD89" s="196"/>
      <c r="BE89" s="196"/>
      <c r="BF89" s="196"/>
      <c r="BG89" s="196"/>
      <c r="BH89" s="194">
        <v>10</v>
      </c>
      <c r="BI89" s="196" t="s">
        <v>588</v>
      </c>
      <c r="BJ89" s="198"/>
      <c r="BK89" s="194" t="s">
        <v>134</v>
      </c>
      <c r="BL89" s="196" t="s">
        <v>818</v>
      </c>
      <c r="BM89" s="196"/>
      <c r="BN89" s="196"/>
    </row>
    <row r="90" spans="1:66" x14ac:dyDescent="0.25">
      <c r="A90" s="557"/>
      <c r="B90" s="558" t="s">
        <v>1402</v>
      </c>
      <c r="C90" s="560"/>
      <c r="D90" s="560" t="s">
        <v>845</v>
      </c>
      <c r="E90" s="560"/>
      <c r="F90" s="560"/>
      <c r="G90" s="560"/>
      <c r="H90" s="560"/>
      <c r="I90" s="560"/>
      <c r="J90" s="558">
        <v>89</v>
      </c>
      <c r="K90" s="558"/>
      <c r="L90" s="558"/>
      <c r="M90" s="196"/>
      <c r="N90" s="198"/>
      <c r="O90" s="196"/>
      <c r="P90" s="196"/>
      <c r="Q90" s="196"/>
      <c r="R90" s="196"/>
      <c r="S90" s="196"/>
      <c r="T90" s="196"/>
      <c r="U90" s="196"/>
      <c r="V90" s="196"/>
      <c r="W90" s="196"/>
      <c r="X90" s="196"/>
      <c r="Y90" s="196"/>
      <c r="Z90" s="196"/>
      <c r="AA90" s="196"/>
      <c r="AB90" s="196"/>
      <c r="AC90" s="196"/>
      <c r="AD90" s="196"/>
      <c r="AE90" s="196"/>
      <c r="AF90" s="196"/>
      <c r="AG90" s="196"/>
      <c r="AH90" s="196"/>
      <c r="AI90" s="196"/>
      <c r="AJ90" s="196"/>
      <c r="AK90" s="196"/>
      <c r="AL90" s="196"/>
      <c r="AM90" s="196"/>
      <c r="AN90" s="196"/>
      <c r="AO90" s="196"/>
      <c r="AP90" s="196"/>
      <c r="AQ90" s="196"/>
      <c r="AR90" s="196"/>
      <c r="AS90" s="196"/>
      <c r="AT90" s="196"/>
      <c r="AU90" s="196"/>
      <c r="AV90" s="196"/>
      <c r="AW90" s="196"/>
      <c r="AX90" s="198">
        <v>4090100</v>
      </c>
      <c r="AY90" s="54" t="s">
        <v>1019</v>
      </c>
      <c r="AZ90" s="196" t="s">
        <v>821</v>
      </c>
      <c r="BA90" s="196"/>
      <c r="BB90" s="196"/>
      <c r="BC90" s="196">
        <v>15</v>
      </c>
      <c r="BD90" s="196"/>
      <c r="BE90" s="196"/>
      <c r="BF90" s="196"/>
      <c r="BG90" s="196"/>
      <c r="BH90" s="196">
        <v>11</v>
      </c>
      <c r="BI90" s="196" t="s">
        <v>248</v>
      </c>
      <c r="BJ90" s="198"/>
      <c r="BK90" s="194" t="s">
        <v>134</v>
      </c>
      <c r="BL90" s="196" t="s">
        <v>818</v>
      </c>
      <c r="BM90" s="196"/>
      <c r="BN90" s="196"/>
    </row>
    <row r="91" spans="1:66" x14ac:dyDescent="0.25">
      <c r="A91" s="557" t="s">
        <v>714</v>
      </c>
      <c r="B91" s="558" t="s">
        <v>2086</v>
      </c>
      <c r="C91" s="560" t="s">
        <v>2087</v>
      </c>
      <c r="D91" s="560">
        <v>72</v>
      </c>
      <c r="E91" s="560"/>
      <c r="F91" s="560" t="s">
        <v>755</v>
      </c>
      <c r="G91" s="560" t="s">
        <v>767</v>
      </c>
      <c r="H91" s="560"/>
      <c r="I91" s="560" t="s">
        <v>164</v>
      </c>
      <c r="J91" s="558">
        <v>90</v>
      </c>
      <c r="K91" s="558" t="s">
        <v>894</v>
      </c>
      <c r="L91" s="558"/>
      <c r="M91" s="196"/>
      <c r="N91" s="198"/>
      <c r="O91" s="196"/>
      <c r="P91" s="196"/>
      <c r="Q91" s="196"/>
      <c r="R91" s="196"/>
      <c r="S91" s="196"/>
      <c r="T91" s="196"/>
      <c r="U91" s="196"/>
      <c r="V91" s="196"/>
      <c r="W91" s="196"/>
      <c r="X91" s="196"/>
      <c r="Y91" s="196"/>
      <c r="Z91" s="196"/>
      <c r="AA91" s="196"/>
      <c r="AB91" s="196"/>
      <c r="AC91" s="196"/>
      <c r="AD91" s="196"/>
      <c r="AE91" s="196"/>
      <c r="AF91" s="196"/>
      <c r="AG91" s="196"/>
      <c r="AH91" s="196"/>
      <c r="AI91" s="196"/>
      <c r="AJ91" s="196"/>
      <c r="AK91" s="196"/>
      <c r="AL91" s="196"/>
      <c r="AM91" s="196"/>
      <c r="AN91" s="196"/>
      <c r="AO91" s="196"/>
      <c r="AP91" s="196"/>
      <c r="AQ91" s="196"/>
      <c r="AR91" s="196"/>
      <c r="AS91" s="196"/>
      <c r="AT91" s="196"/>
      <c r="AU91" s="196"/>
      <c r="AV91" s="196"/>
      <c r="AW91" s="196"/>
      <c r="AX91" s="198">
        <v>4020800</v>
      </c>
      <c r="AY91" s="54" t="s">
        <v>1019</v>
      </c>
      <c r="AZ91" s="196" t="s">
        <v>844</v>
      </c>
      <c r="BA91" s="196"/>
      <c r="BB91" s="196"/>
      <c r="BC91" s="196">
        <v>15</v>
      </c>
      <c r="BD91" s="196"/>
      <c r="BE91" s="196"/>
      <c r="BF91" s="196"/>
      <c r="BG91" s="196"/>
      <c r="BH91" s="196">
        <v>12</v>
      </c>
      <c r="BI91" s="196" t="s">
        <v>588</v>
      </c>
      <c r="BJ91" s="198"/>
      <c r="BK91" s="194" t="s">
        <v>134</v>
      </c>
      <c r="BL91" s="196" t="s">
        <v>818</v>
      </c>
      <c r="BM91" s="196"/>
      <c r="BN91" s="196"/>
    </row>
    <row r="92" spans="1:66" x14ac:dyDescent="0.25">
      <c r="A92" s="557" t="s">
        <v>714</v>
      </c>
      <c r="B92" s="558" t="s">
        <v>708</v>
      </c>
      <c r="C92" s="558" t="s">
        <v>886</v>
      </c>
      <c r="D92" s="558">
        <v>95</v>
      </c>
      <c r="E92" s="558"/>
      <c r="F92" s="558" t="s">
        <v>755</v>
      </c>
      <c r="G92" s="558" t="s">
        <v>756</v>
      </c>
      <c r="H92" s="558"/>
      <c r="I92" s="558" t="s">
        <v>164</v>
      </c>
      <c r="J92" s="558">
        <v>91</v>
      </c>
      <c r="K92" s="558" t="s">
        <v>893</v>
      </c>
      <c r="L92" s="558"/>
      <c r="M92" s="196"/>
      <c r="N92" s="198"/>
      <c r="O92" s="196"/>
      <c r="P92" s="196"/>
      <c r="Q92" s="196"/>
      <c r="R92" s="196"/>
      <c r="S92" s="196"/>
      <c r="T92" s="196"/>
      <c r="U92" s="196"/>
      <c r="V92" s="196"/>
      <c r="W92" s="196"/>
      <c r="X92" s="196"/>
      <c r="Y92" s="196"/>
      <c r="Z92" s="196"/>
      <c r="AA92" s="196"/>
      <c r="AB92" s="196"/>
      <c r="AC92" s="196"/>
      <c r="AD92" s="196"/>
      <c r="AE92" s="196"/>
      <c r="AF92" s="196"/>
      <c r="AG92" s="196"/>
      <c r="AH92" s="196"/>
      <c r="AI92" s="196"/>
      <c r="AJ92" s="196"/>
      <c r="AK92" s="196"/>
      <c r="AL92" s="196"/>
      <c r="AM92" s="196"/>
      <c r="AN92" s="196"/>
      <c r="AO92" s="196"/>
      <c r="AP92" s="196"/>
      <c r="AQ92" s="196"/>
      <c r="AR92" s="196"/>
      <c r="AS92" s="196"/>
      <c r="AT92" s="196"/>
      <c r="AU92" s="196"/>
      <c r="AV92" s="196"/>
      <c r="AW92" s="196"/>
      <c r="AX92" s="198">
        <v>4090200</v>
      </c>
      <c r="AY92" s="54" t="s">
        <v>1019</v>
      </c>
      <c r="AZ92" s="196" t="s">
        <v>822</v>
      </c>
      <c r="BA92" s="196"/>
      <c r="BB92" s="196"/>
      <c r="BC92" s="196">
        <v>15</v>
      </c>
      <c r="BD92" s="196"/>
      <c r="BE92" s="196"/>
      <c r="BF92" s="196"/>
      <c r="BG92" s="196"/>
      <c r="BH92" s="194">
        <v>13</v>
      </c>
      <c r="BI92" s="196" t="s">
        <v>248</v>
      </c>
      <c r="BJ92" s="198"/>
      <c r="BK92" s="194" t="s">
        <v>134</v>
      </c>
      <c r="BL92" s="196" t="s">
        <v>818</v>
      </c>
      <c r="BM92" s="196"/>
      <c r="BN92" s="196"/>
    </row>
    <row r="93" spans="1:66" x14ac:dyDescent="0.25">
      <c r="A93" s="557" t="s">
        <v>714</v>
      </c>
      <c r="B93" s="558" t="s">
        <v>709</v>
      </c>
      <c r="C93" s="558" t="s">
        <v>887</v>
      </c>
      <c r="D93" s="558">
        <v>114</v>
      </c>
      <c r="E93" s="558"/>
      <c r="F93" s="558" t="s">
        <v>755</v>
      </c>
      <c r="G93" s="558" t="s">
        <v>757</v>
      </c>
      <c r="H93" s="558"/>
      <c r="I93" s="558" t="s">
        <v>164</v>
      </c>
      <c r="J93" s="558">
        <v>92</v>
      </c>
      <c r="K93" s="558" t="s">
        <v>893</v>
      </c>
      <c r="L93" s="558"/>
      <c r="M93" s="196"/>
      <c r="N93" s="198"/>
      <c r="O93" s="196"/>
      <c r="P93" s="196"/>
      <c r="Q93" s="196"/>
      <c r="R93" s="196"/>
      <c r="S93" s="196"/>
      <c r="T93" s="196"/>
      <c r="U93" s="196"/>
      <c r="V93" s="196"/>
      <c r="W93" s="196"/>
      <c r="X93" s="196"/>
      <c r="Y93" s="196"/>
      <c r="Z93" s="196"/>
      <c r="AA93" s="196"/>
      <c r="AB93" s="196"/>
      <c r="AC93" s="196"/>
      <c r="AD93" s="196"/>
      <c r="AE93" s="196"/>
      <c r="AG93" s="196"/>
      <c r="AH93" s="196"/>
      <c r="AI93" s="196"/>
      <c r="AJ93" s="196"/>
      <c r="AK93" s="196"/>
      <c r="AL93" s="196"/>
      <c r="AM93" s="196"/>
      <c r="AN93" s="196"/>
      <c r="AO93" s="196"/>
      <c r="AP93" s="196"/>
      <c r="AQ93" s="196"/>
      <c r="AR93" s="196"/>
      <c r="AS93" s="196"/>
      <c r="AT93" s="196"/>
      <c r="AU93" s="196"/>
      <c r="AV93" s="196"/>
      <c r="AW93" s="196"/>
      <c r="AX93" s="198">
        <v>4090300</v>
      </c>
      <c r="AY93" s="54" t="s">
        <v>1019</v>
      </c>
      <c r="AZ93" s="196" t="s">
        <v>823</v>
      </c>
      <c r="BA93" s="196"/>
      <c r="BB93" s="196"/>
      <c r="BC93" s="196">
        <v>15</v>
      </c>
      <c r="BD93" s="196"/>
      <c r="BE93" s="196"/>
      <c r="BF93" s="196"/>
      <c r="BG93" s="196"/>
      <c r="BH93" s="196">
        <v>14</v>
      </c>
      <c r="BI93" s="196" t="s">
        <v>248</v>
      </c>
      <c r="BJ93" s="198"/>
      <c r="BK93" s="194" t="s">
        <v>134</v>
      </c>
      <c r="BL93" s="196" t="s">
        <v>818</v>
      </c>
      <c r="BM93" s="196"/>
      <c r="BN93" s="196"/>
    </row>
    <row r="94" spans="1:66" x14ac:dyDescent="0.25">
      <c r="A94" s="557" t="s">
        <v>714</v>
      </c>
      <c r="B94" s="558" t="s">
        <v>2088</v>
      </c>
      <c r="C94" s="558" t="s">
        <v>2089</v>
      </c>
      <c r="D94" s="558">
        <v>190</v>
      </c>
      <c r="E94" s="558"/>
      <c r="F94" s="558" t="s">
        <v>755</v>
      </c>
      <c r="G94" s="558" t="s">
        <v>769</v>
      </c>
      <c r="H94" s="558"/>
      <c r="I94" s="558" t="s">
        <v>164</v>
      </c>
      <c r="J94" s="558">
        <v>93</v>
      </c>
      <c r="K94" s="558" t="s">
        <v>894</v>
      </c>
      <c r="L94" s="558"/>
      <c r="N94" s="198"/>
      <c r="O94" s="196"/>
      <c r="P94" s="196"/>
      <c r="Q94" s="196"/>
      <c r="R94" s="196"/>
      <c r="S94" s="196"/>
      <c r="T94" s="196"/>
      <c r="U94" s="196"/>
      <c r="V94" s="196"/>
      <c r="W94" s="196"/>
      <c r="X94" s="196"/>
      <c r="Y94" s="196"/>
      <c r="AX94" s="198">
        <v>4020300</v>
      </c>
      <c r="AY94" s="54" t="s">
        <v>1019</v>
      </c>
      <c r="AZ94" s="196" t="s">
        <v>820</v>
      </c>
      <c r="BA94" s="196"/>
      <c r="BB94" s="196"/>
      <c r="BC94" s="196">
        <v>15</v>
      </c>
      <c r="BD94" s="196"/>
      <c r="BE94" s="196"/>
      <c r="BF94" s="196"/>
      <c r="BG94" s="196"/>
      <c r="BH94" s="196">
        <v>15</v>
      </c>
      <c r="BI94" s="196" t="s">
        <v>588</v>
      </c>
      <c r="BJ94" s="198"/>
      <c r="BK94" s="194" t="s">
        <v>134</v>
      </c>
      <c r="BL94" s="196" t="s">
        <v>818</v>
      </c>
      <c r="BN94" s="194" t="s">
        <v>1077</v>
      </c>
    </row>
    <row r="95" spans="1:66" x14ac:dyDescent="0.25">
      <c r="A95" s="557" t="s">
        <v>714</v>
      </c>
      <c r="B95" s="558" t="s">
        <v>710</v>
      </c>
      <c r="C95" s="558" t="s">
        <v>888</v>
      </c>
      <c r="D95" s="558">
        <v>199</v>
      </c>
      <c r="E95" s="558"/>
      <c r="F95" s="558" t="s">
        <v>755</v>
      </c>
      <c r="G95" s="558" t="s">
        <v>758</v>
      </c>
      <c r="H95" s="558"/>
      <c r="I95" s="558" t="s">
        <v>164</v>
      </c>
      <c r="J95" s="558">
        <v>94</v>
      </c>
      <c r="K95" s="558" t="s">
        <v>893</v>
      </c>
      <c r="L95" s="558"/>
      <c r="N95" s="198"/>
      <c r="O95" s="196"/>
      <c r="P95" s="196"/>
      <c r="Q95" s="196"/>
      <c r="R95" s="196"/>
      <c r="S95" s="196"/>
      <c r="T95" s="196"/>
      <c r="U95" s="196"/>
      <c r="V95" s="196"/>
      <c r="W95" s="196"/>
      <c r="X95" s="196"/>
      <c r="Y95" s="196"/>
      <c r="AX95" s="193">
        <v>4040500</v>
      </c>
      <c r="AY95" s="54" t="s">
        <v>1019</v>
      </c>
      <c r="AZ95" s="194" t="s">
        <v>1027</v>
      </c>
      <c r="BA95" s="196"/>
      <c r="BB95" s="196"/>
      <c r="BC95" s="196"/>
      <c r="BD95" s="196"/>
      <c r="BE95" s="196"/>
      <c r="BF95" s="196"/>
      <c r="BG95" s="196"/>
      <c r="BH95" s="194">
        <v>16</v>
      </c>
      <c r="BI95" s="196"/>
      <c r="BJ95" s="193"/>
      <c r="BK95" s="194" t="s">
        <v>134</v>
      </c>
      <c r="BL95" s="196" t="s">
        <v>818</v>
      </c>
    </row>
    <row r="96" spans="1:66" x14ac:dyDescent="0.25">
      <c r="A96" s="557" t="s">
        <v>714</v>
      </c>
      <c r="B96" s="558" t="s">
        <v>711</v>
      </c>
      <c r="C96" s="558" t="s">
        <v>889</v>
      </c>
      <c r="D96" s="558">
        <v>284</v>
      </c>
      <c r="E96" s="558"/>
      <c r="F96" s="558" t="s">
        <v>755</v>
      </c>
      <c r="G96" s="558" t="s">
        <v>759</v>
      </c>
      <c r="H96" s="558"/>
      <c r="I96" s="558" t="s">
        <v>164</v>
      </c>
      <c r="J96" s="558">
        <v>95</v>
      </c>
      <c r="K96" s="558" t="s">
        <v>893</v>
      </c>
      <c r="L96" s="558"/>
      <c r="N96" s="198"/>
      <c r="O96" s="196"/>
      <c r="P96" s="196"/>
      <c r="Q96" s="196"/>
      <c r="R96" s="196"/>
      <c r="S96" s="196"/>
      <c r="T96" s="196"/>
      <c r="U96" s="196"/>
      <c r="V96" s="196"/>
      <c r="W96" s="196"/>
      <c r="X96" s="196"/>
      <c r="Y96" s="196"/>
      <c r="AL96"/>
      <c r="AN96" s="63"/>
      <c r="AX96" s="198"/>
      <c r="AY96" s="196"/>
      <c r="AZ96" s="196"/>
      <c r="BA96" s="196"/>
      <c r="BB96" s="196"/>
      <c r="BC96" s="196"/>
      <c r="BD96" s="196"/>
      <c r="BE96" s="196"/>
      <c r="BF96" s="196"/>
      <c r="BG96" s="196"/>
      <c r="BH96" s="196"/>
      <c r="BI96" s="196"/>
      <c r="BJ96" s="196"/>
      <c r="BK96" s="196"/>
      <c r="BL96" s="196"/>
    </row>
    <row r="97" spans="1:64" x14ac:dyDescent="0.25">
      <c r="A97" s="557" t="s">
        <v>714</v>
      </c>
      <c r="B97" s="558" t="s">
        <v>712</v>
      </c>
      <c r="C97" s="558" t="s">
        <v>890</v>
      </c>
      <c r="D97" s="558">
        <v>455</v>
      </c>
      <c r="E97" s="558"/>
      <c r="F97" s="558" t="s">
        <v>755</v>
      </c>
      <c r="G97" s="558" t="s">
        <v>760</v>
      </c>
      <c r="H97" s="558"/>
      <c r="I97" s="558" t="s">
        <v>164</v>
      </c>
      <c r="J97" s="558">
        <v>96</v>
      </c>
      <c r="K97" s="558" t="s">
        <v>893</v>
      </c>
      <c r="L97" s="558"/>
      <c r="N97" s="198"/>
      <c r="O97" s="196"/>
      <c r="P97" s="196"/>
      <c r="Q97" s="196"/>
      <c r="R97" s="196"/>
      <c r="S97" s="196"/>
      <c r="T97" s="196"/>
      <c r="U97" s="196"/>
      <c r="V97" s="196"/>
      <c r="W97" s="196"/>
      <c r="X97" s="196"/>
      <c r="Y97" s="196"/>
      <c r="AF97" s="63"/>
      <c r="AX97" s="198" t="s">
        <v>141</v>
      </c>
      <c r="AY97" s="198" t="s">
        <v>1004</v>
      </c>
      <c r="AZ97" s="196" t="s">
        <v>832</v>
      </c>
      <c r="BA97" s="196" t="s">
        <v>833</v>
      </c>
      <c r="BB97" s="194" t="s">
        <v>1021</v>
      </c>
      <c r="BC97" s="196" t="s">
        <v>152</v>
      </c>
      <c r="BD97" s="196" t="s">
        <v>144</v>
      </c>
      <c r="BE97" s="196" t="s">
        <v>654</v>
      </c>
      <c r="BF97" s="196" t="s">
        <v>655</v>
      </c>
      <c r="BG97" s="196" t="s">
        <v>800</v>
      </c>
      <c r="BH97" s="196" t="s">
        <v>659</v>
      </c>
      <c r="BI97" s="196" t="s">
        <v>799</v>
      </c>
      <c r="BJ97" s="196" t="s">
        <v>636</v>
      </c>
      <c r="BK97" s="194" t="s">
        <v>1074</v>
      </c>
      <c r="BL97" s="196" t="s">
        <v>798</v>
      </c>
    </row>
    <row r="98" spans="1:64" s="63" customFormat="1" x14ac:dyDescent="0.25">
      <c r="A98" s="557" t="s">
        <v>714</v>
      </c>
      <c r="B98" s="558" t="s">
        <v>713</v>
      </c>
      <c r="C98" s="558" t="s">
        <v>891</v>
      </c>
      <c r="D98" s="558">
        <v>1080</v>
      </c>
      <c r="E98" s="558"/>
      <c r="F98" s="558" t="s">
        <v>755</v>
      </c>
      <c r="G98" s="558" t="s">
        <v>761</v>
      </c>
      <c r="H98" s="558"/>
      <c r="I98" s="558" t="s">
        <v>164</v>
      </c>
      <c r="J98" s="558">
        <v>97</v>
      </c>
      <c r="K98" s="558" t="s">
        <v>893</v>
      </c>
      <c r="L98" s="558"/>
      <c r="N98" s="118"/>
      <c r="AX98" s="198" t="s">
        <v>2115</v>
      </c>
      <c r="AY98" s="198" t="s">
        <v>1002</v>
      </c>
      <c r="AZ98" s="194" t="s">
        <v>1050</v>
      </c>
      <c r="BA98" s="196"/>
      <c r="BB98" s="196"/>
      <c r="BC98" s="196">
        <v>15</v>
      </c>
      <c r="BD98" s="196"/>
      <c r="BE98" s="196"/>
      <c r="BF98" s="196"/>
      <c r="BG98" s="196"/>
      <c r="BH98" s="196">
        <v>1</v>
      </c>
      <c r="BI98" s="196" t="s">
        <v>595</v>
      </c>
      <c r="BJ98" s="198"/>
      <c r="BK98" s="194" t="s">
        <v>910</v>
      </c>
      <c r="BL98" s="196" t="s">
        <v>824</v>
      </c>
    </row>
    <row r="99" spans="1:64" s="63" customFormat="1" x14ac:dyDescent="0.25">
      <c r="A99" s="198" t="s">
        <v>714</v>
      </c>
      <c r="B99" s="196" t="s">
        <v>2090</v>
      </c>
      <c r="C99" s="196" t="s">
        <v>2091</v>
      </c>
      <c r="D99" s="196">
        <v>1610</v>
      </c>
      <c r="E99" s="196"/>
      <c r="F99" s="196" t="s">
        <v>755</v>
      </c>
      <c r="G99" s="196" t="s">
        <v>2092</v>
      </c>
      <c r="H99" s="196"/>
      <c r="I99" s="196" t="s">
        <v>164</v>
      </c>
      <c r="J99" s="558">
        <v>98</v>
      </c>
      <c r="K99" s="196" t="s">
        <v>894</v>
      </c>
      <c r="L99" s="196"/>
      <c r="N99" s="118"/>
      <c r="O99"/>
      <c r="P99"/>
      <c r="R99"/>
      <c r="S99"/>
      <c r="T99"/>
      <c r="U99"/>
      <c r="V99"/>
      <c r="AF99"/>
      <c r="AX99" s="198" t="s">
        <v>2116</v>
      </c>
      <c r="AY99" s="198" t="s">
        <v>1002</v>
      </c>
      <c r="AZ99" s="194" t="s">
        <v>1052</v>
      </c>
      <c r="BA99" s="196"/>
      <c r="BB99" s="196"/>
      <c r="BC99" s="196">
        <v>15</v>
      </c>
      <c r="BD99" s="196"/>
      <c r="BE99" s="196"/>
      <c r="BF99" s="196"/>
      <c r="BG99" s="196"/>
      <c r="BH99" s="196">
        <v>2</v>
      </c>
      <c r="BI99" s="196" t="s">
        <v>595</v>
      </c>
      <c r="BJ99" s="198"/>
      <c r="BK99" s="194" t="s">
        <v>910</v>
      </c>
      <c r="BL99" s="196" t="s">
        <v>824</v>
      </c>
    </row>
    <row r="100" spans="1:64" x14ac:dyDescent="0.25">
      <c r="A100" s="193" t="s">
        <v>714</v>
      </c>
      <c r="B100" s="196" t="s">
        <v>2093</v>
      </c>
      <c r="C100" s="196" t="s">
        <v>2094</v>
      </c>
      <c r="D100" s="196">
        <v>2140</v>
      </c>
      <c r="E100" s="196"/>
      <c r="F100" s="196" t="s">
        <v>755</v>
      </c>
      <c r="G100" s="196" t="s">
        <v>2095</v>
      </c>
      <c r="H100" s="196"/>
      <c r="I100" s="196" t="s">
        <v>164</v>
      </c>
      <c r="J100" s="558">
        <v>99</v>
      </c>
      <c r="K100" s="196" t="s">
        <v>2022</v>
      </c>
      <c r="L100" s="196"/>
      <c r="Q100" s="63"/>
      <c r="S100"/>
      <c r="T100"/>
      <c r="U100"/>
      <c r="V100"/>
      <c r="AX100" s="198" t="s">
        <v>2117</v>
      </c>
      <c r="AY100" s="198" t="s">
        <v>1002</v>
      </c>
      <c r="AZ100" s="194" t="s">
        <v>1011</v>
      </c>
      <c r="BA100" s="196"/>
      <c r="BB100" s="196"/>
      <c r="BC100" s="196">
        <v>10</v>
      </c>
      <c r="BD100" s="196"/>
      <c r="BE100" s="196"/>
      <c r="BF100" s="196"/>
      <c r="BG100" s="196"/>
      <c r="BH100" s="196">
        <v>3</v>
      </c>
      <c r="BI100" s="196" t="s">
        <v>167</v>
      </c>
      <c r="BJ100" s="198"/>
      <c r="BK100" s="194" t="s">
        <v>910</v>
      </c>
      <c r="BL100" s="196" t="s">
        <v>824</v>
      </c>
    </row>
    <row r="101" spans="1:64" x14ac:dyDescent="0.25">
      <c r="A101" s="557" t="s">
        <v>727</v>
      </c>
      <c r="B101" s="558" t="s">
        <v>658</v>
      </c>
      <c r="C101" s="558"/>
      <c r="D101" s="558">
        <v>227</v>
      </c>
      <c r="E101" s="558"/>
      <c r="F101" s="558" t="s">
        <v>762</v>
      </c>
      <c r="G101" s="558" t="s">
        <v>763</v>
      </c>
      <c r="H101" s="558"/>
      <c r="I101" s="558" t="s">
        <v>164</v>
      </c>
      <c r="J101" s="558">
        <v>100</v>
      </c>
      <c r="K101" s="558" t="s">
        <v>893</v>
      </c>
      <c r="L101" s="558"/>
      <c r="Q101" s="63"/>
      <c r="S101"/>
      <c r="T101"/>
      <c r="U101"/>
      <c r="V101"/>
      <c r="Z101" s="63"/>
      <c r="AB101" s="63"/>
      <c r="AC101" s="63"/>
      <c r="AD101" s="63"/>
      <c r="AL101"/>
      <c r="AM101"/>
      <c r="AP101" s="63"/>
      <c r="AQ101" s="63"/>
      <c r="AX101" s="198" t="s">
        <v>2118</v>
      </c>
      <c r="AY101" s="198" t="s">
        <v>1002</v>
      </c>
      <c r="AZ101" s="194" t="s">
        <v>1041</v>
      </c>
      <c r="BA101" s="196"/>
      <c r="BB101" s="196"/>
      <c r="BC101" s="196">
        <v>15</v>
      </c>
      <c r="BD101" s="196"/>
      <c r="BE101" s="196"/>
      <c r="BF101" s="196"/>
      <c r="BG101" s="196"/>
      <c r="BH101" s="196">
        <v>4</v>
      </c>
      <c r="BI101" s="196" t="s">
        <v>595</v>
      </c>
      <c r="BJ101" s="198"/>
      <c r="BK101" s="194" t="s">
        <v>910</v>
      </c>
      <c r="BL101" s="196" t="s">
        <v>824</v>
      </c>
    </row>
    <row r="102" spans="1:64" x14ac:dyDescent="0.25">
      <c r="A102" s="557" t="s">
        <v>727</v>
      </c>
      <c r="B102" s="558" t="s">
        <v>715</v>
      </c>
      <c r="C102" s="558"/>
      <c r="D102" s="558">
        <v>364</v>
      </c>
      <c r="E102" s="558"/>
      <c r="F102" s="558" t="s">
        <v>762</v>
      </c>
      <c r="G102" s="558" t="s">
        <v>764</v>
      </c>
      <c r="H102" s="558"/>
      <c r="I102" s="558" t="s">
        <v>164</v>
      </c>
      <c r="J102" s="558">
        <v>101</v>
      </c>
      <c r="K102" s="558" t="s">
        <v>893</v>
      </c>
      <c r="L102" s="558"/>
      <c r="Q102" s="63"/>
      <c r="S102"/>
      <c r="T102"/>
      <c r="U102"/>
      <c r="V102"/>
      <c r="Z102" s="63"/>
      <c r="AB102" s="63"/>
      <c r="AC102" s="63"/>
      <c r="AD102" s="63"/>
      <c r="AL102"/>
      <c r="AM102"/>
      <c r="AP102" s="63"/>
      <c r="AQ102" s="63"/>
      <c r="AX102" s="198" t="s">
        <v>2110</v>
      </c>
      <c r="AY102" s="198" t="s">
        <v>1002</v>
      </c>
      <c r="AZ102" s="194" t="s">
        <v>1042</v>
      </c>
      <c r="BA102" s="196"/>
      <c r="BB102" s="196"/>
      <c r="BC102" s="196">
        <v>15</v>
      </c>
      <c r="BD102" s="196"/>
      <c r="BE102" s="196"/>
      <c r="BF102" s="196"/>
      <c r="BG102" s="196"/>
      <c r="BH102" s="196">
        <v>5</v>
      </c>
      <c r="BI102" s="196" t="s">
        <v>588</v>
      </c>
      <c r="BJ102" s="198"/>
      <c r="BK102" s="194" t="s">
        <v>910</v>
      </c>
      <c r="BL102" s="196" t="s">
        <v>824</v>
      </c>
    </row>
    <row r="103" spans="1:64" x14ac:dyDescent="0.25">
      <c r="A103" s="557" t="s">
        <v>727</v>
      </c>
      <c r="B103" s="558" t="s">
        <v>2096</v>
      </c>
      <c r="C103" s="558"/>
      <c r="D103" s="558">
        <v>398</v>
      </c>
      <c r="E103" s="558"/>
      <c r="F103" s="558" t="s">
        <v>762</v>
      </c>
      <c r="G103" s="558" t="s">
        <v>2097</v>
      </c>
      <c r="H103" s="558"/>
      <c r="I103" s="558" t="s">
        <v>164</v>
      </c>
      <c r="J103" s="558">
        <v>102</v>
      </c>
      <c r="K103" s="558" t="s">
        <v>893</v>
      </c>
      <c r="L103" s="558"/>
      <c r="Q103" s="63"/>
      <c r="S103"/>
      <c r="T103"/>
      <c r="U103"/>
      <c r="V103"/>
      <c r="Z103" s="63"/>
      <c r="AB103" s="63"/>
      <c r="AC103" s="63"/>
      <c r="AD103" s="63"/>
      <c r="AL103"/>
      <c r="AM103"/>
      <c r="AP103" s="63"/>
      <c r="AQ103" s="63"/>
      <c r="AX103" s="198" t="s">
        <v>2119</v>
      </c>
      <c r="AY103" s="198" t="s">
        <v>1002</v>
      </c>
      <c r="AZ103" s="194" t="s">
        <v>1012</v>
      </c>
      <c r="BA103" s="196"/>
      <c r="BB103" s="196"/>
      <c r="BC103" s="196">
        <v>15</v>
      </c>
      <c r="BD103" s="196"/>
      <c r="BE103" s="196"/>
      <c r="BF103" s="196"/>
      <c r="BG103" s="196"/>
      <c r="BH103" s="196">
        <v>6</v>
      </c>
      <c r="BI103" s="196" t="s">
        <v>591</v>
      </c>
      <c r="BJ103" s="198"/>
      <c r="BK103" s="194" t="s">
        <v>910</v>
      </c>
      <c r="BL103" s="196" t="s">
        <v>824</v>
      </c>
    </row>
    <row r="104" spans="1:64" x14ac:dyDescent="0.25">
      <c r="A104" s="557" t="s">
        <v>727</v>
      </c>
      <c r="B104" s="558" t="s">
        <v>716</v>
      </c>
      <c r="C104" s="558"/>
      <c r="D104" s="558">
        <v>456</v>
      </c>
      <c r="E104" s="558"/>
      <c r="F104" s="558" t="s">
        <v>762</v>
      </c>
      <c r="G104" s="558" t="s">
        <v>760</v>
      </c>
      <c r="H104" s="558"/>
      <c r="I104" s="558" t="s">
        <v>164</v>
      </c>
      <c r="J104" s="558">
        <v>103</v>
      </c>
      <c r="K104" s="558" t="s">
        <v>894</v>
      </c>
      <c r="L104" s="558"/>
      <c r="O104" s="63"/>
      <c r="P104" s="63"/>
      <c r="Q104" s="63"/>
      <c r="R104" s="63"/>
      <c r="Z104" s="63"/>
      <c r="AB104" s="63"/>
      <c r="AC104" s="63"/>
      <c r="AD104" s="63"/>
      <c r="AL104"/>
      <c r="AM104"/>
      <c r="AP104" s="63"/>
      <c r="AQ104" s="63"/>
      <c r="AX104" s="193" t="s">
        <v>2120</v>
      </c>
      <c r="AY104" s="198" t="s">
        <v>1002</v>
      </c>
      <c r="AZ104" s="194" t="s">
        <v>1418</v>
      </c>
      <c r="BA104" s="194"/>
      <c r="BB104" s="194"/>
      <c r="BC104" s="194">
        <v>15</v>
      </c>
      <c r="BD104" s="194"/>
      <c r="BE104" s="194"/>
      <c r="BF104" s="194"/>
      <c r="BG104" s="194"/>
      <c r="BH104" s="196">
        <v>7</v>
      </c>
      <c r="BI104" s="194" t="s">
        <v>595</v>
      </c>
      <c r="BJ104" s="193"/>
      <c r="BK104" s="194" t="s">
        <v>910</v>
      </c>
      <c r="BL104" s="196" t="s">
        <v>824</v>
      </c>
    </row>
    <row r="105" spans="1:64" x14ac:dyDescent="0.25">
      <c r="A105" s="557" t="s">
        <v>727</v>
      </c>
      <c r="B105" s="558" t="s">
        <v>2098</v>
      </c>
      <c r="C105" s="558"/>
      <c r="D105" s="558">
        <v>1080</v>
      </c>
      <c r="E105" s="558"/>
      <c r="F105" s="558" t="s">
        <v>762</v>
      </c>
      <c r="G105" s="558" t="s">
        <v>761</v>
      </c>
      <c r="H105" s="558"/>
      <c r="I105" s="558" t="s">
        <v>164</v>
      </c>
      <c r="J105" s="558">
        <v>104</v>
      </c>
      <c r="K105" s="558" t="s">
        <v>894</v>
      </c>
      <c r="L105" s="558"/>
      <c r="O105" s="63"/>
      <c r="P105" s="63"/>
      <c r="Q105" s="63"/>
      <c r="R105" s="63"/>
      <c r="Z105" s="63"/>
      <c r="AB105" s="63"/>
      <c r="AC105" s="63"/>
      <c r="AD105" s="63"/>
      <c r="AL105"/>
      <c r="AM105"/>
      <c r="AP105" s="63"/>
      <c r="AQ105" s="63"/>
      <c r="AX105" s="198" t="s">
        <v>2121</v>
      </c>
      <c r="AY105" s="198" t="s">
        <v>1002</v>
      </c>
      <c r="AZ105" s="194" t="s">
        <v>1044</v>
      </c>
      <c r="BA105" s="196"/>
      <c r="BB105" s="196"/>
      <c r="BC105" s="196">
        <v>15</v>
      </c>
      <c r="BD105" s="196"/>
      <c r="BE105" s="196"/>
      <c r="BF105" s="196"/>
      <c r="BG105" s="196"/>
      <c r="BH105" s="196">
        <v>8</v>
      </c>
      <c r="BI105" s="196" t="s">
        <v>167</v>
      </c>
      <c r="BJ105" s="198"/>
      <c r="BK105" s="194" t="s">
        <v>910</v>
      </c>
      <c r="BL105" s="196" t="s">
        <v>824</v>
      </c>
    </row>
    <row r="106" spans="1:64" x14ac:dyDescent="0.25">
      <c r="A106" s="557"/>
      <c r="B106" s="558" t="s">
        <v>1402</v>
      </c>
      <c r="C106" s="558"/>
      <c r="D106" s="558" t="s">
        <v>845</v>
      </c>
      <c r="E106" s="558"/>
      <c r="F106" s="558"/>
      <c r="G106" s="558"/>
      <c r="H106" s="558"/>
      <c r="I106" s="558"/>
      <c r="J106" s="558">
        <v>105</v>
      </c>
      <c r="K106" s="558"/>
      <c r="L106" s="558"/>
      <c r="Q106" s="63"/>
      <c r="S106"/>
      <c r="T106"/>
      <c r="U106"/>
      <c r="V106"/>
      <c r="Z106" s="63"/>
      <c r="AB106" s="63"/>
      <c r="AC106" s="63"/>
      <c r="AD106" s="63"/>
      <c r="AL106"/>
      <c r="AM106"/>
      <c r="AP106" s="63"/>
      <c r="AQ106" s="63"/>
      <c r="AX106" s="198" t="s">
        <v>2122</v>
      </c>
      <c r="AY106" s="198" t="s">
        <v>1002</v>
      </c>
      <c r="AZ106" s="194" t="s">
        <v>1043</v>
      </c>
      <c r="BA106" s="196"/>
      <c r="BB106" s="196"/>
      <c r="BC106" s="196">
        <v>15</v>
      </c>
      <c r="BD106" s="196"/>
      <c r="BE106" s="196"/>
      <c r="BF106" s="196"/>
      <c r="BG106" s="196"/>
      <c r="BH106" s="196">
        <v>9</v>
      </c>
      <c r="BI106" s="196" t="s">
        <v>169</v>
      </c>
      <c r="BJ106" s="198"/>
      <c r="BK106" s="194" t="s">
        <v>910</v>
      </c>
      <c r="BL106" s="196" t="s">
        <v>824</v>
      </c>
    </row>
    <row r="107" spans="1:64" x14ac:dyDescent="0.25">
      <c r="A107" s="557" t="s">
        <v>660</v>
      </c>
      <c r="B107" s="558" t="s">
        <v>718</v>
      </c>
      <c r="C107" s="558" t="s">
        <v>877</v>
      </c>
      <c r="D107" s="558">
        <v>46</v>
      </c>
      <c r="E107" s="558"/>
      <c r="F107" s="558" t="s">
        <v>765</v>
      </c>
      <c r="G107" s="558" t="s">
        <v>766</v>
      </c>
      <c r="H107" s="558"/>
      <c r="I107" s="558" t="s">
        <v>164</v>
      </c>
      <c r="J107" s="558">
        <v>106</v>
      </c>
      <c r="K107" s="558" t="s">
        <v>893</v>
      </c>
      <c r="L107" s="558"/>
      <c r="Q107" s="63"/>
      <c r="S107"/>
      <c r="T107"/>
      <c r="U107"/>
      <c r="V107"/>
      <c r="Z107" s="63"/>
      <c r="AB107" s="63"/>
      <c r="AC107" s="63"/>
      <c r="AD107" s="63"/>
      <c r="AL107"/>
      <c r="AM107"/>
      <c r="AP107" s="63"/>
      <c r="AQ107" s="63"/>
      <c r="AX107" s="198" t="s">
        <v>2123</v>
      </c>
      <c r="AY107" s="198" t="s">
        <v>1002</v>
      </c>
      <c r="AZ107" s="194" t="s">
        <v>1028</v>
      </c>
      <c r="BA107" s="196"/>
      <c r="BB107" s="196"/>
      <c r="BC107" s="196"/>
      <c r="BD107" s="196"/>
      <c r="BE107" s="196"/>
      <c r="BF107" s="196"/>
      <c r="BG107" s="196"/>
      <c r="BH107" s="196">
        <v>10</v>
      </c>
      <c r="BI107" s="196"/>
      <c r="BJ107" s="198"/>
      <c r="BK107" s="194" t="s">
        <v>910</v>
      </c>
      <c r="BL107" s="196" t="s">
        <v>824</v>
      </c>
    </row>
    <row r="108" spans="1:64" x14ac:dyDescent="0.25">
      <c r="A108" s="557" t="s">
        <v>660</v>
      </c>
      <c r="B108" s="558" t="s">
        <v>719</v>
      </c>
      <c r="C108" s="558" t="s">
        <v>878</v>
      </c>
      <c r="D108" s="558">
        <v>66</v>
      </c>
      <c r="E108" s="558"/>
      <c r="F108" s="558" t="s">
        <v>765</v>
      </c>
      <c r="G108" s="558" t="s">
        <v>767</v>
      </c>
      <c r="H108" s="558"/>
      <c r="I108" s="558" t="s">
        <v>164</v>
      </c>
      <c r="J108" s="558">
        <v>107</v>
      </c>
      <c r="K108" s="558" t="s">
        <v>893</v>
      </c>
      <c r="L108" s="558"/>
      <c r="Q108" s="63"/>
      <c r="S108"/>
      <c r="T108"/>
      <c r="U108"/>
      <c r="V108"/>
      <c r="Z108" s="63"/>
      <c r="AB108" s="63"/>
      <c r="AC108" s="63"/>
      <c r="AD108" s="63"/>
      <c r="AL108"/>
      <c r="AM108"/>
      <c r="AP108" s="63"/>
      <c r="AQ108" s="63"/>
      <c r="AX108" s="198">
        <v>4080100</v>
      </c>
      <c r="AY108" s="54" t="s">
        <v>1019</v>
      </c>
      <c r="AZ108" s="194" t="s">
        <v>1049</v>
      </c>
      <c r="BA108" s="196"/>
      <c r="BB108" s="196"/>
      <c r="BC108" s="196">
        <v>15</v>
      </c>
      <c r="BD108" s="196"/>
      <c r="BE108" s="196"/>
      <c r="BF108" s="196"/>
      <c r="BG108" s="196"/>
      <c r="BH108" s="196">
        <v>11</v>
      </c>
      <c r="BI108" s="196" t="s">
        <v>595</v>
      </c>
      <c r="BJ108" s="198"/>
      <c r="BK108" s="194" t="s">
        <v>134</v>
      </c>
      <c r="BL108" s="196" t="s">
        <v>824</v>
      </c>
    </row>
    <row r="109" spans="1:64" x14ac:dyDescent="0.25">
      <c r="A109" s="557" t="s">
        <v>660</v>
      </c>
      <c r="B109" s="558" t="s">
        <v>720</v>
      </c>
      <c r="C109" s="558" t="s">
        <v>879</v>
      </c>
      <c r="D109" s="558">
        <v>95</v>
      </c>
      <c r="E109" s="558"/>
      <c r="F109" s="558" t="s">
        <v>765</v>
      </c>
      <c r="G109" s="558" t="s">
        <v>768</v>
      </c>
      <c r="H109" s="558"/>
      <c r="I109" s="558" t="s">
        <v>164</v>
      </c>
      <c r="J109" s="558">
        <v>108</v>
      </c>
      <c r="K109" s="558" t="s">
        <v>893</v>
      </c>
      <c r="L109" s="558"/>
      <c r="Q109" s="63"/>
      <c r="S109"/>
      <c r="T109"/>
      <c r="U109"/>
      <c r="V109"/>
      <c r="Z109" s="63"/>
      <c r="AB109" s="63"/>
      <c r="AC109" s="63"/>
      <c r="AD109" s="63"/>
      <c r="AL109"/>
      <c r="AM109"/>
      <c r="AP109" s="63"/>
      <c r="AQ109" s="63"/>
      <c r="AX109" s="198">
        <v>4080200</v>
      </c>
      <c r="AY109" s="54" t="s">
        <v>1019</v>
      </c>
      <c r="AZ109" s="194" t="s">
        <v>1051</v>
      </c>
      <c r="BA109" s="196"/>
      <c r="BB109" s="196"/>
      <c r="BC109" s="196">
        <v>15</v>
      </c>
      <c r="BD109" s="196"/>
      <c r="BE109" s="196"/>
      <c r="BF109" s="196"/>
      <c r="BG109" s="196"/>
      <c r="BH109" s="196">
        <v>12</v>
      </c>
      <c r="BI109" s="196" t="s">
        <v>595</v>
      </c>
      <c r="BJ109" s="198"/>
      <c r="BK109" s="194" t="s">
        <v>134</v>
      </c>
      <c r="BL109" s="196" t="s">
        <v>824</v>
      </c>
    </row>
    <row r="110" spans="1:64" x14ac:dyDescent="0.25">
      <c r="A110" s="557" t="s">
        <v>660</v>
      </c>
      <c r="B110" s="558" t="s">
        <v>721</v>
      </c>
      <c r="C110" s="558" t="s">
        <v>880</v>
      </c>
      <c r="D110" s="558">
        <v>138</v>
      </c>
      <c r="E110" s="558"/>
      <c r="F110" s="558" t="s">
        <v>765</v>
      </c>
      <c r="G110" s="558" t="s">
        <v>757</v>
      </c>
      <c r="H110" s="558"/>
      <c r="I110" s="558" t="s">
        <v>164</v>
      </c>
      <c r="J110" s="558">
        <v>109</v>
      </c>
      <c r="K110" s="558" t="s">
        <v>893</v>
      </c>
      <c r="L110" s="558"/>
      <c r="O110" s="63"/>
      <c r="P110" s="63"/>
      <c r="Q110" s="63"/>
      <c r="R110" s="63"/>
      <c r="Z110" s="63"/>
      <c r="AB110" s="63"/>
      <c r="AC110" s="63"/>
      <c r="AD110" s="63"/>
      <c r="AF110" s="63"/>
      <c r="AL110"/>
      <c r="AM110"/>
      <c r="AP110" s="63"/>
      <c r="AQ110" s="63"/>
      <c r="AX110" s="198">
        <v>4052120</v>
      </c>
      <c r="AY110" s="54" t="s">
        <v>1019</v>
      </c>
      <c r="AZ110" s="196" t="s">
        <v>825</v>
      </c>
      <c r="BA110" s="196"/>
      <c r="BB110" s="196"/>
      <c r="BC110" s="196">
        <v>10</v>
      </c>
      <c r="BD110" s="196"/>
      <c r="BE110" s="196"/>
      <c r="BF110" s="196"/>
      <c r="BG110" s="196"/>
      <c r="BH110" s="196">
        <v>13</v>
      </c>
      <c r="BI110" s="196" t="s">
        <v>167</v>
      </c>
      <c r="BJ110" s="198"/>
      <c r="BK110" s="194" t="s">
        <v>134</v>
      </c>
      <c r="BL110" s="196" t="s">
        <v>824</v>
      </c>
    </row>
    <row r="111" spans="1:64" s="63" customFormat="1" x14ac:dyDescent="0.25">
      <c r="A111" s="557" t="s">
        <v>660</v>
      </c>
      <c r="B111" s="558" t="s">
        <v>722</v>
      </c>
      <c r="C111" s="558" t="s">
        <v>881</v>
      </c>
      <c r="D111" s="558">
        <v>188</v>
      </c>
      <c r="E111" s="558"/>
      <c r="F111" s="558" t="s">
        <v>765</v>
      </c>
      <c r="G111" s="558" t="s">
        <v>769</v>
      </c>
      <c r="H111" s="558"/>
      <c r="I111" s="558" t="s">
        <v>164</v>
      </c>
      <c r="J111" s="558">
        <v>110</v>
      </c>
      <c r="K111" s="558" t="s">
        <v>893</v>
      </c>
      <c r="L111" s="558"/>
      <c r="N111" s="118"/>
      <c r="AF111"/>
      <c r="AX111" s="198">
        <v>4080800</v>
      </c>
      <c r="AY111" s="54" t="s">
        <v>1019</v>
      </c>
      <c r="AZ111" s="196" t="s">
        <v>826</v>
      </c>
      <c r="BA111" s="196"/>
      <c r="BB111" s="196"/>
      <c r="BC111" s="196">
        <v>15</v>
      </c>
      <c r="BD111" s="196"/>
      <c r="BE111" s="196"/>
      <c r="BF111" s="196"/>
      <c r="BG111" s="196"/>
      <c r="BH111" s="196">
        <v>14</v>
      </c>
      <c r="BI111" s="196" t="s">
        <v>595</v>
      </c>
      <c r="BJ111" s="198"/>
      <c r="BK111" s="194" t="s">
        <v>134</v>
      </c>
      <c r="BL111" s="196" t="s">
        <v>824</v>
      </c>
    </row>
    <row r="112" spans="1:64" x14ac:dyDescent="0.25">
      <c r="A112" s="557" t="s">
        <v>660</v>
      </c>
      <c r="B112" s="558" t="s">
        <v>723</v>
      </c>
      <c r="C112" s="558" t="s">
        <v>882</v>
      </c>
      <c r="D112" s="558">
        <v>250</v>
      </c>
      <c r="E112" s="558"/>
      <c r="F112" s="558" t="s">
        <v>765</v>
      </c>
      <c r="G112" s="558" t="s">
        <v>763</v>
      </c>
      <c r="H112" s="558"/>
      <c r="I112" s="558" t="s">
        <v>164</v>
      </c>
      <c r="J112" s="558">
        <v>111</v>
      </c>
      <c r="K112" s="558" t="s">
        <v>893</v>
      </c>
      <c r="L112" s="558"/>
      <c r="O112" s="63"/>
      <c r="P112" s="63"/>
      <c r="Q112" s="63"/>
      <c r="R112" s="63"/>
      <c r="Z112" s="63"/>
      <c r="AB112" s="63"/>
      <c r="AC112" s="63"/>
      <c r="AD112" s="63"/>
      <c r="AL112"/>
      <c r="AM112"/>
      <c r="AP112" s="63"/>
      <c r="AQ112" s="63"/>
      <c r="AX112" s="198">
        <v>4020800</v>
      </c>
      <c r="AY112" s="54" t="s">
        <v>1019</v>
      </c>
      <c r="AZ112" s="196" t="s">
        <v>844</v>
      </c>
      <c r="BA112" s="196"/>
      <c r="BB112" s="196"/>
      <c r="BC112" s="196">
        <v>15</v>
      </c>
      <c r="BD112" s="196"/>
      <c r="BE112" s="196"/>
      <c r="BF112" s="196"/>
      <c r="BG112" s="196"/>
      <c r="BH112" s="196">
        <v>15</v>
      </c>
      <c r="BI112" s="196" t="s">
        <v>588</v>
      </c>
      <c r="BJ112" s="198"/>
      <c r="BK112" s="194" t="s">
        <v>134</v>
      </c>
      <c r="BL112" s="196" t="s">
        <v>824</v>
      </c>
    </row>
    <row r="113" spans="1:66" x14ac:dyDescent="0.25">
      <c r="A113" s="557" t="s">
        <v>660</v>
      </c>
      <c r="B113" s="558" t="s">
        <v>724</v>
      </c>
      <c r="C113" s="558" t="s">
        <v>883</v>
      </c>
      <c r="D113" s="558">
        <v>295</v>
      </c>
      <c r="E113" s="558"/>
      <c r="F113" s="558" t="s">
        <v>765</v>
      </c>
      <c r="G113" s="558" t="s">
        <v>759</v>
      </c>
      <c r="H113" s="558"/>
      <c r="I113" s="558" t="s">
        <v>164</v>
      </c>
      <c r="J113" s="558">
        <v>112</v>
      </c>
      <c r="K113" s="558" t="s">
        <v>893</v>
      </c>
      <c r="L113" s="558"/>
      <c r="Q113" s="63"/>
      <c r="S113"/>
      <c r="T113"/>
      <c r="U113"/>
      <c r="V113"/>
      <c r="Z113" s="63"/>
      <c r="AB113" s="63"/>
      <c r="AC113" s="63"/>
      <c r="AD113" s="63"/>
      <c r="AF113" s="63"/>
      <c r="AL113"/>
      <c r="AM113"/>
      <c r="AP113" s="63"/>
      <c r="AQ113" s="63"/>
      <c r="AX113" s="198">
        <v>4052110</v>
      </c>
      <c r="AY113" s="54" t="s">
        <v>1019</v>
      </c>
      <c r="AZ113" s="196" t="s">
        <v>841</v>
      </c>
      <c r="BA113" s="196"/>
      <c r="BB113" s="196"/>
      <c r="BC113" s="196">
        <v>15</v>
      </c>
      <c r="BD113" s="196"/>
      <c r="BE113" s="196"/>
      <c r="BF113" s="196"/>
      <c r="BG113" s="196"/>
      <c r="BH113" s="196">
        <v>16</v>
      </c>
      <c r="BI113" s="196" t="s">
        <v>591</v>
      </c>
      <c r="BJ113" s="198"/>
      <c r="BK113" s="194" t="s">
        <v>134</v>
      </c>
      <c r="BL113" s="196" t="s">
        <v>824</v>
      </c>
    </row>
    <row r="114" spans="1:66" s="63" customFormat="1" x14ac:dyDescent="0.25">
      <c r="A114" s="557" t="s">
        <v>660</v>
      </c>
      <c r="B114" s="558" t="s">
        <v>725</v>
      </c>
      <c r="C114" s="558" t="s">
        <v>884</v>
      </c>
      <c r="D114" s="558">
        <v>465</v>
      </c>
      <c r="E114" s="558"/>
      <c r="F114" s="558" t="s">
        <v>765</v>
      </c>
      <c r="G114" s="558" t="s">
        <v>760</v>
      </c>
      <c r="H114" s="558"/>
      <c r="I114" s="558" t="s">
        <v>164</v>
      </c>
      <c r="J114" s="558">
        <v>113</v>
      </c>
      <c r="K114" s="558" t="s">
        <v>893</v>
      </c>
      <c r="L114" s="558"/>
      <c r="N114" s="118"/>
      <c r="O114"/>
      <c r="P114"/>
      <c r="R114"/>
      <c r="S114"/>
      <c r="T114"/>
      <c r="U114"/>
      <c r="V114"/>
      <c r="AX114" s="193">
        <v>4080700</v>
      </c>
      <c r="AY114" s="54" t="s">
        <v>1019</v>
      </c>
      <c r="AZ114" s="194" t="s">
        <v>1411</v>
      </c>
      <c r="BA114" s="194"/>
      <c r="BB114" s="194"/>
      <c r="BC114" s="194">
        <v>15</v>
      </c>
      <c r="BD114" s="194"/>
      <c r="BE114" s="194"/>
      <c r="BF114" s="194"/>
      <c r="BG114" s="194"/>
      <c r="BH114" s="196">
        <v>17</v>
      </c>
      <c r="BI114" s="194" t="s">
        <v>595</v>
      </c>
      <c r="BJ114" s="193"/>
      <c r="BK114" s="194" t="s">
        <v>134</v>
      </c>
      <c r="BL114" s="196" t="s">
        <v>824</v>
      </c>
      <c r="BN114" s="194" t="s">
        <v>1079</v>
      </c>
    </row>
    <row r="115" spans="1:66" s="63" customFormat="1" x14ac:dyDescent="0.25">
      <c r="A115" s="557" t="s">
        <v>660</v>
      </c>
      <c r="B115" s="558" t="s">
        <v>726</v>
      </c>
      <c r="C115" s="558" t="s">
        <v>885</v>
      </c>
      <c r="D115" s="558">
        <v>1100</v>
      </c>
      <c r="E115" s="558"/>
      <c r="F115" s="558" t="s">
        <v>765</v>
      </c>
      <c r="G115" s="558" t="s">
        <v>761</v>
      </c>
      <c r="H115" s="558"/>
      <c r="I115" s="558" t="s">
        <v>164</v>
      </c>
      <c r="J115" s="558">
        <v>114</v>
      </c>
      <c r="K115" s="558" t="s">
        <v>893</v>
      </c>
      <c r="L115" s="558"/>
      <c r="N115" s="118"/>
      <c r="O115"/>
      <c r="P115"/>
      <c r="R115"/>
      <c r="S115"/>
      <c r="T115"/>
      <c r="U115"/>
      <c r="V115"/>
      <c r="AX115" s="198">
        <v>4050800</v>
      </c>
      <c r="AY115" s="54" t="s">
        <v>1019</v>
      </c>
      <c r="AZ115" s="196" t="s">
        <v>828</v>
      </c>
      <c r="BA115" s="196"/>
      <c r="BB115" s="196"/>
      <c r="BC115" s="196">
        <v>15</v>
      </c>
      <c r="BD115" s="196"/>
      <c r="BE115" s="196"/>
      <c r="BF115" s="196"/>
      <c r="BG115" s="196"/>
      <c r="BH115" s="196">
        <v>18</v>
      </c>
      <c r="BI115" s="196" t="s">
        <v>167</v>
      </c>
      <c r="BJ115" s="198"/>
      <c r="BK115" s="194" t="s">
        <v>134</v>
      </c>
      <c r="BL115" s="196" t="s">
        <v>824</v>
      </c>
    </row>
    <row r="116" spans="1:66" s="63" customFormat="1" x14ac:dyDescent="0.25">
      <c r="A116" s="557"/>
      <c r="B116" s="558" t="s">
        <v>1402</v>
      </c>
      <c r="C116" s="558"/>
      <c r="D116" s="558" t="s">
        <v>845</v>
      </c>
      <c r="E116" s="558"/>
      <c r="F116" s="558"/>
      <c r="G116" s="558"/>
      <c r="H116" s="558"/>
      <c r="I116" s="558" t="s">
        <v>164</v>
      </c>
      <c r="J116" s="558">
        <v>115</v>
      </c>
      <c r="K116" s="558"/>
      <c r="L116" s="558"/>
      <c r="N116" s="118"/>
      <c r="O116"/>
      <c r="P116"/>
      <c r="R116"/>
      <c r="S116"/>
      <c r="T116"/>
      <c r="U116"/>
      <c r="V116"/>
      <c r="AX116" s="198">
        <v>4100400</v>
      </c>
      <c r="AY116" s="54" t="s">
        <v>1019</v>
      </c>
      <c r="AZ116" s="196" t="s">
        <v>827</v>
      </c>
      <c r="BA116" s="196"/>
      <c r="BB116" s="196"/>
      <c r="BC116" s="196">
        <v>15</v>
      </c>
      <c r="BD116" s="196"/>
      <c r="BE116" s="196"/>
      <c r="BF116" s="196"/>
      <c r="BG116" s="196"/>
      <c r="BH116" s="196">
        <v>19</v>
      </c>
      <c r="BI116" s="196" t="s">
        <v>169</v>
      </c>
      <c r="BJ116" s="198"/>
      <c r="BK116" s="194" t="s">
        <v>134</v>
      </c>
      <c r="BL116" s="196" t="s">
        <v>824</v>
      </c>
    </row>
    <row r="117" spans="1:66" s="63" customFormat="1" x14ac:dyDescent="0.25">
      <c r="A117" s="557" t="s">
        <v>717</v>
      </c>
      <c r="B117" s="558" t="s">
        <v>728</v>
      </c>
      <c r="C117" s="558" t="s">
        <v>870</v>
      </c>
      <c r="D117" s="558">
        <v>50</v>
      </c>
      <c r="E117" s="558"/>
      <c r="F117" s="558" t="s">
        <v>770</v>
      </c>
      <c r="G117" s="558" t="s">
        <v>771</v>
      </c>
      <c r="H117" s="558"/>
      <c r="I117" s="558" t="s">
        <v>164</v>
      </c>
      <c r="J117" s="558">
        <v>116</v>
      </c>
      <c r="K117" s="558" t="s">
        <v>893</v>
      </c>
      <c r="L117" s="558"/>
      <c r="N117" s="118"/>
      <c r="O117"/>
      <c r="P117"/>
      <c r="R117"/>
      <c r="S117"/>
      <c r="T117"/>
      <c r="U117"/>
      <c r="V117"/>
      <c r="AX117" s="193">
        <v>4040400</v>
      </c>
      <c r="AY117" s="54" t="s">
        <v>1019</v>
      </c>
      <c r="AZ117" s="194" t="s">
        <v>1027</v>
      </c>
      <c r="BA117" s="196"/>
      <c r="BB117" s="196"/>
      <c r="BC117" s="196"/>
      <c r="BD117" s="196"/>
      <c r="BE117" s="196"/>
      <c r="BF117" s="196"/>
      <c r="BG117" s="196"/>
      <c r="BH117" s="196">
        <v>20</v>
      </c>
      <c r="BI117" s="196"/>
      <c r="BJ117" s="193"/>
      <c r="BK117" s="194" t="s">
        <v>134</v>
      </c>
      <c r="BL117" s="196" t="s">
        <v>824</v>
      </c>
    </row>
    <row r="118" spans="1:66" s="63" customFormat="1" x14ac:dyDescent="0.25">
      <c r="A118" s="557" t="s">
        <v>717</v>
      </c>
      <c r="B118" s="558" t="s">
        <v>729</v>
      </c>
      <c r="C118" s="558" t="s">
        <v>871</v>
      </c>
      <c r="D118" s="558">
        <v>74</v>
      </c>
      <c r="E118" s="558"/>
      <c r="F118" s="558" t="s">
        <v>770</v>
      </c>
      <c r="G118" s="558" t="s">
        <v>767</v>
      </c>
      <c r="H118" s="558"/>
      <c r="I118" s="558" t="s">
        <v>164</v>
      </c>
      <c r="J118" s="558">
        <v>117</v>
      </c>
      <c r="K118" s="558" t="s">
        <v>893</v>
      </c>
      <c r="L118" s="558"/>
      <c r="N118" s="118"/>
      <c r="O118"/>
      <c r="P118"/>
      <c r="R118"/>
      <c r="S118"/>
      <c r="T118"/>
      <c r="U118"/>
      <c r="V118"/>
      <c r="AF118"/>
      <c r="AX118" s="198"/>
      <c r="AY118" s="196"/>
      <c r="AZ118" s="196"/>
      <c r="BA118" s="196"/>
      <c r="BB118" s="196"/>
      <c r="BC118" s="196"/>
      <c r="BD118" s="196"/>
      <c r="BE118" s="196"/>
      <c r="BF118" s="196"/>
      <c r="BG118" s="196"/>
      <c r="BH118" s="196"/>
      <c r="BI118" s="196"/>
      <c r="BJ118" s="196"/>
      <c r="BK118" s="196"/>
      <c r="BL118"/>
    </row>
    <row r="119" spans="1:66" x14ac:dyDescent="0.25">
      <c r="A119" s="557" t="s">
        <v>717</v>
      </c>
      <c r="B119" s="558" t="s">
        <v>730</v>
      </c>
      <c r="C119" s="558" t="s">
        <v>872</v>
      </c>
      <c r="D119" s="558">
        <v>93</v>
      </c>
      <c r="E119" s="558"/>
      <c r="F119" s="558" t="s">
        <v>770</v>
      </c>
      <c r="G119" s="558" t="s">
        <v>772</v>
      </c>
      <c r="H119" s="558"/>
      <c r="I119" s="558" t="s">
        <v>164</v>
      </c>
      <c r="J119" s="558">
        <v>118</v>
      </c>
      <c r="K119" s="558" t="s">
        <v>893</v>
      </c>
      <c r="L119" s="558"/>
      <c r="Q119" s="63"/>
      <c r="S119"/>
      <c r="T119"/>
      <c r="U119"/>
      <c r="V119"/>
      <c r="Z119" s="63"/>
      <c r="AB119" s="63"/>
      <c r="AC119" s="63"/>
      <c r="AD119" s="63"/>
      <c r="AL119"/>
      <c r="AM119"/>
      <c r="AP119" s="63"/>
      <c r="AQ119" s="63"/>
      <c r="AX119" s="198" t="s">
        <v>141</v>
      </c>
      <c r="AY119" s="198" t="s">
        <v>1004</v>
      </c>
      <c r="AZ119" s="196" t="s">
        <v>832</v>
      </c>
      <c r="BA119" s="196" t="s">
        <v>833</v>
      </c>
      <c r="BB119" s="194" t="s">
        <v>1021</v>
      </c>
      <c r="BC119" s="196" t="s">
        <v>152</v>
      </c>
      <c r="BD119" s="196" t="s">
        <v>144</v>
      </c>
      <c r="BE119" s="196" t="s">
        <v>654</v>
      </c>
      <c r="BF119" s="196" t="s">
        <v>655</v>
      </c>
      <c r="BG119" s="196" t="s">
        <v>800</v>
      </c>
      <c r="BH119" s="196" t="s">
        <v>659</v>
      </c>
      <c r="BI119" s="196" t="s">
        <v>799</v>
      </c>
      <c r="BJ119" s="196" t="s">
        <v>636</v>
      </c>
      <c r="BK119" s="194" t="s">
        <v>1074</v>
      </c>
      <c r="BL119" s="196" t="s">
        <v>798</v>
      </c>
    </row>
    <row r="120" spans="1:66" x14ac:dyDescent="0.25">
      <c r="A120" s="557" t="s">
        <v>717</v>
      </c>
      <c r="B120" s="558" t="s">
        <v>731</v>
      </c>
      <c r="C120" s="558" t="s">
        <v>873</v>
      </c>
      <c r="D120" s="558">
        <v>125</v>
      </c>
      <c r="E120" s="558"/>
      <c r="F120" s="558" t="s">
        <v>770</v>
      </c>
      <c r="G120" s="558" t="s">
        <v>757</v>
      </c>
      <c r="H120" s="558"/>
      <c r="I120" s="558" t="s">
        <v>164</v>
      </c>
      <c r="J120" s="558">
        <v>119</v>
      </c>
      <c r="K120" s="558" t="s">
        <v>893</v>
      </c>
      <c r="L120" s="558"/>
      <c r="O120" s="63"/>
      <c r="P120" s="63"/>
      <c r="Q120" s="63"/>
      <c r="R120" s="63"/>
      <c r="Z120" s="63"/>
      <c r="AB120" s="63"/>
      <c r="AC120" s="63"/>
      <c r="AD120" s="63"/>
      <c r="AL120"/>
      <c r="AM120"/>
      <c r="AP120" s="63"/>
      <c r="AQ120" s="63"/>
      <c r="AX120" s="198" t="s">
        <v>2124</v>
      </c>
      <c r="AY120" s="198" t="s">
        <v>1002</v>
      </c>
      <c r="AZ120" s="194" t="s">
        <v>1046</v>
      </c>
      <c r="BA120" s="196"/>
      <c r="BB120" s="196"/>
      <c r="BC120" s="196">
        <v>12</v>
      </c>
      <c r="BD120" s="196"/>
      <c r="BE120" s="196"/>
      <c r="BF120" s="196"/>
      <c r="BG120" s="196"/>
      <c r="BH120" s="196">
        <v>1</v>
      </c>
      <c r="BI120" s="196" t="s">
        <v>169</v>
      </c>
      <c r="BJ120" s="198"/>
      <c r="BK120" s="194" t="s">
        <v>910</v>
      </c>
      <c r="BL120" s="196" t="s">
        <v>169</v>
      </c>
    </row>
    <row r="121" spans="1:66" x14ac:dyDescent="0.25">
      <c r="A121" s="557" t="s">
        <v>717</v>
      </c>
      <c r="B121" s="558" t="s">
        <v>732</v>
      </c>
      <c r="C121" s="558" t="s">
        <v>874</v>
      </c>
      <c r="D121" s="558">
        <v>205</v>
      </c>
      <c r="E121" s="558"/>
      <c r="F121" s="558" t="s">
        <v>770</v>
      </c>
      <c r="G121" s="558" t="s">
        <v>758</v>
      </c>
      <c r="H121" s="558"/>
      <c r="I121" s="558" t="s">
        <v>164</v>
      </c>
      <c r="J121" s="558">
        <v>120</v>
      </c>
      <c r="K121" s="558" t="s">
        <v>893</v>
      </c>
      <c r="L121" s="558"/>
      <c r="O121" s="63"/>
      <c r="P121" s="63"/>
      <c r="Q121" s="63"/>
      <c r="R121" s="63"/>
      <c r="Z121" s="63"/>
      <c r="AB121" s="63"/>
      <c r="AC121" s="63"/>
      <c r="AD121" s="63"/>
      <c r="AL121"/>
      <c r="AM121"/>
      <c r="AP121" s="63"/>
      <c r="AQ121" s="63"/>
      <c r="AX121" s="198" t="s">
        <v>2125</v>
      </c>
      <c r="AY121" s="198" t="s">
        <v>1002</v>
      </c>
      <c r="AZ121" s="194" t="s">
        <v>1045</v>
      </c>
      <c r="BA121" s="196"/>
      <c r="BB121" s="196"/>
      <c r="BC121" s="196">
        <v>12</v>
      </c>
      <c r="BD121" s="196"/>
      <c r="BE121" s="196"/>
      <c r="BF121" s="196"/>
      <c r="BG121" s="196"/>
      <c r="BH121" s="196">
        <v>2</v>
      </c>
      <c r="BI121" s="196" t="s">
        <v>169</v>
      </c>
      <c r="BJ121" s="198"/>
      <c r="BK121" s="194" t="s">
        <v>910</v>
      </c>
      <c r="BL121" s="196" t="s">
        <v>169</v>
      </c>
    </row>
    <row r="122" spans="1:66" x14ac:dyDescent="0.25">
      <c r="A122" s="557" t="s">
        <v>717</v>
      </c>
      <c r="B122" s="558" t="s">
        <v>733</v>
      </c>
      <c r="C122" s="558" t="s">
        <v>875</v>
      </c>
      <c r="D122" s="558">
        <v>290</v>
      </c>
      <c r="E122" s="558"/>
      <c r="F122" s="558" t="s">
        <v>770</v>
      </c>
      <c r="G122" s="558" t="s">
        <v>759</v>
      </c>
      <c r="H122" s="558"/>
      <c r="I122" s="558" t="s">
        <v>164</v>
      </c>
      <c r="J122" s="558">
        <v>121</v>
      </c>
      <c r="K122" s="558" t="s">
        <v>893</v>
      </c>
      <c r="L122" s="558"/>
      <c r="O122" s="63"/>
      <c r="P122" s="63"/>
      <c r="Q122" s="63"/>
      <c r="R122" s="63"/>
      <c r="Z122" s="63"/>
      <c r="AB122" s="63"/>
      <c r="AC122" s="63"/>
      <c r="AD122" s="63"/>
      <c r="AL122"/>
      <c r="AM122"/>
      <c r="AP122" s="63"/>
      <c r="AQ122" s="63"/>
      <c r="AX122" s="198" t="s">
        <v>2122</v>
      </c>
      <c r="AY122" s="198" t="s">
        <v>1002</v>
      </c>
      <c r="AZ122" s="194" t="s">
        <v>1043</v>
      </c>
      <c r="BA122" s="196"/>
      <c r="BB122" s="196"/>
      <c r="BC122" s="196">
        <v>15</v>
      </c>
      <c r="BD122" s="196"/>
      <c r="BE122" s="196"/>
      <c r="BF122" s="196"/>
      <c r="BG122" s="196"/>
      <c r="BH122" s="196">
        <v>3</v>
      </c>
      <c r="BI122" s="196" t="s">
        <v>169</v>
      </c>
      <c r="BJ122" s="198"/>
      <c r="BK122" s="194" t="s">
        <v>910</v>
      </c>
      <c r="BL122" s="196" t="s">
        <v>169</v>
      </c>
    </row>
    <row r="123" spans="1:66" x14ac:dyDescent="0.25">
      <c r="A123" s="557" t="s">
        <v>717</v>
      </c>
      <c r="B123" s="558" t="s">
        <v>734</v>
      </c>
      <c r="C123" s="558" t="s">
        <v>876</v>
      </c>
      <c r="D123" s="558">
        <v>455</v>
      </c>
      <c r="E123" s="558"/>
      <c r="F123" s="558" t="s">
        <v>770</v>
      </c>
      <c r="G123" s="558" t="s">
        <v>760</v>
      </c>
      <c r="H123" s="558"/>
      <c r="I123" s="558" t="s">
        <v>164</v>
      </c>
      <c r="J123" s="558">
        <v>122</v>
      </c>
      <c r="K123" s="558" t="s">
        <v>893</v>
      </c>
      <c r="L123" s="558"/>
      <c r="Q123" s="63"/>
      <c r="S123"/>
      <c r="T123"/>
      <c r="U123"/>
      <c r="V123"/>
      <c r="Z123" s="63"/>
      <c r="AB123" s="63"/>
      <c r="AC123" s="63"/>
      <c r="AD123" s="63"/>
      <c r="AF123" s="63"/>
      <c r="AL123"/>
      <c r="AM123"/>
      <c r="AP123" s="63"/>
      <c r="AQ123" s="63"/>
      <c r="AX123" s="198" t="s">
        <v>2126</v>
      </c>
      <c r="AY123" s="198" t="s">
        <v>1002</v>
      </c>
      <c r="AZ123" s="194" t="s">
        <v>1048</v>
      </c>
      <c r="BA123" s="196"/>
      <c r="BB123" s="196"/>
      <c r="BC123" s="196">
        <v>12</v>
      </c>
      <c r="BD123" s="196"/>
      <c r="BE123" s="196"/>
      <c r="BF123" s="196"/>
      <c r="BG123" s="196"/>
      <c r="BH123" s="196">
        <v>4</v>
      </c>
      <c r="BI123" s="196" t="s">
        <v>169</v>
      </c>
      <c r="BJ123" s="198"/>
      <c r="BK123" s="194" t="s">
        <v>910</v>
      </c>
      <c r="BL123" s="196" t="s">
        <v>169</v>
      </c>
    </row>
    <row r="124" spans="1:66" s="63" customFormat="1" x14ac:dyDescent="0.25">
      <c r="A124" s="557" t="s">
        <v>717</v>
      </c>
      <c r="B124" s="558" t="s">
        <v>2099</v>
      </c>
      <c r="C124" s="558" t="s">
        <v>2100</v>
      </c>
      <c r="D124" s="558">
        <v>1075</v>
      </c>
      <c r="E124" s="558"/>
      <c r="F124" s="558" t="s">
        <v>770</v>
      </c>
      <c r="G124" s="558" t="s">
        <v>761</v>
      </c>
      <c r="H124" s="558"/>
      <c r="I124" s="558" t="s">
        <v>164</v>
      </c>
      <c r="J124" s="558">
        <v>123</v>
      </c>
      <c r="K124" s="558" t="s">
        <v>894</v>
      </c>
      <c r="L124" s="558"/>
      <c r="N124" s="118"/>
      <c r="O124"/>
      <c r="P124"/>
      <c r="R124"/>
      <c r="S124"/>
      <c r="T124"/>
      <c r="U124"/>
      <c r="V124"/>
      <c r="AX124" s="198" t="s">
        <v>2127</v>
      </c>
      <c r="AY124" s="198" t="s">
        <v>1002</v>
      </c>
      <c r="AZ124" s="194" t="s">
        <v>1047</v>
      </c>
      <c r="BA124" s="196"/>
      <c r="BB124" s="196"/>
      <c r="BC124" s="196">
        <v>12</v>
      </c>
      <c r="BD124" s="196"/>
      <c r="BE124" s="196"/>
      <c r="BF124" s="196"/>
      <c r="BG124" s="196"/>
      <c r="BH124" s="196">
        <v>5</v>
      </c>
      <c r="BI124" s="196" t="s">
        <v>169</v>
      </c>
      <c r="BJ124" s="198"/>
      <c r="BK124" s="194" t="s">
        <v>910</v>
      </c>
      <c r="BL124" s="196" t="s">
        <v>169</v>
      </c>
    </row>
    <row r="125" spans="1:66" s="63" customFormat="1" x14ac:dyDescent="0.25">
      <c r="A125" s="198"/>
      <c r="B125" s="194" t="s">
        <v>1402</v>
      </c>
      <c r="C125" s="196"/>
      <c r="D125" s="196" t="s">
        <v>845</v>
      </c>
      <c r="E125" s="196"/>
      <c r="F125" s="196"/>
      <c r="G125" s="196"/>
      <c r="H125" s="196"/>
      <c r="I125" s="196"/>
      <c r="J125" s="558">
        <v>124</v>
      </c>
      <c r="K125" s="196"/>
      <c r="L125" s="196"/>
      <c r="N125" s="118"/>
      <c r="O125"/>
      <c r="P125"/>
      <c r="R125"/>
      <c r="S125"/>
      <c r="T125"/>
      <c r="U125"/>
      <c r="V125"/>
      <c r="AF125"/>
      <c r="AX125" s="198" t="s">
        <v>2128</v>
      </c>
      <c r="AY125" s="198" t="s">
        <v>1002</v>
      </c>
      <c r="AZ125" s="194" t="s">
        <v>2129</v>
      </c>
      <c r="BA125" s="196"/>
      <c r="BB125" s="196"/>
      <c r="BC125" s="196">
        <v>15</v>
      </c>
      <c r="BD125" s="196"/>
      <c r="BE125" s="196"/>
      <c r="BF125" s="196"/>
      <c r="BG125" s="196"/>
      <c r="BH125" s="196">
        <v>6</v>
      </c>
      <c r="BI125" s="196" t="s">
        <v>169</v>
      </c>
      <c r="BJ125" s="198"/>
      <c r="BK125" s="194" t="s">
        <v>910</v>
      </c>
      <c r="BL125" s="196" t="s">
        <v>169</v>
      </c>
    </row>
    <row r="126" spans="1:66" x14ac:dyDescent="0.25">
      <c r="A126" s="198" t="s">
        <v>737</v>
      </c>
      <c r="B126" s="196" t="s">
        <v>994</v>
      </c>
      <c r="C126" s="196"/>
      <c r="D126" s="196" t="str">
        <f>""</f>
        <v/>
      </c>
      <c r="E126" s="196"/>
      <c r="F126" s="196" t="s">
        <v>997</v>
      </c>
      <c r="G126" s="196"/>
      <c r="H126" s="196"/>
      <c r="I126" s="196" t="s">
        <v>164</v>
      </c>
      <c r="J126" s="558">
        <v>125</v>
      </c>
      <c r="K126" s="196"/>
      <c r="L126" s="196"/>
      <c r="Q126" s="63"/>
      <c r="S126"/>
      <c r="T126"/>
      <c r="U126"/>
      <c r="V126"/>
      <c r="Z126" s="63"/>
      <c r="AB126" s="63"/>
      <c r="AC126" s="63"/>
      <c r="AD126" s="63"/>
      <c r="AL126"/>
      <c r="AM126"/>
      <c r="AP126" s="63"/>
      <c r="AQ126" s="63"/>
      <c r="AX126" s="198" t="s">
        <v>2130</v>
      </c>
      <c r="AY126" s="198" t="s">
        <v>1002</v>
      </c>
      <c r="AZ126" s="194" t="s">
        <v>1028</v>
      </c>
      <c r="BA126" s="196"/>
      <c r="BB126" s="196"/>
      <c r="BC126" s="196"/>
      <c r="BD126" s="196"/>
      <c r="BE126" s="196"/>
      <c r="BF126" s="196"/>
      <c r="BG126" s="196"/>
      <c r="BH126" s="196">
        <v>7</v>
      </c>
      <c r="BI126" s="196"/>
      <c r="BJ126" s="198"/>
      <c r="BK126" s="194" t="s">
        <v>910</v>
      </c>
      <c r="BL126" s="196" t="s">
        <v>169</v>
      </c>
    </row>
    <row r="127" spans="1:66" x14ac:dyDescent="0.25">
      <c r="A127" s="198" t="s">
        <v>736</v>
      </c>
      <c r="B127" s="196" t="s">
        <v>995</v>
      </c>
      <c r="C127" s="196"/>
      <c r="D127" s="196" t="str">
        <f>""</f>
        <v/>
      </c>
      <c r="E127" s="196"/>
      <c r="F127" s="196" t="s">
        <v>998</v>
      </c>
      <c r="G127" s="196"/>
      <c r="H127" s="196"/>
      <c r="I127" s="196" t="s">
        <v>164</v>
      </c>
      <c r="J127" s="558">
        <v>126</v>
      </c>
      <c r="K127" s="196"/>
      <c r="L127" s="196"/>
      <c r="Q127" s="63"/>
      <c r="S127"/>
      <c r="T127"/>
      <c r="U127"/>
      <c r="V127"/>
      <c r="Z127" s="63"/>
      <c r="AB127" s="63"/>
      <c r="AC127" s="63"/>
      <c r="AD127" s="63"/>
      <c r="AL127"/>
      <c r="AM127"/>
      <c r="AP127" s="63"/>
      <c r="AQ127" s="63"/>
      <c r="AX127" s="198" t="s">
        <v>2131</v>
      </c>
      <c r="AY127" s="54" t="s">
        <v>1019</v>
      </c>
      <c r="AZ127" s="196" t="s">
        <v>840</v>
      </c>
      <c r="BA127" s="196"/>
      <c r="BB127" s="196"/>
      <c r="BC127" s="196">
        <v>12</v>
      </c>
      <c r="BD127" s="196"/>
      <c r="BE127" s="196"/>
      <c r="BF127" s="196"/>
      <c r="BG127" s="196"/>
      <c r="BH127" s="196">
        <v>8</v>
      </c>
      <c r="BI127" s="196" t="s">
        <v>169</v>
      </c>
      <c r="BJ127" s="198"/>
      <c r="BK127" s="194" t="s">
        <v>134</v>
      </c>
      <c r="BL127" s="196" t="s">
        <v>169</v>
      </c>
    </row>
    <row r="128" spans="1:66" x14ac:dyDescent="0.25">
      <c r="A128" s="198" t="s">
        <v>735</v>
      </c>
      <c r="B128" s="196" t="s">
        <v>996</v>
      </c>
      <c r="C128" s="196"/>
      <c r="D128" s="196" t="str">
        <f>""</f>
        <v/>
      </c>
      <c r="E128" s="196"/>
      <c r="F128" s="196" t="s">
        <v>1000</v>
      </c>
      <c r="G128" s="196"/>
      <c r="H128" s="196"/>
      <c r="I128" s="196" t="s">
        <v>164</v>
      </c>
      <c r="J128" s="558">
        <v>127</v>
      </c>
      <c r="K128" s="196"/>
      <c r="L128" s="196"/>
      <c r="O128" s="63"/>
      <c r="P128" s="63"/>
      <c r="Q128" s="63"/>
      <c r="R128" s="63"/>
      <c r="Z128" s="63"/>
      <c r="AB128" s="63"/>
      <c r="AC128" s="63"/>
      <c r="AD128" s="63"/>
      <c r="AL128"/>
      <c r="AM128"/>
      <c r="AP128" s="63"/>
      <c r="AQ128" s="63"/>
      <c r="AX128" s="198" t="s">
        <v>2132</v>
      </c>
      <c r="AY128" s="54" t="s">
        <v>1019</v>
      </c>
      <c r="AZ128" s="196" t="s">
        <v>839</v>
      </c>
      <c r="BA128" s="196"/>
      <c r="BB128" s="196"/>
      <c r="BC128" s="196">
        <v>12</v>
      </c>
      <c r="BD128" s="196"/>
      <c r="BE128" s="196"/>
      <c r="BF128" s="196"/>
      <c r="BG128" s="196"/>
      <c r="BH128" s="196">
        <v>9</v>
      </c>
      <c r="BI128" s="196" t="s">
        <v>169</v>
      </c>
      <c r="BJ128" s="198"/>
      <c r="BK128" s="194" t="s">
        <v>134</v>
      </c>
      <c r="BL128" s="196" t="s">
        <v>169</v>
      </c>
    </row>
    <row r="129" spans="1:66" x14ac:dyDescent="0.25">
      <c r="A129" s="198" t="s">
        <v>739</v>
      </c>
      <c r="B129" s="196" t="s">
        <v>993</v>
      </c>
      <c r="C129" s="196"/>
      <c r="D129" s="196" t="str">
        <f>""</f>
        <v/>
      </c>
      <c r="E129" s="196"/>
      <c r="F129" s="194" t="s">
        <v>1083</v>
      </c>
      <c r="G129" s="196" t="s">
        <v>170</v>
      </c>
      <c r="H129" s="196"/>
      <c r="I129" s="196" t="s">
        <v>164</v>
      </c>
      <c r="J129" s="558">
        <v>128</v>
      </c>
      <c r="K129" s="196"/>
      <c r="L129" s="196"/>
      <c r="O129" s="63"/>
      <c r="P129" s="63"/>
      <c r="Q129" s="63"/>
      <c r="R129" s="63"/>
      <c r="Z129" s="63"/>
      <c r="AB129" s="63"/>
      <c r="AC129" s="63"/>
      <c r="AD129" s="63"/>
      <c r="AF129" s="63"/>
      <c r="AL129"/>
      <c r="AM129"/>
      <c r="AP129" s="63"/>
      <c r="AQ129" s="63"/>
      <c r="AX129" s="198" t="s">
        <v>2133</v>
      </c>
      <c r="AY129" s="54" t="s">
        <v>1019</v>
      </c>
      <c r="AZ129" s="196" t="s">
        <v>827</v>
      </c>
      <c r="BA129" s="196"/>
      <c r="BB129" s="196"/>
      <c r="BC129" s="196">
        <v>15</v>
      </c>
      <c r="BD129" s="196"/>
      <c r="BE129" s="196"/>
      <c r="BF129" s="196"/>
      <c r="BG129" s="196"/>
      <c r="BH129" s="196">
        <v>10</v>
      </c>
      <c r="BI129" s="196" t="s">
        <v>169</v>
      </c>
      <c r="BJ129" s="198"/>
      <c r="BK129" s="194" t="s">
        <v>134</v>
      </c>
      <c r="BL129" s="196" t="s">
        <v>169</v>
      </c>
    </row>
    <row r="130" spans="1:66" s="63" customFormat="1" x14ac:dyDescent="0.25">
      <c r="A130" s="118"/>
      <c r="B130"/>
      <c r="C130"/>
      <c r="D130"/>
      <c r="E130"/>
      <c r="H130"/>
      <c r="N130" s="118"/>
      <c r="AX130" s="193" t="s">
        <v>2126</v>
      </c>
      <c r="AY130" s="54" t="s">
        <v>1019</v>
      </c>
      <c r="AZ130" s="196" t="s">
        <v>830</v>
      </c>
      <c r="BA130" s="196"/>
      <c r="BB130" s="196"/>
      <c r="BC130" s="196">
        <v>12</v>
      </c>
      <c r="BD130" s="196"/>
      <c r="BE130" s="196"/>
      <c r="BF130" s="196"/>
      <c r="BG130" s="196"/>
      <c r="BH130" s="196">
        <v>11</v>
      </c>
      <c r="BI130" s="196" t="s">
        <v>169</v>
      </c>
      <c r="BJ130" s="198"/>
      <c r="BK130" s="194" t="s">
        <v>134</v>
      </c>
      <c r="BL130" s="196" t="s">
        <v>169</v>
      </c>
      <c r="BN130" s="194" t="s">
        <v>1080</v>
      </c>
    </row>
    <row r="131" spans="1:66" s="63" customFormat="1" x14ac:dyDescent="0.25">
      <c r="A131" s="118"/>
      <c r="B131"/>
      <c r="C131"/>
      <c r="D131"/>
      <c r="E131"/>
      <c r="H131"/>
      <c r="N131" s="118"/>
      <c r="AX131" s="193" t="s">
        <v>2143</v>
      </c>
      <c r="AY131" s="54" t="s">
        <v>1019</v>
      </c>
      <c r="AZ131" s="196" t="s">
        <v>829</v>
      </c>
      <c r="BA131" s="196"/>
      <c r="BB131" s="196"/>
      <c r="BC131" s="196">
        <v>12</v>
      </c>
      <c r="BD131" s="196"/>
      <c r="BE131" s="196"/>
      <c r="BF131" s="196"/>
      <c r="BG131" s="196"/>
      <c r="BH131" s="196">
        <v>12</v>
      </c>
      <c r="BI131" s="196" t="s">
        <v>169</v>
      </c>
      <c r="BJ131" s="198"/>
      <c r="BK131" s="194" t="s">
        <v>134</v>
      </c>
      <c r="BL131" s="196" t="s">
        <v>169</v>
      </c>
    </row>
    <row r="132" spans="1:66" s="63" customFormat="1" x14ac:dyDescent="0.25">
      <c r="A132" s="118"/>
      <c r="N132" s="118"/>
      <c r="O132"/>
      <c r="P132"/>
      <c r="R132"/>
      <c r="S132"/>
      <c r="T132"/>
      <c r="U132"/>
      <c r="V132"/>
      <c r="AF132"/>
      <c r="AX132" s="193" t="s">
        <v>2144</v>
      </c>
      <c r="AY132" s="54" t="s">
        <v>1019</v>
      </c>
      <c r="AZ132" s="194" t="s">
        <v>2134</v>
      </c>
      <c r="BA132" s="196"/>
      <c r="BB132" s="196"/>
      <c r="BC132" s="196">
        <v>15</v>
      </c>
      <c r="BD132" s="196"/>
      <c r="BE132" s="196"/>
      <c r="BF132" s="196"/>
      <c r="BG132" s="196"/>
      <c r="BH132" s="196">
        <v>13</v>
      </c>
      <c r="BI132" s="196" t="s">
        <v>169</v>
      </c>
      <c r="BJ132" s="198"/>
      <c r="BK132" s="194" t="s">
        <v>134</v>
      </c>
      <c r="BL132" s="196" t="s">
        <v>169</v>
      </c>
    </row>
    <row r="133" spans="1:66" x14ac:dyDescent="0.25">
      <c r="B133" s="63"/>
      <c r="C133" s="63"/>
      <c r="D133" s="63"/>
      <c r="E133" s="63"/>
      <c r="H133" s="63"/>
      <c r="Q133" s="63"/>
      <c r="S133"/>
      <c r="T133"/>
      <c r="U133"/>
      <c r="V133"/>
      <c r="Z133" s="63"/>
      <c r="AB133" s="63"/>
      <c r="AC133" s="63"/>
      <c r="AD133" s="63"/>
      <c r="AL133"/>
      <c r="AM133"/>
      <c r="AP133" s="63"/>
      <c r="AQ133" s="63"/>
      <c r="AX133" s="193" t="s">
        <v>2145</v>
      </c>
      <c r="AY133" s="54" t="s">
        <v>1019</v>
      </c>
      <c r="AZ133" s="194" t="s">
        <v>1027</v>
      </c>
      <c r="BA133" s="196"/>
      <c r="BB133" s="196"/>
      <c r="BC133" s="196"/>
      <c r="BD133" s="196"/>
      <c r="BE133" s="196"/>
      <c r="BF133" s="196"/>
      <c r="BG133" s="196"/>
      <c r="BH133" s="196">
        <v>14</v>
      </c>
      <c r="BI133" s="196"/>
      <c r="BJ133" s="193"/>
      <c r="BK133" s="194" t="s">
        <v>134</v>
      </c>
      <c r="BL133" s="196" t="s">
        <v>169</v>
      </c>
    </row>
    <row r="134" spans="1:66" x14ac:dyDescent="0.25">
      <c r="B134" s="63"/>
      <c r="C134" s="63"/>
      <c r="D134" s="63"/>
      <c r="E134" s="63"/>
      <c r="H134" s="63"/>
      <c r="Q134" s="63"/>
      <c r="S134"/>
      <c r="T134"/>
      <c r="U134"/>
      <c r="V134"/>
      <c r="Z134" s="63"/>
      <c r="AB134" s="63"/>
      <c r="AC134" s="63"/>
      <c r="AD134" s="63"/>
      <c r="AL134"/>
      <c r="AM134"/>
      <c r="AP134" s="63"/>
      <c r="AQ134" s="63"/>
      <c r="AX134" s="198"/>
      <c r="AY134" s="196"/>
      <c r="AZ134" s="196"/>
      <c r="BA134" s="196"/>
      <c r="BB134" s="196"/>
      <c r="BC134" s="196"/>
      <c r="BD134" s="196"/>
      <c r="BE134" s="196"/>
      <c r="BF134" s="196"/>
      <c r="BG134" s="196"/>
      <c r="BH134" s="196"/>
      <c r="BI134" s="196"/>
      <c r="BJ134" s="196"/>
      <c r="BK134" s="196"/>
    </row>
    <row r="135" spans="1:66" x14ac:dyDescent="0.25">
      <c r="O135" s="63"/>
      <c r="P135" s="63"/>
      <c r="Q135" s="63"/>
      <c r="R135" s="63"/>
      <c r="Z135" s="63"/>
      <c r="AB135" s="63"/>
      <c r="AC135" s="63"/>
      <c r="AD135" s="63"/>
      <c r="AL135"/>
      <c r="AM135"/>
      <c r="AP135" s="63"/>
      <c r="AQ135" s="63"/>
      <c r="AX135" s="198" t="s">
        <v>141</v>
      </c>
      <c r="AY135" s="198" t="s">
        <v>1004</v>
      </c>
      <c r="AZ135" s="196" t="s">
        <v>832</v>
      </c>
      <c r="BA135" s="196" t="s">
        <v>833</v>
      </c>
      <c r="BB135" s="194" t="s">
        <v>1021</v>
      </c>
      <c r="BC135" s="196" t="s">
        <v>152</v>
      </c>
      <c r="BD135" s="196" t="s">
        <v>144</v>
      </c>
      <c r="BE135" s="196" t="s">
        <v>654</v>
      </c>
      <c r="BF135" s="196" t="s">
        <v>655</v>
      </c>
      <c r="BG135" s="196" t="s">
        <v>800</v>
      </c>
      <c r="BH135" s="196" t="s">
        <v>659</v>
      </c>
      <c r="BI135" s="196" t="s">
        <v>799</v>
      </c>
      <c r="BJ135" s="196" t="s">
        <v>636</v>
      </c>
      <c r="BK135" s="194" t="s">
        <v>1074</v>
      </c>
      <c r="BL135" s="196" t="s">
        <v>798</v>
      </c>
    </row>
    <row r="136" spans="1:66" x14ac:dyDescent="0.25">
      <c r="Q136" s="63"/>
      <c r="S136"/>
      <c r="T136"/>
      <c r="U136"/>
      <c r="V136"/>
      <c r="Z136" s="63"/>
      <c r="AB136" s="63"/>
      <c r="AC136" s="63"/>
      <c r="AD136" s="63"/>
      <c r="AL136"/>
      <c r="AM136"/>
      <c r="AP136" s="63"/>
      <c r="AQ136" s="63"/>
      <c r="AX136" s="118" t="s">
        <v>2137</v>
      </c>
      <c r="AY136" s="198" t="s">
        <v>1002</v>
      </c>
      <c r="AZ136" s="194" t="s">
        <v>1016</v>
      </c>
      <c r="BA136" s="196"/>
      <c r="BB136" s="196"/>
      <c r="BC136" s="196">
        <v>20</v>
      </c>
      <c r="BD136" s="196"/>
      <c r="BE136" s="196"/>
      <c r="BF136" s="196"/>
      <c r="BG136" s="196"/>
      <c r="BH136" s="196">
        <v>1</v>
      </c>
      <c r="BI136" s="194" t="s">
        <v>2136</v>
      </c>
      <c r="BJ136" s="198"/>
      <c r="BK136" s="194" t="s">
        <v>910</v>
      </c>
      <c r="BL136" s="196" t="s">
        <v>594</v>
      </c>
    </row>
    <row r="137" spans="1:66" x14ac:dyDescent="0.25">
      <c r="O137" s="63"/>
      <c r="P137" s="63"/>
      <c r="Q137" s="63"/>
      <c r="R137" s="63"/>
      <c r="Z137" s="63"/>
      <c r="AB137" s="63"/>
      <c r="AC137" s="63"/>
      <c r="AD137" s="63"/>
      <c r="AL137"/>
      <c r="AM137"/>
      <c r="AP137" s="63"/>
      <c r="AQ137" s="63"/>
      <c r="AX137" s="118" t="s">
        <v>2138</v>
      </c>
      <c r="AY137" s="198" t="s">
        <v>1002</v>
      </c>
      <c r="AZ137" s="194" t="s">
        <v>1017</v>
      </c>
      <c r="BA137" s="196"/>
      <c r="BB137" s="196"/>
      <c r="BC137" s="196">
        <v>10</v>
      </c>
      <c r="BD137" s="196"/>
      <c r="BE137" s="196"/>
      <c r="BF137" s="196"/>
      <c r="BG137" s="196"/>
      <c r="BH137" s="196">
        <v>2</v>
      </c>
      <c r="BI137" s="194" t="s">
        <v>2136</v>
      </c>
      <c r="BJ137" s="198"/>
      <c r="BK137" s="194" t="s">
        <v>910</v>
      </c>
      <c r="BL137" s="196" t="s">
        <v>594</v>
      </c>
    </row>
    <row r="138" spans="1:66" x14ac:dyDescent="0.25">
      <c r="Q138" s="63"/>
      <c r="S138"/>
      <c r="T138"/>
      <c r="U138"/>
      <c r="V138"/>
      <c r="Z138" s="63"/>
      <c r="AB138" s="63"/>
      <c r="AC138" s="63"/>
      <c r="AD138" s="63"/>
      <c r="AL138"/>
      <c r="AM138"/>
      <c r="AP138" s="63"/>
      <c r="AQ138" s="63"/>
      <c r="AX138" s="118" t="s">
        <v>2139</v>
      </c>
      <c r="AY138" s="198" t="s">
        <v>1002</v>
      </c>
      <c r="AZ138" s="194" t="s">
        <v>1018</v>
      </c>
      <c r="BA138" s="196"/>
      <c r="BB138" s="196"/>
      <c r="BC138" s="196">
        <v>15</v>
      </c>
      <c r="BD138" s="196"/>
      <c r="BE138" s="196"/>
      <c r="BF138" s="196"/>
      <c r="BG138" s="196"/>
      <c r="BH138" s="196">
        <v>3</v>
      </c>
      <c r="BI138" s="194" t="s">
        <v>2136</v>
      </c>
      <c r="BJ138" s="198"/>
      <c r="BK138" s="194" t="s">
        <v>910</v>
      </c>
      <c r="BL138" s="196" t="s">
        <v>594</v>
      </c>
    </row>
    <row r="139" spans="1:66" x14ac:dyDescent="0.25">
      <c r="Q139" s="63"/>
      <c r="S139"/>
      <c r="T139"/>
      <c r="U139"/>
      <c r="V139"/>
      <c r="Z139" s="63"/>
      <c r="AB139" s="63"/>
      <c r="AC139" s="63"/>
      <c r="AD139" s="63"/>
      <c r="AF139" s="63"/>
      <c r="AL139"/>
      <c r="AM139"/>
      <c r="AP139" s="63"/>
      <c r="AQ139" s="63"/>
      <c r="AX139" s="198"/>
      <c r="AY139" s="198" t="s">
        <v>1002</v>
      </c>
      <c r="AZ139" s="194" t="s">
        <v>1028</v>
      </c>
      <c r="BA139" s="196"/>
      <c r="BB139" s="196"/>
      <c r="BC139" s="196"/>
      <c r="BD139" s="196"/>
      <c r="BE139" s="196"/>
      <c r="BF139" s="196"/>
      <c r="BG139" s="196"/>
      <c r="BH139" s="196">
        <v>4</v>
      </c>
      <c r="BI139" s="194"/>
      <c r="BJ139" s="198"/>
      <c r="BK139" s="194" t="s">
        <v>910</v>
      </c>
      <c r="BL139" s="196" t="s">
        <v>594</v>
      </c>
    </row>
    <row r="140" spans="1:66" s="63" customFormat="1" x14ac:dyDescent="0.25">
      <c r="A140" s="118"/>
      <c r="B140"/>
      <c r="C140"/>
      <c r="D140"/>
      <c r="E140"/>
      <c r="H140"/>
      <c r="N140" s="118"/>
      <c r="AX140" s="118" t="s">
        <v>2140</v>
      </c>
      <c r="AY140" s="54" t="s">
        <v>1019</v>
      </c>
      <c r="AZ140" s="196" t="s">
        <v>831</v>
      </c>
      <c r="BA140" s="196"/>
      <c r="BB140" s="196"/>
      <c r="BC140" s="196">
        <v>20</v>
      </c>
      <c r="BD140" s="196"/>
      <c r="BE140" s="196"/>
      <c r="BF140" s="196"/>
      <c r="BG140" s="196"/>
      <c r="BH140" s="196">
        <v>5</v>
      </c>
      <c r="BI140" s="194" t="s">
        <v>2136</v>
      </c>
      <c r="BJ140" s="198"/>
      <c r="BK140" s="194" t="s">
        <v>134</v>
      </c>
      <c r="BL140" s="196" t="s">
        <v>594</v>
      </c>
    </row>
    <row r="141" spans="1:66" s="63" customFormat="1" x14ac:dyDescent="0.25">
      <c r="A141" s="118"/>
      <c r="B141"/>
      <c r="C141"/>
      <c r="D141"/>
      <c r="E141"/>
      <c r="H141"/>
      <c r="N141" s="118"/>
      <c r="AX141" s="118" t="s">
        <v>2141</v>
      </c>
      <c r="AY141" s="54" t="s">
        <v>1019</v>
      </c>
      <c r="AZ141" s="196" t="s">
        <v>808</v>
      </c>
      <c r="BA141" s="196"/>
      <c r="BB141" s="196"/>
      <c r="BC141" s="196">
        <v>10</v>
      </c>
      <c r="BD141" s="196"/>
      <c r="BE141" s="196"/>
      <c r="BF141" s="196"/>
      <c r="BG141" s="196"/>
      <c r="BH141" s="196">
        <v>6</v>
      </c>
      <c r="BI141" s="194" t="s">
        <v>2136</v>
      </c>
      <c r="BJ141" s="198"/>
      <c r="BK141" s="194" t="s">
        <v>134</v>
      </c>
      <c r="BL141" s="196" t="s">
        <v>594</v>
      </c>
    </row>
    <row r="142" spans="1:66" s="63" customFormat="1" x14ac:dyDescent="0.25">
      <c r="A142" s="118"/>
      <c r="N142" s="118"/>
      <c r="AF142"/>
      <c r="AX142" s="118" t="s">
        <v>2142</v>
      </c>
      <c r="AY142" s="54" t="s">
        <v>1019</v>
      </c>
      <c r="AZ142" s="196" t="s">
        <v>809</v>
      </c>
      <c r="BA142" s="196"/>
      <c r="BB142" s="196"/>
      <c r="BC142" s="196">
        <v>15</v>
      </c>
      <c r="BD142" s="196"/>
      <c r="BE142" s="196"/>
      <c r="BF142" s="196"/>
      <c r="BG142" s="196"/>
      <c r="BH142" s="196">
        <v>7</v>
      </c>
      <c r="BI142" s="194" t="s">
        <v>2136</v>
      </c>
      <c r="BJ142" s="198"/>
      <c r="BK142" s="194" t="s">
        <v>134</v>
      </c>
      <c r="BL142" s="196" t="s">
        <v>594</v>
      </c>
    </row>
    <row r="143" spans="1:66" x14ac:dyDescent="0.25">
      <c r="B143" s="63"/>
      <c r="C143" s="63"/>
      <c r="D143" s="63"/>
      <c r="E143" s="63"/>
      <c r="H143" s="63"/>
      <c r="Q143" s="63"/>
      <c r="S143"/>
      <c r="T143"/>
      <c r="U143"/>
      <c r="V143"/>
      <c r="Z143" s="63"/>
      <c r="AB143" s="63"/>
      <c r="AC143" s="63"/>
      <c r="AD143" s="63"/>
      <c r="AL143"/>
      <c r="AM143"/>
      <c r="AP143" s="63"/>
      <c r="AQ143" s="63"/>
      <c r="AX143" s="193"/>
      <c r="AY143" s="54" t="s">
        <v>1019</v>
      </c>
      <c r="AZ143" s="194" t="s">
        <v>1027</v>
      </c>
      <c r="BA143" s="196"/>
      <c r="BB143" s="196"/>
      <c r="BC143" s="196"/>
      <c r="BD143" s="196"/>
      <c r="BE143" s="196"/>
      <c r="BF143" s="196"/>
      <c r="BG143" s="196"/>
      <c r="BH143" s="196">
        <v>8</v>
      </c>
      <c r="BI143" s="194"/>
      <c r="BJ143" s="193"/>
      <c r="BK143" s="194" t="s">
        <v>134</v>
      </c>
      <c r="BL143" s="196" t="s">
        <v>594</v>
      </c>
    </row>
    <row r="144" spans="1:66" x14ac:dyDescent="0.25">
      <c r="B144" s="63"/>
      <c r="C144" s="63"/>
      <c r="D144" s="63"/>
      <c r="E144" s="63"/>
      <c r="H144" s="63"/>
      <c r="Q144" s="63"/>
      <c r="S144"/>
      <c r="T144"/>
      <c r="U144"/>
      <c r="V144"/>
      <c r="Z144" s="63"/>
      <c r="AB144" s="63"/>
      <c r="AC144" s="63"/>
      <c r="AD144" s="63"/>
      <c r="AL144"/>
      <c r="AM144"/>
      <c r="AP144" s="63"/>
      <c r="AQ144" s="63"/>
      <c r="AX144" s="198"/>
      <c r="AY144" s="196"/>
      <c r="AZ144" s="196"/>
      <c r="BA144" s="196"/>
      <c r="BB144" s="196"/>
      <c r="BC144" s="196"/>
      <c r="BD144" s="196"/>
      <c r="BE144" s="196"/>
      <c r="BF144" s="196"/>
      <c r="BG144" s="196"/>
      <c r="BH144" s="196"/>
      <c r="BI144" s="196"/>
      <c r="BJ144" s="196"/>
      <c r="BK144" s="196"/>
    </row>
    <row r="145" spans="1:64" x14ac:dyDescent="0.25">
      <c r="Q145" s="63"/>
      <c r="S145"/>
      <c r="T145"/>
      <c r="U145"/>
      <c r="V145"/>
      <c r="Z145" s="63"/>
      <c r="AB145" s="63"/>
      <c r="AC145" s="63"/>
      <c r="AD145" s="63"/>
      <c r="AL145"/>
      <c r="AM145"/>
      <c r="AP145" s="63"/>
      <c r="AQ145" s="63"/>
      <c r="AX145" s="198"/>
      <c r="AY145" s="196"/>
      <c r="AZ145" s="196"/>
      <c r="BA145" s="196"/>
      <c r="BB145" s="196"/>
      <c r="BC145" s="196"/>
      <c r="BD145" s="196"/>
      <c r="BE145" s="196"/>
      <c r="BF145" s="196"/>
      <c r="BG145" s="196"/>
      <c r="BH145" s="196"/>
      <c r="BI145" s="196"/>
      <c r="BJ145" s="196"/>
      <c r="BK145" s="196"/>
    </row>
    <row r="146" spans="1:64" x14ac:dyDescent="0.25">
      <c r="Q146" s="63"/>
      <c r="S146"/>
      <c r="T146"/>
      <c r="U146"/>
      <c r="V146"/>
      <c r="Z146" s="63"/>
      <c r="AB146" s="63"/>
      <c r="AC146" s="63"/>
      <c r="AD146" s="63"/>
      <c r="AL146"/>
      <c r="AM146"/>
      <c r="AP146" s="63"/>
      <c r="AQ146" s="63"/>
      <c r="AX146" s="198"/>
      <c r="AY146" s="196"/>
      <c r="AZ146" s="196"/>
      <c r="BA146" s="196"/>
      <c r="BB146" s="196"/>
      <c r="BC146" s="196"/>
      <c r="BD146" s="196"/>
      <c r="BE146" s="196"/>
      <c r="BF146" s="196"/>
      <c r="BG146" s="196"/>
      <c r="BH146" s="196"/>
      <c r="BI146" s="196"/>
      <c r="BJ146" s="196"/>
      <c r="BK146" s="196"/>
    </row>
    <row r="147" spans="1:64" x14ac:dyDescent="0.25">
      <c r="Q147" s="63"/>
      <c r="S147"/>
      <c r="T147"/>
      <c r="U147"/>
      <c r="V147"/>
      <c r="Z147" s="63"/>
      <c r="AB147" s="63"/>
      <c r="AC147" s="63"/>
      <c r="AD147" s="63"/>
      <c r="AF147" s="63"/>
      <c r="AL147"/>
      <c r="AM147"/>
      <c r="AP147" s="63"/>
      <c r="AQ147" s="63"/>
    </row>
    <row r="148" spans="1:64" s="63" customFormat="1" x14ac:dyDescent="0.25">
      <c r="A148" s="118"/>
      <c r="B148"/>
      <c r="C148"/>
      <c r="D148"/>
      <c r="E148"/>
      <c r="H148"/>
      <c r="N148" s="118"/>
      <c r="AX148" s="118"/>
      <c r="AY148"/>
      <c r="AZ148"/>
      <c r="BA148"/>
      <c r="BB148"/>
      <c r="BC148"/>
      <c r="BD148"/>
      <c r="BE148"/>
      <c r="BF148"/>
      <c r="BG148"/>
      <c r="BH148"/>
      <c r="BI148"/>
      <c r="BJ148"/>
      <c r="BK148"/>
      <c r="BL148"/>
    </row>
    <row r="149" spans="1:64" s="63" customFormat="1" x14ac:dyDescent="0.25">
      <c r="A149" s="118"/>
      <c r="B149"/>
      <c r="C149"/>
      <c r="D149"/>
      <c r="E149"/>
      <c r="H149"/>
      <c r="N149" s="118"/>
      <c r="AX149" s="118"/>
      <c r="AY149"/>
      <c r="AZ149"/>
      <c r="BA149"/>
      <c r="BB149"/>
      <c r="BC149"/>
      <c r="BD149"/>
      <c r="BE149"/>
      <c r="BF149"/>
      <c r="BG149"/>
      <c r="BH149"/>
      <c r="BI149"/>
      <c r="BJ149"/>
      <c r="BK149"/>
      <c r="BL149"/>
    </row>
    <row r="150" spans="1:64" s="63" customFormat="1" x14ac:dyDescent="0.25">
      <c r="A150" s="118"/>
      <c r="N150" s="118"/>
      <c r="AX150" s="118"/>
      <c r="AY150"/>
      <c r="AZ150"/>
      <c r="BA150"/>
      <c r="BB150"/>
      <c r="BC150"/>
      <c r="BD150"/>
      <c r="BE150"/>
      <c r="BF150"/>
      <c r="BG150"/>
      <c r="BH150"/>
      <c r="BI150"/>
      <c r="BJ150"/>
      <c r="BK150"/>
      <c r="BL150"/>
    </row>
    <row r="151" spans="1:64" s="63" customFormat="1" x14ac:dyDescent="0.25">
      <c r="A151" s="118"/>
      <c r="N151" s="118"/>
      <c r="O151"/>
      <c r="P151"/>
      <c r="R151"/>
      <c r="S151"/>
      <c r="T151"/>
      <c r="U151"/>
      <c r="V151"/>
      <c r="AF151"/>
      <c r="AX151" s="118"/>
      <c r="AY151"/>
      <c r="AZ151"/>
      <c r="BA151"/>
      <c r="BB151"/>
      <c r="BC151"/>
      <c r="BD151"/>
      <c r="BE151"/>
      <c r="BF151"/>
      <c r="BG151"/>
      <c r="BH151"/>
      <c r="BI151"/>
      <c r="BJ151"/>
    </row>
    <row r="152" spans="1:64" x14ac:dyDescent="0.25">
      <c r="B152" s="63"/>
      <c r="C152" s="63"/>
      <c r="D152" s="63"/>
      <c r="E152" s="63"/>
      <c r="H152" s="63"/>
      <c r="O152" s="63"/>
      <c r="P152" s="63"/>
      <c r="Q152" s="63"/>
      <c r="R152" s="63"/>
      <c r="Z152" s="63"/>
      <c r="AB152" s="63"/>
      <c r="AC152" s="63"/>
      <c r="AD152" s="63"/>
      <c r="AL152"/>
      <c r="AM152"/>
      <c r="AP152" s="63"/>
      <c r="AQ152" s="63"/>
      <c r="BK152" s="63"/>
      <c r="BL152" s="63"/>
    </row>
    <row r="153" spans="1:64" x14ac:dyDescent="0.25">
      <c r="B153" s="63"/>
      <c r="C153" s="63"/>
      <c r="D153" s="63"/>
      <c r="E153" s="63"/>
      <c r="H153" s="63"/>
      <c r="O153" s="63"/>
      <c r="P153" s="63"/>
      <c r="Q153" s="63"/>
      <c r="R153" s="63"/>
      <c r="Z153" s="63"/>
      <c r="AB153" s="63"/>
      <c r="AC153" s="63"/>
      <c r="AD153" s="63"/>
      <c r="AL153"/>
      <c r="AM153"/>
      <c r="AP153" s="63"/>
      <c r="AQ153" s="63"/>
      <c r="BL153" s="63"/>
    </row>
    <row r="154" spans="1:64" x14ac:dyDescent="0.25">
      <c r="Q154" s="63"/>
      <c r="S154"/>
      <c r="T154"/>
      <c r="U154"/>
      <c r="V154"/>
      <c r="Z154" s="63"/>
      <c r="AB154" s="63"/>
      <c r="AC154" s="63"/>
      <c r="AD154" s="63"/>
      <c r="AF154" s="63"/>
      <c r="AL154"/>
      <c r="AM154"/>
      <c r="AP154" s="63"/>
      <c r="AQ154" s="63"/>
    </row>
    <row r="155" spans="1:64" s="63" customFormat="1" x14ac:dyDescent="0.25">
      <c r="A155" s="118"/>
      <c r="B155"/>
      <c r="C155"/>
      <c r="D155"/>
      <c r="E155"/>
      <c r="H155"/>
      <c r="N155" s="118"/>
      <c r="O155"/>
      <c r="P155"/>
      <c r="R155"/>
      <c r="S155"/>
      <c r="T155"/>
      <c r="U155"/>
      <c r="V155"/>
      <c r="AF155"/>
      <c r="AX155" s="118"/>
      <c r="AY155"/>
      <c r="AZ155"/>
      <c r="BA155"/>
      <c r="BB155"/>
      <c r="BC155"/>
      <c r="BD155"/>
      <c r="BE155"/>
      <c r="BF155"/>
      <c r="BG155"/>
      <c r="BH155"/>
      <c r="BI155"/>
      <c r="BJ155"/>
      <c r="BK155"/>
      <c r="BL155"/>
    </row>
    <row r="156" spans="1:64" x14ac:dyDescent="0.25">
      <c r="Z156" s="63"/>
      <c r="AB156" s="63"/>
      <c r="AC156" s="63"/>
      <c r="AD156" s="63"/>
      <c r="AF156" s="63"/>
      <c r="AL156"/>
      <c r="AM156"/>
      <c r="AP156" s="63"/>
      <c r="AQ156" s="63"/>
    </row>
    <row r="157" spans="1:64" s="63" customFormat="1" x14ac:dyDescent="0.25">
      <c r="A157" s="118"/>
      <c r="N157" s="118"/>
      <c r="O157"/>
      <c r="P157"/>
      <c r="Q157"/>
      <c r="R157"/>
      <c r="AF157"/>
      <c r="AX157" s="118"/>
      <c r="AY157"/>
      <c r="AZ157"/>
      <c r="BA157"/>
      <c r="BB157"/>
      <c r="BC157"/>
      <c r="BD157"/>
      <c r="BE157"/>
      <c r="BF157"/>
      <c r="BG157"/>
      <c r="BH157"/>
      <c r="BI157"/>
      <c r="BJ157"/>
      <c r="BK157"/>
      <c r="BL157"/>
    </row>
    <row r="158" spans="1:64" x14ac:dyDescent="0.25">
      <c r="Z158" s="63"/>
      <c r="AB158" s="63"/>
      <c r="AC158" s="63"/>
      <c r="AD158" s="63"/>
      <c r="AL158"/>
      <c r="AM158"/>
      <c r="AP158" s="63"/>
      <c r="AQ158" s="63"/>
    </row>
    <row r="159" spans="1:64" x14ac:dyDescent="0.25">
      <c r="B159" s="63"/>
      <c r="C159" s="63"/>
      <c r="D159" s="63"/>
      <c r="E159" s="63"/>
      <c r="H159" s="63"/>
      <c r="Z159" s="63"/>
      <c r="AB159" s="63"/>
      <c r="AC159" s="63"/>
      <c r="AD159" s="63"/>
      <c r="AF159" s="63"/>
      <c r="AL159"/>
      <c r="AM159"/>
      <c r="AP159" s="63"/>
      <c r="AQ159" s="63"/>
      <c r="BL159" s="63"/>
    </row>
    <row r="160" spans="1:64" s="63" customFormat="1" x14ac:dyDescent="0.25">
      <c r="A160" s="118"/>
      <c r="B160"/>
      <c r="C160"/>
      <c r="D160"/>
      <c r="E160"/>
      <c r="H160"/>
      <c r="N160" s="118"/>
      <c r="O160"/>
      <c r="P160"/>
      <c r="Q160"/>
      <c r="R160"/>
      <c r="AX160" s="118"/>
      <c r="AY160"/>
      <c r="AZ160"/>
      <c r="BA160"/>
      <c r="BB160"/>
      <c r="BC160"/>
      <c r="BD160"/>
      <c r="BE160"/>
      <c r="BF160"/>
      <c r="BG160"/>
      <c r="BH160"/>
      <c r="BI160"/>
      <c r="BJ160"/>
      <c r="BK160"/>
    </row>
    <row r="161" spans="1:64" s="63" customFormat="1" x14ac:dyDescent="0.25">
      <c r="A161" s="118"/>
      <c r="B161"/>
      <c r="C161"/>
      <c r="D161"/>
      <c r="E161"/>
      <c r="H161"/>
      <c r="N161" s="118"/>
      <c r="O161"/>
      <c r="P161"/>
      <c r="Q161"/>
      <c r="R161"/>
      <c r="AX161" s="118"/>
      <c r="AY161"/>
      <c r="AZ161"/>
      <c r="BA161"/>
      <c r="BB161"/>
      <c r="BC161"/>
      <c r="BD161"/>
      <c r="BE161"/>
      <c r="BF161"/>
      <c r="BG161"/>
      <c r="BH161"/>
      <c r="BI161"/>
      <c r="BJ161"/>
      <c r="BK161"/>
    </row>
    <row r="162" spans="1:64" s="63" customFormat="1" x14ac:dyDescent="0.25">
      <c r="A162" s="118"/>
      <c r="N162" s="118"/>
      <c r="O162"/>
      <c r="P162"/>
      <c r="Q162"/>
      <c r="R162"/>
      <c r="AF162"/>
      <c r="AX162" s="118"/>
      <c r="AY162"/>
      <c r="AZ162"/>
      <c r="BA162"/>
      <c r="BB162"/>
      <c r="BC162"/>
      <c r="BD162"/>
      <c r="BE162"/>
      <c r="BF162"/>
      <c r="BG162"/>
      <c r="BH162"/>
      <c r="BI162"/>
      <c r="BJ162"/>
      <c r="BK162"/>
    </row>
    <row r="163" spans="1:64" x14ac:dyDescent="0.25">
      <c r="B163" s="63"/>
      <c r="C163" s="63"/>
      <c r="D163" s="63"/>
      <c r="E163" s="63"/>
      <c r="H163" s="63"/>
      <c r="Z163" s="63"/>
      <c r="AB163" s="63"/>
      <c r="AC163" s="63"/>
      <c r="AD163" s="63"/>
      <c r="AL163"/>
      <c r="AM163"/>
      <c r="AP163" s="63"/>
      <c r="AQ163" s="63"/>
    </row>
    <row r="164" spans="1:64" x14ac:dyDescent="0.25">
      <c r="B164" s="63"/>
      <c r="C164" s="63"/>
      <c r="D164" s="63"/>
      <c r="E164" s="63"/>
      <c r="H164" s="63"/>
      <c r="Z164" s="63"/>
      <c r="AB164" s="63"/>
      <c r="AC164" s="63"/>
      <c r="AD164" s="63"/>
      <c r="AL164"/>
      <c r="AM164"/>
      <c r="AP164" s="63"/>
      <c r="AQ164" s="63"/>
      <c r="BK164" s="63"/>
    </row>
    <row r="165" spans="1:64" x14ac:dyDescent="0.25">
      <c r="Z165" s="63"/>
      <c r="AB165" s="63"/>
      <c r="AC165" s="63"/>
      <c r="AD165" s="63"/>
      <c r="AL165"/>
      <c r="AM165"/>
      <c r="AP165" s="63"/>
      <c r="AQ165" s="63"/>
      <c r="AY165" s="63"/>
      <c r="AZ165" s="63"/>
      <c r="BA165" s="63"/>
      <c r="BB165" s="63"/>
      <c r="BC165" s="63"/>
      <c r="BD165" s="63"/>
      <c r="BE165" s="63"/>
      <c r="BF165" s="63"/>
      <c r="BG165" s="63"/>
      <c r="BH165" s="63"/>
      <c r="BI165" s="63"/>
      <c r="BJ165" s="63"/>
    </row>
    <row r="166" spans="1:64" x14ac:dyDescent="0.25">
      <c r="Z166" s="63"/>
      <c r="AB166" s="63"/>
      <c r="AC166" s="63"/>
      <c r="AD166" s="63"/>
      <c r="AL166"/>
      <c r="AM166"/>
      <c r="AP166" s="63"/>
      <c r="AQ166" s="63"/>
      <c r="AY166" s="63"/>
      <c r="AZ166" s="63"/>
      <c r="BA166" s="63"/>
      <c r="BB166" s="63"/>
      <c r="BC166" s="63"/>
      <c r="BD166" s="63"/>
      <c r="BE166" s="63"/>
      <c r="BF166" s="63"/>
      <c r="BG166" s="63"/>
      <c r="BH166" s="63"/>
      <c r="BI166" s="63"/>
      <c r="BJ166" s="63"/>
      <c r="BL166" s="63"/>
    </row>
    <row r="167" spans="1:64" x14ac:dyDescent="0.25">
      <c r="Z167" s="63"/>
      <c r="AB167" s="63"/>
      <c r="AC167" s="63"/>
      <c r="AD167" s="63"/>
      <c r="AF167" s="63"/>
      <c r="AL167"/>
      <c r="AM167"/>
      <c r="AP167" s="63"/>
      <c r="AQ167" s="63"/>
      <c r="BK167" s="63"/>
    </row>
    <row r="168" spans="1:64" s="63" customFormat="1" x14ac:dyDescent="0.25">
      <c r="A168" s="118"/>
      <c r="B168"/>
      <c r="C168"/>
      <c r="D168"/>
      <c r="E168"/>
      <c r="H168"/>
      <c r="N168" s="118"/>
      <c r="O168"/>
      <c r="P168"/>
      <c r="Q168"/>
      <c r="R168"/>
      <c r="AX168" s="118"/>
      <c r="AY168"/>
      <c r="AZ168"/>
      <c r="BA168"/>
      <c r="BB168"/>
      <c r="BC168"/>
      <c r="BD168"/>
      <c r="BE168"/>
      <c r="BF168"/>
      <c r="BG168"/>
      <c r="BH168"/>
      <c r="BI168"/>
      <c r="BJ168"/>
    </row>
    <row r="169" spans="1:64" s="63" customFormat="1" x14ac:dyDescent="0.25">
      <c r="A169" s="118"/>
      <c r="B169"/>
      <c r="C169"/>
      <c r="D169"/>
      <c r="E169"/>
      <c r="H169"/>
      <c r="N169" s="118"/>
      <c r="O169"/>
      <c r="P169"/>
      <c r="Q169"/>
      <c r="R169"/>
      <c r="AX169" s="118"/>
      <c r="AY169"/>
      <c r="AZ169"/>
      <c r="BA169"/>
      <c r="BB169"/>
      <c r="BC169"/>
      <c r="BD169"/>
      <c r="BE169"/>
      <c r="BF169"/>
      <c r="BG169"/>
      <c r="BH169"/>
      <c r="BI169"/>
      <c r="BJ169"/>
      <c r="BL169"/>
    </row>
    <row r="170" spans="1:64" s="63" customFormat="1" x14ac:dyDescent="0.25">
      <c r="A170" s="118"/>
      <c r="N170" s="118"/>
      <c r="O170"/>
      <c r="P170"/>
      <c r="Q170"/>
      <c r="R170"/>
      <c r="AF170"/>
      <c r="AX170" s="118"/>
      <c r="AY170"/>
      <c r="AZ170"/>
      <c r="BA170"/>
      <c r="BB170"/>
      <c r="BC170"/>
      <c r="BD170"/>
      <c r="BE170"/>
      <c r="BF170"/>
      <c r="BG170"/>
      <c r="BH170"/>
      <c r="BI170"/>
      <c r="BJ170"/>
      <c r="BL170"/>
    </row>
    <row r="171" spans="1:64" x14ac:dyDescent="0.25">
      <c r="B171" s="63"/>
      <c r="C171" s="63"/>
      <c r="D171" s="63"/>
      <c r="E171" s="63"/>
      <c r="H171" s="63"/>
      <c r="Z171" s="63"/>
      <c r="AB171" s="63"/>
      <c r="AC171" s="63"/>
      <c r="AD171" s="63"/>
      <c r="AF171" s="63"/>
      <c r="AL171"/>
      <c r="AM171"/>
      <c r="AP171" s="63"/>
      <c r="AQ171" s="63"/>
      <c r="BK171" s="63"/>
      <c r="BL171" s="63"/>
    </row>
    <row r="172" spans="1:64" s="63" customFormat="1" x14ac:dyDescent="0.25">
      <c r="A172" s="118"/>
      <c r="N172" s="118"/>
      <c r="O172"/>
      <c r="P172"/>
      <c r="Q172"/>
      <c r="R172"/>
      <c r="AX172" s="118"/>
      <c r="AY172"/>
      <c r="AZ172"/>
      <c r="BA172"/>
      <c r="BB172"/>
      <c r="BC172"/>
      <c r="BD172"/>
      <c r="BE172"/>
      <c r="BF172"/>
      <c r="BG172"/>
      <c r="BH172"/>
      <c r="BI172"/>
      <c r="BJ172"/>
      <c r="BK172"/>
    </row>
    <row r="173" spans="1:64" s="63" customFormat="1" x14ac:dyDescent="0.25">
      <c r="A173" s="118"/>
      <c r="B173"/>
      <c r="C173"/>
      <c r="D173"/>
      <c r="E173"/>
      <c r="H173"/>
      <c r="N173" s="118"/>
      <c r="O173"/>
      <c r="P173"/>
      <c r="Q173"/>
      <c r="R173"/>
      <c r="AF173"/>
      <c r="AX173" s="118"/>
      <c r="AY173"/>
      <c r="AZ173"/>
      <c r="BA173"/>
      <c r="BB173"/>
      <c r="BC173"/>
      <c r="BD173"/>
      <c r="BE173"/>
      <c r="BF173"/>
      <c r="BG173"/>
      <c r="BH173"/>
      <c r="BI173"/>
      <c r="BJ173"/>
      <c r="BK173"/>
    </row>
    <row r="174" spans="1:64" x14ac:dyDescent="0.25">
      <c r="B174" s="63"/>
      <c r="C174" s="63"/>
      <c r="D174" s="63"/>
      <c r="E174" s="63"/>
      <c r="H174" s="63"/>
      <c r="Z174" s="63"/>
      <c r="AB174" s="63"/>
      <c r="AC174" s="63"/>
      <c r="AD174" s="63"/>
      <c r="AL174"/>
      <c r="AM174"/>
      <c r="AP174" s="63"/>
      <c r="AQ174" s="63"/>
    </row>
    <row r="175" spans="1:64" x14ac:dyDescent="0.25">
      <c r="B175" s="63"/>
      <c r="C175" s="63"/>
      <c r="D175" s="63"/>
      <c r="E175" s="63"/>
      <c r="H175" s="63"/>
      <c r="Z175" s="63"/>
      <c r="AB175" s="63"/>
      <c r="AC175" s="63"/>
      <c r="AD175" s="63"/>
      <c r="AL175"/>
      <c r="AM175"/>
      <c r="AP175" s="63"/>
      <c r="AQ175" s="63"/>
    </row>
    <row r="177" spans="51:64" x14ac:dyDescent="0.25">
      <c r="BK177" s="63"/>
    </row>
    <row r="178" spans="51:64" x14ac:dyDescent="0.25">
      <c r="AY178" s="63"/>
      <c r="AZ178" s="63"/>
      <c r="BA178" s="63"/>
      <c r="BB178" s="63"/>
      <c r="BC178" s="63"/>
      <c r="BD178" s="63"/>
      <c r="BE178" s="63"/>
      <c r="BF178" s="63"/>
      <c r="BG178" s="63"/>
      <c r="BH178" s="63"/>
      <c r="BI178" s="63"/>
      <c r="BJ178" s="63"/>
      <c r="BK178" s="63"/>
    </row>
    <row r="179" spans="51:64" x14ac:dyDescent="0.25">
      <c r="BL179" s="63"/>
    </row>
    <row r="180" spans="51:64" x14ac:dyDescent="0.25">
      <c r="BL180" s="63"/>
    </row>
    <row r="181" spans="51:64" x14ac:dyDescent="0.25">
      <c r="AY181" s="63"/>
      <c r="AZ181" s="63"/>
      <c r="BA181" s="63"/>
      <c r="BB181" s="63"/>
      <c r="BC181" s="63"/>
      <c r="BD181" s="63"/>
      <c r="BE181" s="63"/>
      <c r="BF181" s="63"/>
      <c r="BG181" s="63"/>
      <c r="BH181" s="63"/>
      <c r="BI181" s="63"/>
      <c r="BJ181" s="63"/>
      <c r="BL181" s="63"/>
    </row>
    <row r="182" spans="51:64" x14ac:dyDescent="0.25">
      <c r="AY182" s="63"/>
      <c r="AZ182" s="63"/>
      <c r="BA182" s="63"/>
      <c r="BB182" s="63"/>
      <c r="BC182" s="63"/>
      <c r="BD182" s="63"/>
      <c r="BE182" s="63"/>
      <c r="BF182" s="63"/>
      <c r="BG182" s="63"/>
      <c r="BH182" s="63"/>
      <c r="BI182" s="63"/>
      <c r="BJ182" s="63"/>
    </row>
    <row r="183" spans="51:64" x14ac:dyDescent="0.25">
      <c r="AY183" s="63"/>
      <c r="AZ183" s="63"/>
      <c r="BA183" s="63"/>
      <c r="BB183" s="63"/>
      <c r="BC183" s="63"/>
      <c r="BD183" s="63"/>
      <c r="BE183" s="63"/>
      <c r="BF183" s="63"/>
      <c r="BG183" s="63"/>
      <c r="BH183" s="63"/>
      <c r="BI183" s="63"/>
      <c r="BJ183" s="63"/>
      <c r="BK183" s="63"/>
      <c r="BL183" s="63"/>
    </row>
    <row r="184" spans="51:64" x14ac:dyDescent="0.25">
      <c r="AY184" s="63"/>
      <c r="AZ184" s="63"/>
      <c r="BA184" s="63"/>
      <c r="BB184" s="63"/>
      <c r="BC184" s="63"/>
      <c r="BD184" s="63"/>
      <c r="BE184" s="63"/>
      <c r="BF184" s="63"/>
      <c r="BG184" s="63"/>
      <c r="BH184" s="63"/>
      <c r="BI184" s="63"/>
      <c r="BJ184" s="63"/>
      <c r="BK184" s="63"/>
      <c r="BL184" s="63"/>
    </row>
    <row r="185" spans="51:64" x14ac:dyDescent="0.25">
      <c r="AY185" s="63"/>
      <c r="AZ185" s="63"/>
      <c r="BA185" s="63"/>
      <c r="BB185" s="63"/>
      <c r="BC185" s="63"/>
      <c r="BD185" s="63"/>
      <c r="BE185" s="63"/>
      <c r="BF185" s="63"/>
      <c r="BG185" s="63"/>
      <c r="BH185" s="63"/>
      <c r="BI185" s="63"/>
      <c r="BJ185" s="63"/>
      <c r="BK185" s="63"/>
    </row>
    <row r="191" spans="51:64" x14ac:dyDescent="0.25">
      <c r="AY191" s="63"/>
      <c r="AZ191" s="63"/>
      <c r="BA191" s="63"/>
      <c r="BB191" s="63"/>
      <c r="BC191" s="63"/>
      <c r="BD191" s="63"/>
      <c r="BE191" s="63"/>
      <c r="BF191" s="63"/>
      <c r="BG191" s="63"/>
      <c r="BH191" s="63"/>
      <c r="BI191" s="63"/>
      <c r="BJ191" s="63"/>
    </row>
    <row r="192" spans="51:64" x14ac:dyDescent="0.25">
      <c r="AY192" s="63"/>
      <c r="AZ192" s="63"/>
      <c r="BA192" s="63"/>
      <c r="BB192" s="63"/>
      <c r="BC192" s="63"/>
      <c r="BD192" s="63"/>
      <c r="BE192" s="63"/>
      <c r="BF192" s="63"/>
      <c r="BG192" s="63"/>
      <c r="BH192" s="63"/>
      <c r="BI192" s="63"/>
      <c r="BJ192" s="63"/>
    </row>
    <row r="193" spans="51:63" x14ac:dyDescent="0.25">
      <c r="BK193" s="63"/>
    </row>
    <row r="194" spans="51:63" x14ac:dyDescent="0.25">
      <c r="BK194" s="63"/>
    </row>
    <row r="195" spans="51:63" x14ac:dyDescent="0.25">
      <c r="BK195" s="63"/>
    </row>
    <row r="197" spans="51:63" x14ac:dyDescent="0.25">
      <c r="AY197" s="63"/>
      <c r="AZ197" s="63"/>
      <c r="BA197" s="63"/>
      <c r="BB197" s="63"/>
      <c r="BC197" s="63"/>
      <c r="BD197" s="63"/>
      <c r="BE197" s="63"/>
      <c r="BF197" s="63"/>
      <c r="BG197" s="63"/>
      <c r="BH197" s="63"/>
      <c r="BI197" s="63"/>
      <c r="BJ197" s="63"/>
    </row>
    <row r="198" spans="51:63" x14ac:dyDescent="0.25">
      <c r="AY198" s="63"/>
      <c r="AZ198" s="63"/>
      <c r="BA198" s="63"/>
      <c r="BB198" s="63"/>
      <c r="BC198" s="63"/>
      <c r="BD198" s="63"/>
      <c r="BE198" s="63"/>
      <c r="BF198" s="63"/>
      <c r="BG198" s="63"/>
      <c r="BH198" s="63"/>
      <c r="BI198" s="63"/>
      <c r="BJ198" s="63"/>
    </row>
    <row r="199" spans="51:63" x14ac:dyDescent="0.25">
      <c r="AY199" s="63"/>
      <c r="AZ199" s="63"/>
      <c r="BA199" s="63"/>
      <c r="BB199" s="63"/>
      <c r="BC199" s="63"/>
      <c r="BD199" s="63"/>
      <c r="BE199" s="63"/>
      <c r="BF199" s="63"/>
      <c r="BG199" s="63"/>
      <c r="BH199" s="63"/>
      <c r="BI199" s="63"/>
      <c r="BJ199" s="63"/>
    </row>
    <row r="201" spans="51:63" x14ac:dyDescent="0.25">
      <c r="BK201" s="63"/>
    </row>
    <row r="202" spans="51:63" x14ac:dyDescent="0.25">
      <c r="BK202" s="63"/>
    </row>
    <row r="203" spans="51:63" x14ac:dyDescent="0.25">
      <c r="BK203" s="63"/>
    </row>
    <row r="204" spans="51:63" x14ac:dyDescent="0.25">
      <c r="BK204" s="63"/>
    </row>
    <row r="207" spans="51:63" x14ac:dyDescent="0.25">
      <c r="AY207" s="63"/>
      <c r="AZ207" s="63"/>
      <c r="BA207" s="63"/>
      <c r="BB207" s="63"/>
      <c r="BC207" s="63"/>
      <c r="BD207" s="63"/>
      <c r="BE207" s="63"/>
      <c r="BF207" s="63"/>
      <c r="BG207" s="63"/>
      <c r="BH207" s="63"/>
      <c r="BI207" s="63"/>
      <c r="BJ207" s="63"/>
    </row>
    <row r="208" spans="51:63" x14ac:dyDescent="0.25">
      <c r="AY208" s="63"/>
      <c r="AZ208" s="63"/>
      <c r="BA208" s="63"/>
      <c r="BB208" s="63"/>
      <c r="BC208" s="63"/>
      <c r="BD208" s="63"/>
      <c r="BE208" s="63"/>
      <c r="BF208" s="63"/>
      <c r="BG208" s="63"/>
      <c r="BH208" s="63"/>
      <c r="BI208" s="63"/>
      <c r="BJ208" s="63"/>
      <c r="BK208" s="63"/>
    </row>
    <row r="209" spans="51:63" x14ac:dyDescent="0.25">
      <c r="AY209" s="63"/>
      <c r="AZ209" s="63"/>
      <c r="BA209" s="63"/>
      <c r="BB209" s="63"/>
      <c r="BC209" s="63"/>
      <c r="BD209" s="63"/>
      <c r="BE209" s="63"/>
      <c r="BF209" s="63"/>
      <c r="BG209" s="63"/>
      <c r="BH209" s="63"/>
      <c r="BI209" s="63"/>
      <c r="BJ209" s="63"/>
    </row>
    <row r="210" spans="51:63" x14ac:dyDescent="0.25">
      <c r="BK210" s="63"/>
    </row>
    <row r="213" spans="51:63" x14ac:dyDescent="0.25">
      <c r="BK213" s="63"/>
    </row>
    <row r="214" spans="51:63" x14ac:dyDescent="0.25">
      <c r="BK214" s="63"/>
    </row>
    <row r="215" spans="51:63" x14ac:dyDescent="0.25">
      <c r="AY215" s="63"/>
      <c r="AZ215" s="63"/>
      <c r="BA215" s="63"/>
      <c r="BB215" s="63"/>
      <c r="BC215" s="63"/>
      <c r="BD215" s="63"/>
      <c r="BE215" s="63"/>
      <c r="BF215" s="63"/>
      <c r="BG215" s="63"/>
      <c r="BH215" s="63"/>
      <c r="BI215" s="63"/>
      <c r="BJ215" s="63"/>
      <c r="BK215" s="63"/>
    </row>
    <row r="216" spans="51:63" x14ac:dyDescent="0.25">
      <c r="AY216" s="63"/>
      <c r="AZ216" s="63"/>
      <c r="BA216" s="63"/>
      <c r="BB216" s="63"/>
      <c r="BC216" s="63"/>
      <c r="BD216" s="63"/>
      <c r="BE216" s="63"/>
      <c r="BF216" s="63"/>
      <c r="BG216" s="63"/>
      <c r="BH216" s="63"/>
      <c r="BI216" s="63"/>
      <c r="BJ216" s="63"/>
    </row>
    <row r="217" spans="51:63" x14ac:dyDescent="0.25">
      <c r="AY217" s="63"/>
      <c r="AZ217" s="63"/>
      <c r="BA217" s="63"/>
      <c r="BB217" s="63"/>
      <c r="BC217" s="63"/>
      <c r="BD217" s="63"/>
      <c r="BE217" s="63"/>
      <c r="BF217" s="63"/>
      <c r="BG217" s="63"/>
      <c r="BH217" s="63"/>
      <c r="BI217" s="63"/>
      <c r="BJ217" s="63"/>
    </row>
    <row r="218" spans="51:63" x14ac:dyDescent="0.25">
      <c r="AY218" s="63"/>
      <c r="AZ218" s="63"/>
      <c r="BA218" s="63"/>
      <c r="BB218" s="63"/>
      <c r="BC218" s="63"/>
      <c r="BD218" s="63"/>
      <c r="BE218" s="63"/>
      <c r="BF218" s="63"/>
      <c r="BG218" s="63"/>
      <c r="BH218" s="63"/>
      <c r="BI218" s="63"/>
      <c r="BJ218" s="63"/>
    </row>
    <row r="221" spans="51:63" x14ac:dyDescent="0.25">
      <c r="BK221" s="63"/>
    </row>
    <row r="222" spans="51:63" x14ac:dyDescent="0.25">
      <c r="AY222" s="63"/>
      <c r="AZ222" s="63"/>
      <c r="BA222" s="63"/>
      <c r="BB222" s="63"/>
      <c r="BC222" s="63"/>
      <c r="BD222" s="63"/>
      <c r="BE222" s="63"/>
      <c r="BF222" s="63"/>
      <c r="BG222" s="63"/>
      <c r="BH222" s="63"/>
      <c r="BI222" s="63"/>
      <c r="BJ222" s="63"/>
      <c r="BK222" s="63"/>
    </row>
    <row r="223" spans="51:63" x14ac:dyDescent="0.25">
      <c r="BK223" s="63"/>
    </row>
    <row r="224" spans="51:63" x14ac:dyDescent="0.25">
      <c r="AY224" s="63"/>
      <c r="AZ224" s="63"/>
      <c r="BA224" s="63"/>
      <c r="BB224" s="63"/>
      <c r="BC224" s="63"/>
      <c r="BD224" s="63"/>
      <c r="BE224" s="63"/>
      <c r="BF224" s="63"/>
      <c r="BG224" s="63"/>
      <c r="BH224" s="63"/>
      <c r="BI224" s="63"/>
      <c r="BJ224" s="63"/>
    </row>
    <row r="225" spans="51:63" x14ac:dyDescent="0.25">
      <c r="BK225" s="63"/>
    </row>
    <row r="226" spans="51:63" x14ac:dyDescent="0.25">
      <c r="BK226" s="63"/>
    </row>
    <row r="227" spans="51:63" x14ac:dyDescent="0.25">
      <c r="AY227" s="63"/>
      <c r="AZ227" s="63"/>
      <c r="BA227" s="63"/>
      <c r="BB227" s="63"/>
      <c r="BC227" s="63"/>
      <c r="BD227" s="63"/>
      <c r="BE227" s="63"/>
      <c r="BF227" s="63"/>
      <c r="BG227" s="63"/>
      <c r="BH227" s="63"/>
      <c r="BI227" s="63"/>
      <c r="BJ227" s="63"/>
    </row>
    <row r="228" spans="51:63" x14ac:dyDescent="0.25">
      <c r="AY228" s="63"/>
      <c r="AZ228" s="63"/>
      <c r="BA228" s="63"/>
      <c r="BB228" s="63"/>
      <c r="BC228" s="63"/>
      <c r="BD228" s="63"/>
      <c r="BE228" s="63"/>
      <c r="BF228" s="63"/>
      <c r="BG228" s="63"/>
      <c r="BH228" s="63"/>
      <c r="BI228" s="63"/>
      <c r="BJ228" s="63"/>
    </row>
    <row r="229" spans="51:63" x14ac:dyDescent="0.25">
      <c r="AY229" s="63"/>
      <c r="AZ229" s="63"/>
      <c r="BA229" s="63"/>
      <c r="BB229" s="63"/>
      <c r="BC229" s="63"/>
      <c r="BD229" s="63"/>
      <c r="BE229" s="63"/>
      <c r="BF229" s="63"/>
      <c r="BG229" s="63"/>
      <c r="BH229" s="63"/>
      <c r="BI229" s="63"/>
      <c r="BJ229" s="63"/>
    </row>
    <row r="235" spans="51:63" x14ac:dyDescent="0.25">
      <c r="AY235" s="63"/>
      <c r="AZ235" s="63"/>
      <c r="BA235" s="63"/>
      <c r="BB235" s="63"/>
      <c r="BC235" s="63"/>
      <c r="BD235" s="63"/>
      <c r="BE235" s="63"/>
      <c r="BF235" s="63"/>
      <c r="BG235" s="63"/>
      <c r="BH235" s="63"/>
      <c r="BI235" s="63"/>
      <c r="BJ235" s="63"/>
    </row>
    <row r="236" spans="51:63" x14ac:dyDescent="0.25">
      <c r="AY236" s="63"/>
      <c r="AZ236" s="63"/>
      <c r="BA236" s="63"/>
      <c r="BB236" s="63"/>
      <c r="BC236" s="63"/>
      <c r="BD236" s="63"/>
      <c r="BE236" s="63"/>
      <c r="BF236" s="63"/>
      <c r="BG236" s="63"/>
      <c r="BH236" s="63"/>
      <c r="BI236" s="63"/>
      <c r="BJ236" s="63"/>
    </row>
    <row r="237" spans="51:63" x14ac:dyDescent="0.25">
      <c r="AY237" s="63"/>
      <c r="AZ237" s="63"/>
      <c r="BA237" s="63"/>
      <c r="BB237" s="63"/>
      <c r="BC237" s="63"/>
      <c r="BD237" s="63"/>
      <c r="BE237" s="63"/>
      <c r="BF237" s="63"/>
      <c r="BG237" s="63"/>
      <c r="BH237" s="63"/>
      <c r="BI237" s="63"/>
      <c r="BJ237" s="63"/>
    </row>
    <row r="239" spans="51:63" x14ac:dyDescent="0.25">
      <c r="AY239" s="63"/>
      <c r="AZ239" s="63"/>
      <c r="BA239" s="63"/>
      <c r="BB239" s="63"/>
      <c r="BC239" s="63"/>
      <c r="BD239" s="63"/>
      <c r="BE239" s="63"/>
      <c r="BF239" s="63"/>
      <c r="BG239" s="63"/>
      <c r="BH239" s="63"/>
      <c r="BI239" s="63"/>
      <c r="BJ239" s="63"/>
    </row>
    <row r="240" spans="51:63" x14ac:dyDescent="0.25">
      <c r="AY240" s="63"/>
      <c r="AZ240" s="63"/>
      <c r="BA240" s="63"/>
      <c r="BB240" s="63"/>
      <c r="BC240" s="63"/>
      <c r="BD240" s="63"/>
      <c r="BE240" s="63"/>
      <c r="BF240" s="63"/>
      <c r="BG240" s="63"/>
      <c r="BH240" s="63"/>
      <c r="BI240" s="63"/>
      <c r="BJ240" s="63"/>
    </row>
  </sheetData>
  <sheetProtection algorithmName="SHA-512" hashValue="jyxy//bnoZAPQcB4ma5iRk5T/NOPvE9GLNTUKMyfC9eaU5a4N+hMmB/hWkFGG8E/wfoYZCuuRGWviRzBpmnaNA==" saltValue="HInyhjhsw0B2Op3dBzVZXg==" spinCount="100000" sheet="1" objects="1" scenarios="1"/>
  <pageMargins left="0.7" right="0.7" top="0.75" bottom="0.75" header="0.3" footer="0.3"/>
  <pageSetup orientation="portrait" r:id="rId1"/>
  <tableParts count="14">
    <tablePart r:id="rId2"/>
    <tablePart r:id="rId3"/>
    <tablePart r:id="rId4"/>
    <tablePart r:id="rId5"/>
    <tablePart r:id="rId6"/>
    <tablePart r:id="rId7"/>
    <tablePart r:id="rId8"/>
    <tablePart r:id="rId9"/>
    <tablePart r:id="rId10"/>
    <tablePart r:id="rId11"/>
    <tablePart r:id="rId12"/>
    <tablePart r:id="rId13"/>
    <tablePart r:id="rId14"/>
    <tablePart r:id="rId15"/>
  </tablePart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B1:CB332"/>
  <sheetViews>
    <sheetView showGridLines="0" showRowColHeaders="0" showZeros="0" zoomScale="85" zoomScaleNormal="85" workbookViewId="0">
      <selection activeCell="Y51" sqref="Y51:AI52"/>
    </sheetView>
  </sheetViews>
  <sheetFormatPr defaultColWidth="9.140625" defaultRowHeight="15" customHeight="1" zeroHeight="1" x14ac:dyDescent="0.25"/>
  <cols>
    <col min="1" max="45" width="4.7109375" style="65" customWidth="1"/>
    <col min="46" max="78" width="9.140625" style="65" customWidth="1"/>
    <col min="79" max="16384" width="9.140625" style="65"/>
  </cols>
  <sheetData>
    <row r="1" spans="6:73" ht="15.95" customHeight="1" x14ac:dyDescent="0.3">
      <c r="AH1" s="711" t="s">
        <v>494</v>
      </c>
      <c r="AI1" s="712"/>
      <c r="AJ1" s="712"/>
      <c r="AK1" s="712"/>
      <c r="AL1" s="723" t="s">
        <v>911</v>
      </c>
      <c r="AM1" s="723"/>
      <c r="AN1" s="723"/>
      <c r="AO1" s="723"/>
      <c r="AP1" s="723"/>
      <c r="AQ1" s="717" t="s">
        <v>499</v>
      </c>
      <c r="AR1" s="718"/>
    </row>
    <row r="2" spans="6:73" ht="15.95" customHeight="1" x14ac:dyDescent="0.25">
      <c r="AH2" s="713" t="str">
        <f ca="1">INCENSTATUS</f>
        <v>---</v>
      </c>
      <c r="AI2" s="714"/>
      <c r="AJ2" s="714"/>
      <c r="AK2" s="714"/>
      <c r="AL2" s="724" t="str">
        <f ca="1">PROJSTATUS</f>
        <v>Please Complete Initial Application</v>
      </c>
      <c r="AM2" s="724"/>
      <c r="AN2" s="724"/>
      <c r="AO2" s="724"/>
      <c r="AP2" s="724"/>
      <c r="AQ2" s="719">
        <f ca="1">PROGRESSSTATUS</f>
        <v>0</v>
      </c>
      <c r="AR2" s="720"/>
    </row>
    <row r="3" spans="6:73" ht="15.95" customHeight="1" x14ac:dyDescent="0.25">
      <c r="AH3" s="715"/>
      <c r="AI3" s="716"/>
      <c r="AJ3" s="716"/>
      <c r="AK3" s="716"/>
      <c r="AL3" s="725"/>
      <c r="AM3" s="725"/>
      <c r="AN3" s="725"/>
      <c r="AO3" s="725"/>
      <c r="AP3" s="725"/>
      <c r="AQ3" s="721"/>
      <c r="AR3" s="722"/>
    </row>
    <row r="4" spans="6:73" ht="15.95" customHeight="1" x14ac:dyDescent="0.25"/>
    <row r="5" spans="6:73" ht="15.95" customHeight="1" x14ac:dyDescent="0.25"/>
    <row r="6" spans="6:73" ht="15.95" customHeight="1" x14ac:dyDescent="0.25"/>
    <row r="7" spans="6:73" ht="15.95" customHeight="1" x14ac:dyDescent="0.25"/>
    <row r="8" spans="6:73" ht="15.95" customHeight="1" x14ac:dyDescent="0.25">
      <c r="AT8"/>
      <c r="AU8"/>
      <c r="AV8"/>
      <c r="AW8"/>
      <c r="AX8"/>
      <c r="AY8"/>
      <c r="AZ8"/>
      <c r="BA8"/>
      <c r="BB8"/>
      <c r="BC8"/>
      <c r="BD8"/>
      <c r="BE8"/>
      <c r="BF8"/>
      <c r="BG8"/>
      <c r="BH8"/>
      <c r="BI8"/>
      <c r="BJ8"/>
      <c r="BK8"/>
      <c r="BL8"/>
      <c r="BM8"/>
      <c r="BN8"/>
      <c r="BO8"/>
      <c r="BP8"/>
      <c r="BQ8"/>
      <c r="BR8"/>
      <c r="BS8"/>
      <c r="BT8"/>
      <c r="BU8"/>
    </row>
    <row r="9" spans="6:73" ht="15.95" customHeight="1" x14ac:dyDescent="0.25">
      <c r="AT9"/>
      <c r="AU9"/>
      <c r="AV9"/>
      <c r="AW9"/>
      <c r="AX9"/>
      <c r="AY9"/>
      <c r="AZ9"/>
      <c r="BA9"/>
      <c r="BB9"/>
      <c r="BC9"/>
      <c r="BD9"/>
      <c r="BE9"/>
      <c r="BF9"/>
      <c r="BG9"/>
      <c r="BH9"/>
      <c r="BI9"/>
      <c r="BJ9"/>
      <c r="BK9"/>
      <c r="BL9"/>
      <c r="BM9"/>
      <c r="BN9"/>
      <c r="BO9"/>
      <c r="BP9"/>
      <c r="BQ9"/>
      <c r="BR9"/>
      <c r="BS9"/>
      <c r="BT9"/>
      <c r="BU9"/>
    </row>
    <row r="10" spans="6:73" ht="15.95" customHeight="1" x14ac:dyDescent="0.3">
      <c r="F10" s="1461" t="s">
        <v>1891</v>
      </c>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c r="AG10" s="1461"/>
      <c r="AH10" s="1461"/>
      <c r="AI10" s="1461"/>
      <c r="AJ10" s="1461"/>
      <c r="AK10" s="1461"/>
      <c r="AL10" s="1461"/>
      <c r="AM10" s="1461"/>
      <c r="AN10" s="1461"/>
      <c r="AT10"/>
      <c r="AU10"/>
      <c r="AV10"/>
      <c r="AW10"/>
      <c r="AX10"/>
      <c r="AY10"/>
      <c r="AZ10"/>
      <c r="BA10"/>
      <c r="BB10"/>
      <c r="BC10"/>
      <c r="BD10"/>
      <c r="BE10"/>
      <c r="BF10"/>
      <c r="BG10"/>
      <c r="BH10"/>
      <c r="BI10"/>
      <c r="BJ10"/>
      <c r="BK10"/>
      <c r="BL10"/>
      <c r="BM10"/>
      <c r="BN10"/>
      <c r="BO10"/>
      <c r="BP10"/>
      <c r="BQ10"/>
      <c r="BR10"/>
      <c r="BS10"/>
      <c r="BT10"/>
      <c r="BU10"/>
    </row>
    <row r="11" spans="6:73" ht="15.95" customHeight="1" x14ac:dyDescent="0.25">
      <c r="F11" s="873" t="s">
        <v>1884</v>
      </c>
      <c r="G11" s="873"/>
      <c r="H11" s="873"/>
      <c r="I11" s="873"/>
      <c r="J11" s="873"/>
      <c r="K11" s="873"/>
      <c r="L11" s="873"/>
      <c r="M11" s="873"/>
      <c r="N11" s="873"/>
      <c r="O11" s="873"/>
      <c r="P11" s="873"/>
      <c r="Q11" s="873"/>
      <c r="R11" s="873"/>
      <c r="S11" s="873"/>
      <c r="T11" s="873"/>
      <c r="U11" s="873"/>
      <c r="V11" s="873"/>
      <c r="W11" s="873"/>
      <c r="X11" s="873"/>
      <c r="Y11" s="873"/>
      <c r="Z11" s="873"/>
      <c r="AA11" s="873"/>
      <c r="AB11" s="873"/>
      <c r="AC11" s="873"/>
      <c r="AD11" s="873"/>
      <c r="AE11" s="873"/>
      <c r="AF11" s="873"/>
      <c r="AG11" s="873"/>
      <c r="AH11" s="873"/>
      <c r="AI11" s="873"/>
      <c r="AJ11" s="873"/>
      <c r="AK11" s="873"/>
      <c r="AL11" s="873"/>
      <c r="AM11" s="873"/>
      <c r="AN11" s="873"/>
      <c r="AT11"/>
      <c r="AU11"/>
      <c r="AV11"/>
      <c r="AW11"/>
      <c r="AX11"/>
      <c r="AY11"/>
      <c r="AZ11"/>
      <c r="BA11"/>
      <c r="BB11"/>
      <c r="BC11"/>
      <c r="BD11"/>
      <c r="BE11"/>
      <c r="BF11"/>
      <c r="BG11"/>
      <c r="BH11"/>
      <c r="BI11"/>
      <c r="BJ11"/>
      <c r="BK11"/>
      <c r="BL11"/>
      <c r="BM11"/>
      <c r="BN11"/>
      <c r="BO11"/>
      <c r="BP11"/>
      <c r="BQ11"/>
      <c r="BR11"/>
      <c r="BS11"/>
      <c r="BT11"/>
      <c r="BU11"/>
    </row>
    <row r="12" spans="6:73" ht="15.95" customHeight="1" x14ac:dyDescent="0.25">
      <c r="F12" s="873"/>
      <c r="G12" s="873"/>
      <c r="H12" s="873"/>
      <c r="I12" s="873"/>
      <c r="J12" s="873"/>
      <c r="K12" s="873"/>
      <c r="L12" s="873"/>
      <c r="M12" s="873"/>
      <c r="N12" s="873"/>
      <c r="O12" s="873"/>
      <c r="P12" s="873"/>
      <c r="Q12" s="873"/>
      <c r="R12" s="873"/>
      <c r="S12" s="873"/>
      <c r="T12" s="873"/>
      <c r="U12" s="873"/>
      <c r="V12" s="873"/>
      <c r="W12" s="873"/>
      <c r="X12" s="873"/>
      <c r="Y12" s="873"/>
      <c r="Z12" s="873"/>
      <c r="AA12" s="873"/>
      <c r="AB12" s="873"/>
      <c r="AC12" s="873"/>
      <c r="AD12" s="873"/>
      <c r="AE12" s="873"/>
      <c r="AF12" s="873"/>
      <c r="AG12" s="873"/>
      <c r="AH12" s="873"/>
      <c r="AI12" s="873"/>
      <c r="AJ12" s="873"/>
      <c r="AK12" s="873"/>
      <c r="AL12" s="873"/>
      <c r="AM12" s="873"/>
      <c r="AN12" s="873"/>
      <c r="AT12"/>
      <c r="AU12"/>
      <c r="AV12"/>
      <c r="AW12"/>
      <c r="AX12"/>
      <c r="AY12"/>
      <c r="AZ12"/>
      <c r="BA12"/>
      <c r="BB12"/>
      <c r="BC12"/>
      <c r="BD12"/>
      <c r="BE12"/>
      <c r="BF12"/>
      <c r="BG12"/>
      <c r="BH12"/>
      <c r="BI12"/>
      <c r="BJ12"/>
      <c r="BK12"/>
      <c r="BL12"/>
      <c r="BM12"/>
      <c r="BN12"/>
      <c r="BO12"/>
      <c r="BP12"/>
      <c r="BQ12"/>
      <c r="BR12"/>
      <c r="BS12"/>
      <c r="BT12"/>
      <c r="BU12"/>
    </row>
    <row r="13" spans="6:73" ht="15.95" customHeight="1" x14ac:dyDescent="0.25">
      <c r="F13" s="372"/>
      <c r="G13" s="372"/>
      <c r="H13" s="372"/>
      <c r="I13" s="372"/>
      <c r="J13" s="372"/>
      <c r="K13" s="372"/>
      <c r="L13" s="372"/>
      <c r="M13" s="372"/>
      <c r="N13" s="372"/>
      <c r="O13" s="372"/>
      <c r="P13" s="372"/>
      <c r="Q13" s="372"/>
      <c r="R13" s="372"/>
      <c r="S13" s="372"/>
      <c r="T13" s="372"/>
      <c r="U13" s="372"/>
      <c r="V13" s="372"/>
      <c r="W13" s="372"/>
      <c r="X13" s="372"/>
      <c r="Y13" s="372"/>
      <c r="Z13" s="372"/>
      <c r="AA13" s="372"/>
      <c r="AB13" s="372"/>
      <c r="AC13" s="372"/>
      <c r="AD13" s="372"/>
      <c r="AE13" s="372"/>
      <c r="AF13" s="372"/>
      <c r="AG13" s="372"/>
      <c r="AH13" s="372"/>
      <c r="AI13" s="372"/>
      <c r="AJ13" s="372"/>
      <c r="AK13" s="372"/>
      <c r="AL13" s="372"/>
      <c r="AM13" s="372"/>
      <c r="AN13" s="372"/>
      <c r="AT13"/>
      <c r="AU13"/>
      <c r="AV13"/>
      <c r="AW13"/>
      <c r="AX13"/>
      <c r="AY13"/>
      <c r="AZ13"/>
      <c r="BA13"/>
      <c r="BB13"/>
      <c r="BC13"/>
      <c r="BD13"/>
      <c r="BE13"/>
      <c r="BF13"/>
      <c r="BG13"/>
      <c r="BH13"/>
      <c r="BI13"/>
      <c r="BJ13"/>
      <c r="BK13"/>
      <c r="BL13"/>
      <c r="BM13"/>
      <c r="BN13"/>
      <c r="BO13"/>
      <c r="BP13"/>
      <c r="BQ13"/>
      <c r="BR13"/>
      <c r="BS13"/>
      <c r="BT13"/>
      <c r="BU13"/>
    </row>
    <row r="14" spans="6:73" ht="15.95" customHeight="1" x14ac:dyDescent="0.25">
      <c r="F14" s="145"/>
      <c r="G14" s="145"/>
      <c r="H14" s="145"/>
      <c r="I14" s="273"/>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5"/>
      <c r="AL14" s="145"/>
      <c r="AM14" s="145"/>
      <c r="AN14" s="145"/>
      <c r="AT14"/>
      <c r="AU14"/>
      <c r="AV14"/>
      <c r="AW14"/>
      <c r="AX14"/>
      <c r="AY14"/>
      <c r="AZ14"/>
      <c r="BA14"/>
      <c r="BB14"/>
      <c r="BC14"/>
      <c r="BD14"/>
      <c r="BE14"/>
      <c r="BF14"/>
      <c r="BG14"/>
      <c r="BH14"/>
      <c r="BI14"/>
      <c r="BJ14"/>
      <c r="BK14"/>
      <c r="BL14"/>
      <c r="BM14"/>
      <c r="BN14"/>
      <c r="BO14"/>
      <c r="BP14"/>
      <c r="BQ14"/>
      <c r="BR14"/>
      <c r="BS14"/>
      <c r="BT14"/>
      <c r="BU14"/>
    </row>
    <row r="15" spans="6:73" ht="15.95" customHeight="1" x14ac:dyDescent="0.25">
      <c r="I15" s="264"/>
      <c r="J15" s="379"/>
      <c r="K15" s="379"/>
      <c r="L15" s="379"/>
      <c r="M15" s="379"/>
      <c r="N15" s="379"/>
      <c r="O15" s="379"/>
      <c r="P15" s="379"/>
      <c r="Q15" s="379"/>
      <c r="R15" s="379"/>
      <c r="S15" s="379"/>
      <c r="T15" s="379"/>
      <c r="U15" s="379"/>
      <c r="V15" s="379"/>
      <c r="W15" s="379"/>
      <c r="X15" s="379"/>
      <c r="Y15" s="379"/>
      <c r="Z15" s="379"/>
      <c r="AA15" s="379"/>
      <c r="AB15" s="379"/>
      <c r="AC15" s="379"/>
      <c r="AD15" s="379"/>
      <c r="AE15" s="379"/>
      <c r="AF15" s="379"/>
      <c r="AG15" s="379"/>
      <c r="AH15" s="379"/>
      <c r="AI15" s="379"/>
      <c r="AJ15" s="379"/>
      <c r="AK15" s="265"/>
      <c r="AT15"/>
      <c r="AU15"/>
      <c r="AV15"/>
      <c r="AW15"/>
      <c r="AX15"/>
      <c r="AY15"/>
      <c r="AZ15"/>
      <c r="BA15"/>
      <c r="BB15"/>
      <c r="BC15"/>
      <c r="BD15"/>
      <c r="BE15"/>
      <c r="BF15"/>
      <c r="BG15"/>
      <c r="BH15"/>
      <c r="BI15"/>
      <c r="BJ15"/>
      <c r="BK15"/>
      <c r="BL15"/>
      <c r="BM15"/>
      <c r="BN15"/>
      <c r="BO15"/>
      <c r="BP15"/>
      <c r="BQ15"/>
      <c r="BR15"/>
      <c r="BS15"/>
      <c r="BT15"/>
      <c r="BU15"/>
    </row>
    <row r="16" spans="6:73" ht="15.95" customHeight="1" x14ac:dyDescent="0.25">
      <c r="I16" s="264"/>
      <c r="J16" s="379"/>
      <c r="K16" s="379"/>
      <c r="L16" s="379"/>
      <c r="M16" s="379"/>
      <c r="N16" s="379"/>
      <c r="O16" s="379"/>
      <c r="P16" s="379"/>
      <c r="Q16" s="379"/>
      <c r="R16" s="379"/>
      <c r="S16" s="379"/>
      <c r="T16" s="379"/>
      <c r="U16" s="379"/>
      <c r="V16" s="379"/>
      <c r="W16" s="379"/>
      <c r="X16" s="379"/>
      <c r="Y16" s="379"/>
      <c r="Z16" s="379"/>
      <c r="AA16" s="379"/>
      <c r="AB16" s="379"/>
      <c r="AC16" s="379"/>
      <c r="AD16" s="379"/>
      <c r="AE16" s="379"/>
      <c r="AF16" s="379"/>
      <c r="AG16" s="379"/>
      <c r="AH16" s="379"/>
      <c r="AI16" s="379"/>
      <c r="AJ16" s="379"/>
      <c r="AK16" s="265"/>
      <c r="AT16"/>
      <c r="AU16"/>
      <c r="AV16"/>
      <c r="AW16"/>
      <c r="AX16"/>
      <c r="AY16"/>
      <c r="AZ16"/>
      <c r="BA16"/>
      <c r="BB16"/>
      <c r="BC16"/>
      <c r="BD16"/>
      <c r="BE16"/>
      <c r="BF16"/>
      <c r="BG16"/>
      <c r="BH16"/>
      <c r="BI16"/>
      <c r="BJ16"/>
      <c r="BK16"/>
      <c r="BL16"/>
      <c r="BM16"/>
      <c r="BN16"/>
      <c r="BO16"/>
      <c r="BP16"/>
      <c r="BQ16"/>
      <c r="BR16"/>
      <c r="BS16"/>
      <c r="BT16"/>
      <c r="BU16"/>
    </row>
    <row r="17" spans="9:80" ht="15.95" customHeight="1" x14ac:dyDescent="0.25">
      <c r="I17" s="264"/>
      <c r="J17" s="379"/>
      <c r="K17" s="379"/>
      <c r="L17" s="379"/>
      <c r="M17" s="379"/>
      <c r="N17" s="379"/>
      <c r="O17" s="379"/>
      <c r="P17" s="379"/>
      <c r="Q17" s="379"/>
      <c r="R17" s="379"/>
      <c r="S17" s="379"/>
      <c r="T17" s="379"/>
      <c r="U17" s="379"/>
      <c r="V17" s="379"/>
      <c r="W17" s="379"/>
      <c r="X17" s="379"/>
      <c r="Y17" s="379"/>
      <c r="Z17" s="379"/>
      <c r="AA17" s="379"/>
      <c r="AB17" s="379"/>
      <c r="AC17" s="379"/>
      <c r="AD17" s="379"/>
      <c r="AE17" s="379"/>
      <c r="AF17" s="379"/>
      <c r="AG17" s="379"/>
      <c r="AH17" s="379"/>
      <c r="AI17" s="379"/>
      <c r="AJ17" s="379"/>
      <c r="AK17" s="265"/>
      <c r="AT17"/>
      <c r="AU17"/>
      <c r="AV17"/>
      <c r="AW17"/>
      <c r="AX17"/>
      <c r="AY17"/>
      <c r="AZ17"/>
      <c r="BA17"/>
      <c r="BB17"/>
      <c r="BC17"/>
      <c r="BD17"/>
      <c r="BE17"/>
      <c r="BF17"/>
      <c r="BG17"/>
      <c r="BH17"/>
      <c r="BI17"/>
      <c r="BJ17"/>
      <c r="BK17"/>
      <c r="BL17"/>
      <c r="BM17"/>
      <c r="BN17"/>
      <c r="BO17"/>
      <c r="BP17"/>
      <c r="BQ17"/>
      <c r="BR17"/>
      <c r="BS17"/>
      <c r="BT17"/>
      <c r="BU17"/>
      <c r="CA17" s="25"/>
      <c r="CB17" s="25"/>
    </row>
    <row r="18" spans="9:80" ht="15.95" customHeight="1" x14ac:dyDescent="0.25">
      <c r="I18" s="264"/>
      <c r="J18" s="379"/>
      <c r="K18" s="379"/>
      <c r="L18" s="379"/>
      <c r="M18" s="379"/>
      <c r="N18" s="379"/>
      <c r="O18" s="379"/>
      <c r="P18" s="379"/>
      <c r="Q18" s="379"/>
      <c r="R18" s="379"/>
      <c r="S18" s="379"/>
      <c r="T18" s="379"/>
      <c r="U18" s="379"/>
      <c r="V18" s="379"/>
      <c r="W18" s="379"/>
      <c r="X18" s="379"/>
      <c r="Y18" s="379"/>
      <c r="Z18" s="379"/>
      <c r="AA18" s="379"/>
      <c r="AB18" s="379"/>
      <c r="AC18" s="379"/>
      <c r="AD18" s="379"/>
      <c r="AE18" s="379"/>
      <c r="AF18" s="379"/>
      <c r="AG18" s="379"/>
      <c r="AH18" s="379"/>
      <c r="AI18" s="379"/>
      <c r="AJ18" s="379"/>
      <c r="AK18" s="265"/>
      <c r="AT18"/>
      <c r="AU18"/>
      <c r="AV18"/>
      <c r="AW18"/>
      <c r="AX18"/>
      <c r="AY18"/>
      <c r="AZ18"/>
      <c r="BA18"/>
      <c r="BB18"/>
      <c r="BC18"/>
      <c r="BD18"/>
      <c r="BE18"/>
      <c r="BF18"/>
      <c r="BG18"/>
      <c r="BH18"/>
      <c r="BI18"/>
      <c r="BJ18"/>
      <c r="BK18"/>
      <c r="BL18"/>
      <c r="BM18"/>
      <c r="BN18"/>
      <c r="BO18"/>
      <c r="BP18"/>
      <c r="BQ18"/>
      <c r="BR18"/>
      <c r="BS18"/>
      <c r="BT18"/>
      <c r="BU18"/>
      <c r="CA18" s="27"/>
      <c r="CB18" s="27"/>
    </row>
    <row r="19" spans="9:80" ht="15.95" customHeight="1" x14ac:dyDescent="0.25">
      <c r="I19" s="264"/>
      <c r="J19" s="379"/>
      <c r="K19" s="1460" t="s">
        <v>1892</v>
      </c>
      <c r="L19" s="1460"/>
      <c r="M19" s="1460"/>
      <c r="N19" s="1460"/>
      <c r="O19" s="1460"/>
      <c r="P19" s="1460"/>
      <c r="Q19" s="1460"/>
      <c r="R19" s="1460"/>
      <c r="S19" s="1460"/>
      <c r="T19" s="1460"/>
      <c r="U19" s="1460"/>
      <c r="V19" s="1460"/>
      <c r="W19" s="1460"/>
      <c r="X19" s="1460"/>
      <c r="Y19" s="1460"/>
      <c r="Z19" s="1460"/>
      <c r="AA19" s="1460"/>
      <c r="AB19" s="1460"/>
      <c r="AC19" s="1460"/>
      <c r="AD19" s="1460"/>
      <c r="AE19" s="1460"/>
      <c r="AF19" s="1460"/>
      <c r="AG19" s="1460"/>
      <c r="AH19" s="1460"/>
      <c r="AI19" s="1460"/>
      <c r="AJ19" s="379"/>
      <c r="AK19" s="265"/>
      <c r="AT19"/>
      <c r="AU19"/>
      <c r="AV19"/>
      <c r="AW19"/>
      <c r="AX19"/>
      <c r="AY19"/>
      <c r="AZ19"/>
      <c r="BA19"/>
      <c r="BB19"/>
      <c r="BC19"/>
      <c r="BD19"/>
      <c r="BE19"/>
      <c r="BF19"/>
      <c r="BG19"/>
      <c r="BH19"/>
      <c r="BI19"/>
      <c r="BJ19"/>
      <c r="BK19"/>
      <c r="BL19"/>
      <c r="BM19"/>
      <c r="BN19"/>
      <c r="BO19"/>
      <c r="BP19"/>
      <c r="BQ19"/>
      <c r="BR19"/>
      <c r="BS19"/>
      <c r="BT19"/>
      <c r="BU19"/>
      <c r="CA19" s="27"/>
      <c r="CB19" s="27"/>
    </row>
    <row r="20" spans="9:80" ht="15.95" customHeight="1" x14ac:dyDescent="0.25">
      <c r="I20" s="264"/>
      <c r="J20" s="379"/>
      <c r="K20" s="1460"/>
      <c r="L20" s="1460"/>
      <c r="M20" s="1460"/>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379"/>
      <c r="AK20" s="265"/>
      <c r="AT20"/>
      <c r="AU20"/>
      <c r="AV20"/>
      <c r="AW20"/>
      <c r="AX20"/>
      <c r="AY20"/>
      <c r="AZ20"/>
      <c r="BA20"/>
      <c r="BB20"/>
      <c r="BC20"/>
      <c r="BD20"/>
      <c r="BE20"/>
      <c r="BF20"/>
      <c r="BG20"/>
      <c r="BH20"/>
      <c r="BI20"/>
      <c r="BJ20"/>
      <c r="BK20"/>
      <c r="BL20"/>
      <c r="BM20"/>
      <c r="BN20"/>
      <c r="BO20"/>
      <c r="BP20"/>
      <c r="BQ20"/>
      <c r="BR20"/>
      <c r="BS20"/>
      <c r="BT20"/>
      <c r="BU20"/>
      <c r="CA20" s="27"/>
      <c r="CB20" s="27"/>
    </row>
    <row r="21" spans="9:80" ht="15.95" customHeight="1" x14ac:dyDescent="0.25">
      <c r="I21" s="264"/>
      <c r="J21" s="396"/>
      <c r="K21" s="1484">
        <f>M02S02F01</f>
        <v>0</v>
      </c>
      <c r="L21" s="1484"/>
      <c r="M21" s="1484"/>
      <c r="N21" s="1484"/>
      <c r="O21" s="1484"/>
      <c r="P21" s="1484"/>
      <c r="Q21" s="1484"/>
      <c r="R21" s="1484"/>
      <c r="S21" s="1484"/>
      <c r="T21" s="1484"/>
      <c r="U21" s="1484"/>
      <c r="V21" s="1484"/>
      <c r="W21" s="1484"/>
      <c r="X21" s="1484"/>
      <c r="Y21" s="1484"/>
      <c r="Z21" s="1484"/>
      <c r="AA21" s="1484"/>
      <c r="AB21" s="1484"/>
      <c r="AC21" s="1484"/>
      <c r="AD21" s="1484"/>
      <c r="AE21" s="1484"/>
      <c r="AF21" s="1484"/>
      <c r="AG21" s="1484"/>
      <c r="AH21" s="1484"/>
      <c r="AI21" s="1484"/>
      <c r="AJ21" s="396"/>
      <c r="AK21" s="265"/>
      <c r="AT21"/>
      <c r="AU21"/>
      <c r="AV21"/>
      <c r="AW21"/>
      <c r="AX21"/>
      <c r="AY21"/>
      <c r="AZ21"/>
      <c r="BA21"/>
      <c r="BB21"/>
      <c r="BC21"/>
      <c r="BD21"/>
      <c r="BE21"/>
      <c r="BF21"/>
      <c r="BG21"/>
      <c r="BH21"/>
      <c r="BI21"/>
      <c r="BJ21"/>
      <c r="BK21"/>
      <c r="BL21"/>
      <c r="BM21"/>
      <c r="BN21"/>
      <c r="BO21"/>
      <c r="BP21"/>
      <c r="BQ21"/>
      <c r="BR21"/>
      <c r="BS21"/>
      <c r="BT21"/>
      <c r="BU21"/>
      <c r="CA21" s="82"/>
      <c r="CB21" s="82"/>
    </row>
    <row r="22" spans="9:80" ht="15.95" customHeight="1" x14ac:dyDescent="0.25">
      <c r="I22" s="264"/>
      <c r="J22" s="396"/>
      <c r="K22" s="1484"/>
      <c r="L22" s="1484"/>
      <c r="M22" s="1484"/>
      <c r="N22" s="1484"/>
      <c r="O22" s="1484"/>
      <c r="P22" s="1484"/>
      <c r="Q22" s="1484"/>
      <c r="R22" s="1484"/>
      <c r="S22" s="1484"/>
      <c r="T22" s="1484"/>
      <c r="U22" s="1484"/>
      <c r="V22" s="1484"/>
      <c r="W22" s="1484"/>
      <c r="X22" s="1484"/>
      <c r="Y22" s="1484"/>
      <c r="Z22" s="1484"/>
      <c r="AA22" s="1484"/>
      <c r="AB22" s="1484"/>
      <c r="AC22" s="1484"/>
      <c r="AD22" s="1484"/>
      <c r="AE22" s="1484"/>
      <c r="AF22" s="1484"/>
      <c r="AG22" s="1484"/>
      <c r="AH22" s="1484"/>
      <c r="AI22" s="1484"/>
      <c r="AJ22" s="396"/>
      <c r="AK22" s="265"/>
      <c r="AT22"/>
      <c r="AU22"/>
      <c r="AV22"/>
      <c r="AW22"/>
      <c r="AX22"/>
      <c r="AY22"/>
      <c r="AZ22"/>
      <c r="BA22"/>
      <c r="BB22"/>
      <c r="BC22"/>
      <c r="BD22"/>
      <c r="BE22"/>
      <c r="BF22"/>
      <c r="BG22"/>
      <c r="BH22"/>
      <c r="BI22"/>
      <c r="BJ22"/>
      <c r="BK22"/>
      <c r="BL22"/>
      <c r="BM22"/>
      <c r="BN22"/>
      <c r="BO22"/>
      <c r="BP22"/>
      <c r="BQ22"/>
      <c r="BR22"/>
      <c r="BS22"/>
      <c r="BT22"/>
      <c r="BU22"/>
      <c r="CA22" s="397"/>
      <c r="CB22" s="397"/>
    </row>
    <row r="23" spans="9:80" ht="15.95" customHeight="1" x14ac:dyDescent="0.25">
      <c r="I23" s="264"/>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265"/>
      <c r="AT23"/>
      <c r="AU23"/>
      <c r="AV23"/>
      <c r="AW23"/>
      <c r="AX23"/>
      <c r="AY23"/>
      <c r="AZ23"/>
      <c r="BA23"/>
      <c r="BB23"/>
      <c r="BC23"/>
      <c r="BD23"/>
      <c r="BE23"/>
      <c r="BF23"/>
      <c r="BG23"/>
      <c r="BH23"/>
      <c r="BI23"/>
      <c r="BJ23"/>
      <c r="BK23"/>
      <c r="BL23"/>
      <c r="BM23"/>
      <c r="BN23"/>
      <c r="BO23"/>
      <c r="BP23"/>
      <c r="BQ23"/>
      <c r="BR23"/>
      <c r="BS23"/>
      <c r="BT23"/>
      <c r="BU23"/>
      <c r="CA23" s="95"/>
      <c r="CB23" s="95"/>
    </row>
    <row r="24" spans="9:80" ht="15.95" customHeight="1" x14ac:dyDescent="0.25">
      <c r="I24" s="264"/>
      <c r="J24" s="381"/>
      <c r="K24" s="1443" t="s">
        <v>123</v>
      </c>
      <c r="L24" s="1443"/>
      <c r="M24" s="1443"/>
      <c r="N24" s="1443"/>
      <c r="O24" s="1443"/>
      <c r="P24" s="1458" t="s">
        <v>1421</v>
      </c>
      <c r="Q24" s="1458"/>
      <c r="R24" s="1458"/>
      <c r="S24" s="1458"/>
      <c r="T24" s="1458"/>
      <c r="U24" s="1458"/>
      <c r="V24" s="1458"/>
      <c r="W24" s="1458" t="s">
        <v>255</v>
      </c>
      <c r="X24" s="1458"/>
      <c r="Y24" s="1458"/>
      <c r="Z24" s="1458"/>
      <c r="AA24" s="1458"/>
      <c r="AB24" s="1458"/>
      <c r="AC24" s="1458"/>
      <c r="AD24" s="1458" t="s">
        <v>1424</v>
      </c>
      <c r="AE24" s="1458"/>
      <c r="AF24" s="1458"/>
      <c r="AG24" s="1458"/>
      <c r="AH24" s="1458"/>
      <c r="AI24" s="1458"/>
      <c r="AJ24" s="1458"/>
      <c r="AK24" s="265"/>
      <c r="AT24"/>
      <c r="AU24"/>
      <c r="AV24"/>
      <c r="AW24"/>
      <c r="AX24"/>
      <c r="AY24"/>
      <c r="AZ24"/>
      <c r="BA24"/>
      <c r="BB24"/>
      <c r="BC24"/>
      <c r="BD24"/>
      <c r="BE24"/>
      <c r="BF24"/>
      <c r="BG24"/>
      <c r="BH24"/>
      <c r="BI24"/>
      <c r="BJ24"/>
      <c r="BK24"/>
      <c r="BL24"/>
      <c r="BM24"/>
      <c r="BN24"/>
      <c r="BO24"/>
      <c r="BP24"/>
      <c r="BQ24"/>
      <c r="BR24"/>
      <c r="BS24"/>
      <c r="BT24"/>
      <c r="BU24"/>
      <c r="CA24" s="397"/>
      <c r="CB24" s="397"/>
    </row>
    <row r="25" spans="9:80" ht="15.95" customHeight="1" x14ac:dyDescent="0.25">
      <c r="I25" s="264"/>
      <c r="J25" s="381"/>
      <c r="K25" s="1443"/>
      <c r="L25" s="1443"/>
      <c r="M25" s="1443"/>
      <c r="N25" s="1443"/>
      <c r="O25" s="1443"/>
      <c r="P25" s="1455">
        <f>PROJID</f>
        <v>0</v>
      </c>
      <c r="Q25" s="1455"/>
      <c r="R25" s="1455"/>
      <c r="S25" s="1455"/>
      <c r="T25" s="1455"/>
      <c r="U25" s="1455"/>
      <c r="V25" s="1455"/>
      <c r="W25" s="1455">
        <f>M02S02F01</f>
        <v>0</v>
      </c>
      <c r="X25" s="1455"/>
      <c r="Y25" s="1455"/>
      <c r="Z25" s="1455"/>
      <c r="AA25" s="1455"/>
      <c r="AB25" s="1455"/>
      <c r="AC25" s="1455"/>
      <c r="AD25" s="1455">
        <f>M02S02F34</f>
        <v>0</v>
      </c>
      <c r="AE25" s="1455"/>
      <c r="AF25" s="1455"/>
      <c r="AG25" s="1455"/>
      <c r="AH25" s="1455"/>
      <c r="AI25" s="1455"/>
      <c r="AJ25" s="1455"/>
      <c r="AK25" s="265"/>
      <c r="AT25"/>
      <c r="AU25"/>
      <c r="AV25"/>
      <c r="AW25"/>
      <c r="AX25"/>
      <c r="AY25"/>
      <c r="AZ25"/>
      <c r="BA25"/>
      <c r="BB25"/>
      <c r="BC25"/>
      <c r="BD25"/>
      <c r="BE25"/>
      <c r="BF25"/>
      <c r="BG25"/>
      <c r="BH25"/>
      <c r="BI25"/>
      <c r="BJ25"/>
      <c r="BK25"/>
      <c r="BL25"/>
      <c r="BM25"/>
      <c r="BN25"/>
      <c r="BO25"/>
      <c r="BP25"/>
      <c r="BQ25"/>
      <c r="BR25"/>
      <c r="BS25"/>
      <c r="BT25"/>
      <c r="BU25"/>
      <c r="CA25" s="79"/>
      <c r="CB25" s="79"/>
    </row>
    <row r="26" spans="9:80" ht="15.95" customHeight="1" x14ac:dyDescent="0.25">
      <c r="I26" s="264"/>
      <c r="J26" s="381"/>
      <c r="K26" s="1443"/>
      <c r="L26" s="1443"/>
      <c r="M26" s="1443"/>
      <c r="N26" s="1443"/>
      <c r="O26" s="1443"/>
      <c r="P26" s="1455"/>
      <c r="Q26" s="1455"/>
      <c r="R26" s="1455"/>
      <c r="S26" s="1455"/>
      <c r="T26" s="1455"/>
      <c r="U26" s="1455"/>
      <c r="V26" s="1455"/>
      <c r="W26" s="1455">
        <f>M02S02F08</f>
        <v>0</v>
      </c>
      <c r="X26" s="1455"/>
      <c r="Y26" s="1455"/>
      <c r="Z26" s="1455"/>
      <c r="AA26" s="1455"/>
      <c r="AB26" s="1455"/>
      <c r="AC26" s="1455"/>
      <c r="AD26" s="1455">
        <f>M02S02F22</f>
        <v>0</v>
      </c>
      <c r="AE26" s="1455"/>
      <c r="AF26" s="1455"/>
      <c r="AG26" s="1455"/>
      <c r="AH26" s="1455"/>
      <c r="AI26" s="1455"/>
      <c r="AJ26" s="1455"/>
      <c r="AK26" s="265"/>
      <c r="AT26"/>
      <c r="AU26"/>
      <c r="AV26"/>
      <c r="AW26"/>
      <c r="AX26"/>
      <c r="AY26"/>
      <c r="AZ26"/>
      <c r="BA26"/>
      <c r="BB26"/>
      <c r="BC26"/>
      <c r="BD26"/>
      <c r="BE26"/>
      <c r="BF26"/>
      <c r="BG26"/>
      <c r="BH26"/>
      <c r="BI26"/>
      <c r="BJ26"/>
      <c r="BK26"/>
      <c r="BL26"/>
      <c r="BM26"/>
      <c r="BN26"/>
      <c r="BO26"/>
      <c r="BP26"/>
      <c r="BQ26"/>
      <c r="BR26"/>
      <c r="BS26"/>
      <c r="BT26"/>
      <c r="BU26"/>
      <c r="CA26" s="397"/>
      <c r="CB26" s="397"/>
    </row>
    <row r="27" spans="9:80" ht="15.95" customHeight="1" x14ac:dyDescent="0.25">
      <c r="I27" s="264"/>
      <c r="J27" s="381"/>
      <c r="K27" s="1443"/>
      <c r="L27" s="1443"/>
      <c r="M27" s="1443"/>
      <c r="N27" s="1443"/>
      <c r="O27" s="1443"/>
      <c r="P27" s="1455"/>
      <c r="Q27" s="1455"/>
      <c r="R27" s="1455"/>
      <c r="S27" s="1455"/>
      <c r="T27" s="1455"/>
      <c r="U27" s="1455"/>
      <c r="V27" s="1455"/>
      <c r="W27" s="1455" t="str">
        <f>CONCATENATE(M02S02F09,", ",M02S02F10," ",M02S02F11)</f>
        <v xml:space="preserve">,  </v>
      </c>
      <c r="X27" s="1455"/>
      <c r="Y27" s="1455"/>
      <c r="Z27" s="1455"/>
      <c r="AA27" s="1455"/>
      <c r="AB27" s="1455"/>
      <c r="AC27" s="1455"/>
      <c r="AD27" s="1455" t="str">
        <f>CONCATENATE(M02S02F23,", ",M02S02F24," ",M02S02F25)</f>
        <v xml:space="preserve">, MO </v>
      </c>
      <c r="AE27" s="1455"/>
      <c r="AF27" s="1455"/>
      <c r="AG27" s="1455"/>
      <c r="AH27" s="1455"/>
      <c r="AI27" s="1455"/>
      <c r="AJ27" s="1455"/>
      <c r="AK27" s="265"/>
      <c r="AT27"/>
      <c r="AU27"/>
      <c r="AV27"/>
      <c r="AW27"/>
      <c r="AX27"/>
      <c r="AY27"/>
      <c r="AZ27"/>
      <c r="BA27"/>
      <c r="BB27"/>
      <c r="BC27"/>
      <c r="BD27"/>
      <c r="BE27"/>
      <c r="BF27"/>
      <c r="BG27"/>
      <c r="BH27"/>
      <c r="BI27"/>
      <c r="BJ27"/>
      <c r="BK27"/>
      <c r="BL27"/>
      <c r="BM27"/>
      <c r="BN27"/>
      <c r="BO27"/>
      <c r="BP27"/>
      <c r="BQ27"/>
      <c r="BR27"/>
      <c r="BS27"/>
      <c r="BT27"/>
      <c r="BU27"/>
      <c r="CA27" s="84"/>
      <c r="CB27" s="84"/>
    </row>
    <row r="28" spans="9:80" ht="15.95" customHeight="1" x14ac:dyDescent="0.25">
      <c r="I28" s="264"/>
      <c r="J28" s="381"/>
      <c r="K28" s="1443"/>
      <c r="L28" s="1443"/>
      <c r="M28" s="1443"/>
      <c r="N28" s="1443"/>
      <c r="O28" s="1443"/>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265"/>
      <c r="AT28"/>
      <c r="AU28"/>
      <c r="AV28"/>
      <c r="AW28"/>
      <c r="AX28"/>
      <c r="AY28"/>
      <c r="AZ28"/>
      <c r="BA28"/>
      <c r="BB28"/>
      <c r="BC28"/>
      <c r="BD28"/>
      <c r="BE28"/>
      <c r="BF28"/>
      <c r="BG28"/>
      <c r="BH28"/>
      <c r="BI28"/>
      <c r="BJ28"/>
      <c r="BK28"/>
      <c r="BL28"/>
      <c r="BM28"/>
      <c r="BN28"/>
      <c r="BO28"/>
      <c r="BP28"/>
      <c r="BQ28"/>
      <c r="BR28"/>
      <c r="BS28"/>
      <c r="BT28"/>
      <c r="BU28"/>
      <c r="CA28" s="398"/>
      <c r="CB28" s="398"/>
    </row>
    <row r="29" spans="9:80" ht="15.95" customHeight="1" x14ac:dyDescent="0.25">
      <c r="I29" s="264"/>
      <c r="J29" s="381"/>
      <c r="K29" s="1443"/>
      <c r="L29" s="1443"/>
      <c r="M29" s="1443"/>
      <c r="N29" s="1443"/>
      <c r="O29" s="1443"/>
      <c r="P29" s="1458" t="s">
        <v>1422</v>
      </c>
      <c r="Q29" s="1458"/>
      <c r="R29" s="1458"/>
      <c r="S29" s="1458"/>
      <c r="T29" s="1458"/>
      <c r="U29" s="1458"/>
      <c r="V29" s="1458"/>
      <c r="W29" s="1458" t="s">
        <v>1423</v>
      </c>
      <c r="X29" s="1458"/>
      <c r="Y29" s="1458"/>
      <c r="Z29" s="1458"/>
      <c r="AA29" s="1458"/>
      <c r="AB29" s="1458"/>
      <c r="AC29" s="1458"/>
      <c r="AD29" s="1458" t="s">
        <v>1425</v>
      </c>
      <c r="AE29" s="1458"/>
      <c r="AF29" s="1458"/>
      <c r="AG29" s="1458"/>
      <c r="AH29" s="1458"/>
      <c r="AI29" s="1458"/>
      <c r="AJ29" s="1458"/>
      <c r="AK29" s="265"/>
      <c r="AT29"/>
      <c r="AU29"/>
      <c r="AV29"/>
      <c r="AW29"/>
      <c r="AX29"/>
      <c r="AY29"/>
      <c r="AZ29"/>
      <c r="BA29"/>
      <c r="BB29"/>
      <c r="BC29"/>
      <c r="BD29"/>
      <c r="BE29"/>
      <c r="BF29"/>
      <c r="BG29"/>
      <c r="BH29"/>
      <c r="BI29"/>
      <c r="BJ29"/>
      <c r="BK29"/>
      <c r="BL29"/>
      <c r="BM29"/>
      <c r="BN29"/>
      <c r="BO29"/>
      <c r="BP29"/>
      <c r="BQ29"/>
      <c r="BR29"/>
      <c r="BS29"/>
      <c r="BT29"/>
      <c r="BU29"/>
      <c r="CA29" s="85"/>
      <c r="CB29" s="85"/>
    </row>
    <row r="30" spans="9:80" ht="15.95" customHeight="1" x14ac:dyDescent="0.25">
      <c r="I30" s="264"/>
      <c r="J30" s="381"/>
      <c r="K30" s="1443"/>
      <c r="L30" s="1443"/>
      <c r="M30" s="1443"/>
      <c r="N30" s="1443"/>
      <c r="O30" s="1443"/>
      <c r="P30" s="1455">
        <f>M02S02F13</f>
        <v>0</v>
      </c>
      <c r="Q30" s="1455"/>
      <c r="R30" s="1455"/>
      <c r="S30" s="1455"/>
      <c r="T30" s="1455"/>
      <c r="U30" s="1455"/>
      <c r="V30" s="1455"/>
      <c r="W30" s="1455" t="str">
        <f>CONCATENATE(M02S02F02," ",M02S02F03)</f>
        <v xml:space="preserve"> </v>
      </c>
      <c r="X30" s="1455"/>
      <c r="Y30" s="1455"/>
      <c r="Z30" s="1455"/>
      <c r="AA30" s="1455"/>
      <c r="AB30" s="1455"/>
      <c r="AC30" s="1455"/>
      <c r="AD30" s="1455" t="str">
        <f>CONCATENATE(M02S02F16," ",M02S02F17)</f>
        <v xml:space="preserve"> </v>
      </c>
      <c r="AE30" s="1455"/>
      <c r="AF30" s="1455"/>
      <c r="AG30" s="1455"/>
      <c r="AH30" s="1455"/>
      <c r="AI30" s="1455"/>
      <c r="AJ30" s="1455"/>
      <c r="AK30" s="265"/>
      <c r="AT30"/>
      <c r="AU30"/>
      <c r="AV30"/>
      <c r="AW30"/>
      <c r="AX30"/>
      <c r="AY30"/>
      <c r="AZ30"/>
      <c r="BA30"/>
      <c r="BB30"/>
      <c r="BC30"/>
      <c r="BD30"/>
      <c r="BE30"/>
      <c r="BF30"/>
      <c r="BG30"/>
      <c r="BH30"/>
      <c r="BI30"/>
      <c r="BJ30"/>
      <c r="BK30"/>
      <c r="BL30"/>
      <c r="BM30"/>
      <c r="BN30"/>
      <c r="BO30"/>
      <c r="BP30"/>
      <c r="BQ30"/>
      <c r="BR30"/>
      <c r="BS30"/>
      <c r="BT30"/>
      <c r="BU30"/>
      <c r="CA30" s="397"/>
      <c r="CB30" s="397"/>
    </row>
    <row r="31" spans="9:80" ht="15.95" customHeight="1" x14ac:dyDescent="0.25">
      <c r="I31" s="264"/>
      <c r="J31" s="381"/>
      <c r="K31" s="1443"/>
      <c r="L31" s="1443"/>
      <c r="M31" s="1443"/>
      <c r="N31" s="1443"/>
      <c r="O31" s="1443"/>
      <c r="P31" s="1455"/>
      <c r="Q31" s="1455"/>
      <c r="R31" s="1455"/>
      <c r="S31" s="1455"/>
      <c r="T31" s="1455"/>
      <c r="U31" s="1455"/>
      <c r="V31" s="1455"/>
      <c r="W31" s="1457">
        <f>M02S02F05</f>
        <v>0</v>
      </c>
      <c r="X31" s="1457"/>
      <c r="Y31" s="1457"/>
      <c r="Z31" s="1457"/>
      <c r="AA31" s="1457"/>
      <c r="AB31" s="1457"/>
      <c r="AC31" s="1457"/>
      <c r="AD31" s="1457">
        <f>M02S02F19</f>
        <v>0</v>
      </c>
      <c r="AE31" s="1457"/>
      <c r="AF31" s="1457"/>
      <c r="AG31" s="1457"/>
      <c r="AH31" s="1457"/>
      <c r="AI31" s="1457"/>
      <c r="AJ31" s="1457"/>
      <c r="AK31" s="265"/>
      <c r="AT31"/>
      <c r="AU31"/>
      <c r="AV31"/>
      <c r="AW31"/>
      <c r="AX31"/>
      <c r="AY31"/>
      <c r="AZ31"/>
      <c r="BA31"/>
      <c r="BB31"/>
      <c r="BC31"/>
      <c r="BD31"/>
      <c r="BE31"/>
      <c r="BF31"/>
      <c r="BG31"/>
      <c r="BH31"/>
      <c r="BI31"/>
      <c r="BJ31"/>
      <c r="BK31"/>
      <c r="BL31"/>
      <c r="BM31"/>
      <c r="BN31"/>
      <c r="BO31"/>
      <c r="BP31"/>
      <c r="BQ31"/>
      <c r="BR31"/>
      <c r="BS31"/>
      <c r="BT31"/>
      <c r="BU31"/>
      <c r="CA31" s="80"/>
      <c r="CB31" s="80"/>
    </row>
    <row r="32" spans="9:80" ht="15.95" customHeight="1" x14ac:dyDescent="0.25">
      <c r="I32" s="264"/>
      <c r="J32" s="381"/>
      <c r="K32" s="1443"/>
      <c r="L32" s="1443"/>
      <c r="M32" s="1443"/>
      <c r="N32" s="1443"/>
      <c r="O32" s="1443"/>
      <c r="P32" s="1455"/>
      <c r="Q32" s="1455"/>
      <c r="R32" s="1455"/>
      <c r="S32" s="1455"/>
      <c r="T32" s="1455"/>
      <c r="U32" s="1455"/>
      <c r="V32" s="1455"/>
      <c r="W32" s="1455">
        <f>M02S02F07</f>
        <v>0</v>
      </c>
      <c r="X32" s="1455"/>
      <c r="Y32" s="1455"/>
      <c r="Z32" s="1455"/>
      <c r="AA32" s="1455"/>
      <c r="AB32" s="1455"/>
      <c r="AC32" s="1455"/>
      <c r="AD32" s="1455">
        <f>M02S02F21</f>
        <v>0</v>
      </c>
      <c r="AE32" s="1455"/>
      <c r="AF32" s="1455"/>
      <c r="AG32" s="1455"/>
      <c r="AH32" s="1455"/>
      <c r="AI32" s="1455"/>
      <c r="AJ32" s="1455"/>
      <c r="AK32" s="265"/>
      <c r="AT32"/>
      <c r="AU32"/>
      <c r="AV32"/>
      <c r="AW32"/>
      <c r="AX32"/>
      <c r="AY32"/>
      <c r="AZ32"/>
      <c r="BA32"/>
      <c r="BB32"/>
      <c r="BC32"/>
      <c r="BD32"/>
      <c r="BE32"/>
      <c r="BF32"/>
      <c r="BG32"/>
      <c r="BH32"/>
      <c r="BI32"/>
      <c r="BJ32"/>
      <c r="BK32"/>
      <c r="BL32"/>
      <c r="BM32"/>
      <c r="BN32"/>
      <c r="BO32"/>
      <c r="BP32"/>
      <c r="BQ32"/>
      <c r="BR32"/>
      <c r="BS32"/>
      <c r="BT32"/>
      <c r="BU32"/>
      <c r="CA32" s="82"/>
      <c r="CB32" s="82"/>
    </row>
    <row r="33" spans="9:80" ht="15.95" customHeight="1" x14ac:dyDescent="0.25">
      <c r="I33" s="264"/>
      <c r="J33" s="145"/>
      <c r="K33" s="145"/>
      <c r="L33" s="145"/>
      <c r="M33" s="145"/>
      <c r="N33" s="145"/>
      <c r="O33" s="145"/>
      <c r="P33" s="399"/>
      <c r="Q33" s="399"/>
      <c r="R33" s="399"/>
      <c r="S33" s="399"/>
      <c r="T33" s="399"/>
      <c r="U33" s="399"/>
      <c r="V33" s="399"/>
      <c r="W33" s="399"/>
      <c r="X33" s="399"/>
      <c r="Y33" s="399"/>
      <c r="Z33" s="399"/>
      <c r="AA33" s="399"/>
      <c r="AB33" s="399"/>
      <c r="AC33" s="399"/>
      <c r="AD33" s="399"/>
      <c r="AE33" s="399"/>
      <c r="AF33" s="399"/>
      <c r="AG33" s="399"/>
      <c r="AH33" s="399"/>
      <c r="AI33" s="399"/>
      <c r="AJ33" s="399"/>
      <c r="AK33" s="265"/>
      <c r="AT33"/>
      <c r="AU33"/>
      <c r="AV33"/>
      <c r="AW33"/>
      <c r="AX33"/>
      <c r="AY33"/>
      <c r="AZ33"/>
      <c r="BA33"/>
      <c r="BB33"/>
      <c r="BC33"/>
      <c r="BD33"/>
      <c r="BE33"/>
      <c r="BF33"/>
      <c r="BG33"/>
      <c r="BH33"/>
      <c r="BI33"/>
      <c r="BJ33"/>
      <c r="BK33"/>
      <c r="BL33"/>
      <c r="BM33"/>
      <c r="BN33"/>
      <c r="BO33"/>
      <c r="BP33"/>
      <c r="BQ33"/>
      <c r="BR33"/>
      <c r="BS33"/>
      <c r="BT33"/>
      <c r="BU33"/>
      <c r="CA33" s="400"/>
      <c r="CB33" s="400"/>
    </row>
    <row r="34" spans="9:80" ht="15.95" customHeight="1" x14ac:dyDescent="0.25">
      <c r="I34" s="264"/>
      <c r="J34" s="382"/>
      <c r="K34" s="1463" t="s">
        <v>1165</v>
      </c>
      <c r="L34" s="1463"/>
      <c r="M34" s="1463"/>
      <c r="N34" s="1463"/>
      <c r="O34" s="1463"/>
      <c r="P34" s="1454" t="s">
        <v>132</v>
      </c>
      <c r="Q34" s="1454"/>
      <c r="R34" s="1454"/>
      <c r="S34" s="1454"/>
      <c r="T34" s="1454"/>
      <c r="U34" s="1454"/>
      <c r="V34" s="1454"/>
      <c r="W34" s="1454" t="s">
        <v>125</v>
      </c>
      <c r="X34" s="1454"/>
      <c r="Y34" s="1454"/>
      <c r="Z34" s="1454"/>
      <c r="AA34" s="1454"/>
      <c r="AB34" s="1454"/>
      <c r="AC34" s="1454"/>
      <c r="AD34" s="1454" t="s">
        <v>111</v>
      </c>
      <c r="AE34" s="1454"/>
      <c r="AF34" s="1454"/>
      <c r="AG34" s="1454"/>
      <c r="AH34" s="1454"/>
      <c r="AI34" s="1454"/>
      <c r="AJ34" s="1454"/>
      <c r="AK34" s="265"/>
      <c r="AT34"/>
      <c r="AU34"/>
      <c r="AV34"/>
      <c r="AW34"/>
      <c r="AX34"/>
      <c r="AY34"/>
      <c r="AZ34"/>
      <c r="BA34"/>
      <c r="BB34"/>
      <c r="BC34"/>
      <c r="BD34"/>
      <c r="BE34"/>
      <c r="BF34"/>
      <c r="BG34"/>
      <c r="BH34"/>
      <c r="BI34"/>
      <c r="BJ34"/>
      <c r="BK34"/>
      <c r="BL34"/>
      <c r="BM34"/>
      <c r="BN34"/>
      <c r="BO34"/>
      <c r="BP34"/>
      <c r="BQ34"/>
      <c r="BR34"/>
      <c r="BS34"/>
      <c r="BT34"/>
      <c r="BU34"/>
      <c r="CA34" s="95"/>
      <c r="CB34" s="95"/>
    </row>
    <row r="35" spans="9:80" ht="15.95" customHeight="1" x14ac:dyDescent="0.25">
      <c r="I35" s="264"/>
      <c r="J35" s="382"/>
      <c r="K35" s="1463"/>
      <c r="L35" s="1463"/>
      <c r="M35" s="1463"/>
      <c r="N35" s="1463"/>
      <c r="O35" s="1463"/>
      <c r="P35" s="1453">
        <f>M02S03F02</f>
        <v>0</v>
      </c>
      <c r="Q35" s="1453"/>
      <c r="R35" s="1453"/>
      <c r="S35" s="1453"/>
      <c r="T35" s="1453"/>
      <c r="U35" s="1453"/>
      <c r="V35" s="1453"/>
      <c r="W35" s="1453" t="str">
        <f>CONCATENATE(M02S03F03," ",M02S03F04)</f>
        <v xml:space="preserve"> </v>
      </c>
      <c r="X35" s="1453"/>
      <c r="Y35" s="1453"/>
      <c r="Z35" s="1453"/>
      <c r="AA35" s="1453"/>
      <c r="AB35" s="1453"/>
      <c r="AC35" s="1453"/>
      <c r="AD35" s="1453">
        <f>M02S03F09</f>
        <v>0</v>
      </c>
      <c r="AE35" s="1453"/>
      <c r="AF35" s="1453"/>
      <c r="AG35" s="1453"/>
      <c r="AH35" s="1453"/>
      <c r="AI35" s="1453"/>
      <c r="AJ35" s="1453"/>
      <c r="AK35" s="265"/>
      <c r="AT35"/>
      <c r="AU35"/>
      <c r="AV35"/>
      <c r="AW35"/>
      <c r="AX35"/>
      <c r="AY35"/>
      <c r="AZ35"/>
      <c r="BA35"/>
      <c r="BB35"/>
      <c r="BC35"/>
      <c r="BD35"/>
      <c r="BE35"/>
      <c r="BF35"/>
      <c r="BG35"/>
      <c r="BH35"/>
      <c r="BI35"/>
      <c r="BJ35"/>
      <c r="BK35"/>
      <c r="BL35"/>
      <c r="BM35"/>
      <c r="BN35"/>
      <c r="BO35"/>
      <c r="BP35"/>
      <c r="BQ35"/>
      <c r="BR35"/>
      <c r="BS35"/>
      <c r="BT35"/>
      <c r="BU35"/>
      <c r="CA35" s="89"/>
      <c r="CB35" s="89"/>
    </row>
    <row r="36" spans="9:80" ht="15.95" customHeight="1" x14ac:dyDescent="0.25">
      <c r="I36" s="264"/>
      <c r="J36" s="382"/>
      <c r="K36" s="1463"/>
      <c r="L36" s="1463"/>
      <c r="M36" s="1463"/>
      <c r="N36" s="1463"/>
      <c r="O36" s="1463"/>
      <c r="P36" s="1453"/>
      <c r="Q36" s="1453"/>
      <c r="R36" s="1453"/>
      <c r="S36" s="1453"/>
      <c r="T36" s="1453"/>
      <c r="U36" s="1453"/>
      <c r="V36" s="1453"/>
      <c r="W36" s="1452">
        <f>M02S03F06</f>
        <v>0</v>
      </c>
      <c r="X36" s="1452"/>
      <c r="Y36" s="1452"/>
      <c r="Z36" s="1452"/>
      <c r="AA36" s="1452"/>
      <c r="AB36" s="1452"/>
      <c r="AC36" s="1452"/>
      <c r="AD36" s="1453" t="str">
        <f>CONCATENATE(M02S03F10,", ",M02S03F11," ",M02S03F12)</f>
        <v xml:space="preserve">,  </v>
      </c>
      <c r="AE36" s="1453"/>
      <c r="AF36" s="1453"/>
      <c r="AG36" s="1453"/>
      <c r="AH36" s="1453"/>
      <c r="AI36" s="1453"/>
      <c r="AJ36" s="1453"/>
      <c r="AK36" s="265"/>
      <c r="AT36"/>
      <c r="AU36"/>
      <c r="AV36"/>
      <c r="AW36"/>
      <c r="AX36"/>
      <c r="AY36"/>
      <c r="AZ36"/>
      <c r="BA36"/>
      <c r="BB36"/>
      <c r="BC36"/>
      <c r="BD36"/>
      <c r="BE36"/>
      <c r="BF36"/>
      <c r="BG36"/>
      <c r="BH36"/>
      <c r="BI36"/>
      <c r="BJ36"/>
      <c r="BK36"/>
      <c r="BL36"/>
      <c r="BM36"/>
      <c r="BN36"/>
      <c r="BO36"/>
      <c r="BP36"/>
      <c r="BQ36"/>
      <c r="BR36"/>
      <c r="BS36"/>
      <c r="BT36"/>
      <c r="BU36"/>
      <c r="CA36" s="86"/>
      <c r="CB36" s="86"/>
    </row>
    <row r="37" spans="9:80" ht="15.95" customHeight="1" x14ac:dyDescent="0.25">
      <c r="I37" s="264"/>
      <c r="J37" s="382"/>
      <c r="K37" s="1463"/>
      <c r="L37" s="1463"/>
      <c r="M37" s="1463"/>
      <c r="N37" s="1463"/>
      <c r="O37" s="1463"/>
      <c r="P37" s="1453"/>
      <c r="Q37" s="1453"/>
      <c r="R37" s="1453"/>
      <c r="S37" s="1453"/>
      <c r="T37" s="1453"/>
      <c r="U37" s="1453"/>
      <c r="V37" s="1453"/>
      <c r="W37" s="1453">
        <f>M02S03F08</f>
        <v>0</v>
      </c>
      <c r="X37" s="1453"/>
      <c r="Y37" s="1453"/>
      <c r="Z37" s="1453"/>
      <c r="AA37" s="1453"/>
      <c r="AB37" s="1453"/>
      <c r="AC37" s="1453"/>
      <c r="AD37" s="1453"/>
      <c r="AE37" s="1453"/>
      <c r="AF37" s="1453"/>
      <c r="AG37" s="1453"/>
      <c r="AH37" s="1453"/>
      <c r="AI37" s="1453"/>
      <c r="AJ37" s="1453"/>
      <c r="AK37" s="265"/>
      <c r="AT37"/>
      <c r="AU37"/>
      <c r="AV37"/>
      <c r="AW37"/>
      <c r="AX37"/>
      <c r="AY37"/>
      <c r="AZ37"/>
      <c r="BA37"/>
      <c r="BB37"/>
      <c r="BC37"/>
      <c r="BD37"/>
      <c r="BE37"/>
      <c r="BF37"/>
      <c r="BG37"/>
      <c r="BH37"/>
      <c r="BI37"/>
      <c r="BJ37"/>
      <c r="BK37"/>
      <c r="BL37"/>
      <c r="BM37"/>
      <c r="BN37"/>
      <c r="BO37"/>
      <c r="BP37"/>
      <c r="BQ37"/>
      <c r="BR37"/>
      <c r="BS37"/>
      <c r="BT37"/>
      <c r="BU37"/>
      <c r="CA37" s="87"/>
      <c r="CB37" s="87"/>
    </row>
    <row r="38" spans="9:80" ht="15.95" customHeight="1" x14ac:dyDescent="0.25">
      <c r="I38" s="264"/>
      <c r="J38" s="382"/>
      <c r="K38" s="1463"/>
      <c r="L38" s="1463"/>
      <c r="M38" s="1463"/>
      <c r="N38" s="1463"/>
      <c r="O38" s="1463"/>
      <c r="P38" s="1453"/>
      <c r="Q38" s="1453"/>
      <c r="R38" s="1453"/>
      <c r="S38" s="1453"/>
      <c r="T38" s="1453"/>
      <c r="U38" s="1453"/>
      <c r="V38" s="1453"/>
      <c r="W38" s="1453"/>
      <c r="X38" s="1453"/>
      <c r="Y38" s="1453"/>
      <c r="Z38" s="1453"/>
      <c r="AA38" s="1453"/>
      <c r="AB38" s="1453"/>
      <c r="AC38" s="1453"/>
      <c r="AD38" s="1453"/>
      <c r="AE38" s="1453"/>
      <c r="AF38" s="1453"/>
      <c r="AG38" s="1453"/>
      <c r="AH38" s="1453"/>
      <c r="AI38" s="1453"/>
      <c r="AJ38" s="1453"/>
      <c r="AK38" s="265"/>
      <c r="AT38"/>
      <c r="AU38"/>
      <c r="AV38"/>
      <c r="AW38"/>
      <c r="AX38"/>
      <c r="AY38"/>
      <c r="AZ38"/>
      <c r="BA38"/>
      <c r="BB38"/>
      <c r="BC38"/>
      <c r="BD38"/>
      <c r="BE38"/>
      <c r="BF38"/>
      <c r="BG38"/>
      <c r="BH38"/>
      <c r="BI38"/>
      <c r="BJ38"/>
      <c r="BK38"/>
      <c r="BL38"/>
      <c r="BM38"/>
      <c r="BN38"/>
      <c r="BO38"/>
      <c r="BP38"/>
      <c r="BQ38"/>
      <c r="BR38"/>
      <c r="BS38"/>
      <c r="BT38"/>
      <c r="BU38"/>
      <c r="CA38" s="401"/>
      <c r="CB38" s="401"/>
    </row>
    <row r="39" spans="9:80" ht="15.95" customHeight="1" x14ac:dyDescent="0.25">
      <c r="I39" s="264"/>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265"/>
      <c r="AT39"/>
      <c r="AU39"/>
      <c r="AV39"/>
      <c r="AW39"/>
      <c r="AX39"/>
      <c r="AY39"/>
      <c r="AZ39"/>
      <c r="BA39"/>
      <c r="BB39"/>
      <c r="BC39"/>
      <c r="BD39"/>
      <c r="BE39"/>
      <c r="BF39"/>
      <c r="BG39"/>
      <c r="BH39"/>
      <c r="BI39"/>
      <c r="BJ39"/>
      <c r="BK39"/>
      <c r="BL39"/>
      <c r="BM39"/>
      <c r="BN39"/>
      <c r="BO39"/>
      <c r="BP39"/>
      <c r="BQ39"/>
      <c r="BR39"/>
      <c r="BS39"/>
      <c r="BT39"/>
      <c r="BU39"/>
      <c r="CA39" s="401"/>
      <c r="CB39" s="401"/>
    </row>
    <row r="40" spans="9:80" ht="15.95" customHeight="1" x14ac:dyDescent="0.25">
      <c r="I40" s="264"/>
      <c r="J40" s="383"/>
      <c r="K40" s="1443" t="s">
        <v>1921</v>
      </c>
      <c r="L40" s="1443"/>
      <c r="M40" s="1443"/>
      <c r="N40" s="1443"/>
      <c r="O40" s="1443"/>
      <c r="P40" s="1443"/>
      <c r="Q40" s="1443"/>
      <c r="R40" s="1443"/>
      <c r="S40" s="1443"/>
      <c r="T40" s="1443"/>
      <c r="U40" s="1443"/>
      <c r="V40" s="1443"/>
      <c r="W40" s="1443"/>
      <c r="X40" s="1443"/>
      <c r="Y40" s="1443"/>
      <c r="Z40" s="1443"/>
      <c r="AA40" s="1443"/>
      <c r="AB40" s="1443"/>
      <c r="AC40" s="1443"/>
      <c r="AD40" s="1443"/>
      <c r="AE40" s="1443"/>
      <c r="AF40" s="1443"/>
      <c r="AG40" s="1443"/>
      <c r="AH40" s="1443"/>
      <c r="AI40" s="1443"/>
      <c r="AJ40" s="1443"/>
      <c r="AK40" s="265"/>
      <c r="AT40"/>
      <c r="AU40"/>
      <c r="AV40"/>
      <c r="AW40"/>
      <c r="AX40"/>
      <c r="AY40"/>
      <c r="AZ40"/>
      <c r="BA40"/>
      <c r="BB40"/>
      <c r="BC40"/>
      <c r="BD40"/>
      <c r="BE40"/>
      <c r="BF40"/>
      <c r="BG40"/>
      <c r="BH40"/>
      <c r="BI40"/>
      <c r="BJ40"/>
      <c r="BK40"/>
      <c r="BL40"/>
      <c r="BM40"/>
      <c r="BN40"/>
      <c r="BO40"/>
      <c r="BP40"/>
      <c r="BQ40"/>
      <c r="BR40"/>
      <c r="BS40"/>
      <c r="BT40"/>
      <c r="BU40"/>
      <c r="CA40" s="401"/>
      <c r="CB40" s="401"/>
    </row>
    <row r="41" spans="9:80" ht="15.95" customHeight="1" x14ac:dyDescent="0.25">
      <c r="I41" s="264"/>
      <c r="J41" s="383"/>
      <c r="K41" s="1443"/>
      <c r="L41" s="1443"/>
      <c r="M41" s="1443"/>
      <c r="N41" s="1443"/>
      <c r="O41" s="1443"/>
      <c r="P41" s="1443"/>
      <c r="Q41" s="1443"/>
      <c r="R41" s="1443"/>
      <c r="S41" s="1443"/>
      <c r="T41" s="1443"/>
      <c r="U41" s="1443"/>
      <c r="V41" s="1443"/>
      <c r="W41" s="1443"/>
      <c r="X41" s="1443"/>
      <c r="Y41" s="1443"/>
      <c r="Z41" s="1443"/>
      <c r="AA41" s="1443"/>
      <c r="AB41" s="1443"/>
      <c r="AC41" s="1443"/>
      <c r="AD41" s="1443"/>
      <c r="AE41" s="1443"/>
      <c r="AF41" s="1443"/>
      <c r="AG41" s="1443"/>
      <c r="AH41" s="1443"/>
      <c r="AI41" s="1443"/>
      <c r="AJ41" s="1443"/>
      <c r="AK41" s="265"/>
      <c r="AT41"/>
      <c r="AU41"/>
      <c r="AV41"/>
      <c r="AW41"/>
      <c r="AX41"/>
      <c r="AY41"/>
      <c r="AZ41"/>
      <c r="BA41"/>
      <c r="BB41"/>
      <c r="BC41"/>
      <c r="BD41"/>
      <c r="BE41"/>
      <c r="BF41"/>
      <c r="BG41"/>
      <c r="BH41"/>
      <c r="BI41"/>
      <c r="BJ41"/>
      <c r="BK41"/>
      <c r="BL41"/>
      <c r="BM41"/>
      <c r="BN41"/>
      <c r="BO41"/>
      <c r="BP41"/>
      <c r="BQ41"/>
      <c r="BR41"/>
      <c r="BS41"/>
      <c r="BT41"/>
      <c r="BU41"/>
      <c r="CA41" s="401"/>
      <c r="CB41" s="401"/>
    </row>
    <row r="42" spans="9:80" ht="15.95" customHeight="1" x14ac:dyDescent="0.25">
      <c r="I42" s="264"/>
      <c r="J42" s="383"/>
      <c r="K42" s="1445" t="s">
        <v>1428</v>
      </c>
      <c r="L42" s="1445"/>
      <c r="M42" s="1445"/>
      <c r="N42" s="1445"/>
      <c r="O42" s="1445"/>
      <c r="P42" s="1445" t="s">
        <v>1429</v>
      </c>
      <c r="Q42" s="1445"/>
      <c r="R42" s="1445"/>
      <c r="S42" s="1445"/>
      <c r="T42" s="1445"/>
      <c r="U42" s="1445"/>
      <c r="V42" s="1445"/>
      <c r="W42" s="1445" t="s">
        <v>1430</v>
      </c>
      <c r="X42" s="1445"/>
      <c r="Y42" s="1445"/>
      <c r="Z42" s="1445"/>
      <c r="AA42" s="1445"/>
      <c r="AB42" s="1445"/>
      <c r="AC42" s="1445"/>
      <c r="AD42" s="1440" t="s">
        <v>122</v>
      </c>
      <c r="AE42" s="1440"/>
      <c r="AF42" s="1440"/>
      <c r="AG42" s="1440"/>
      <c r="AH42" s="1440"/>
      <c r="AI42" s="1440"/>
      <c r="AJ42" s="384"/>
      <c r="AK42" s="265"/>
      <c r="AT42"/>
      <c r="AU42"/>
      <c r="AV42"/>
      <c r="AW42"/>
      <c r="AX42"/>
      <c r="AY42"/>
      <c r="AZ42"/>
      <c r="BA42"/>
      <c r="BB42"/>
      <c r="BC42"/>
      <c r="BD42"/>
      <c r="BE42"/>
      <c r="BF42"/>
      <c r="BG42"/>
      <c r="BH42"/>
      <c r="BI42"/>
      <c r="BJ42"/>
      <c r="BK42"/>
      <c r="BL42"/>
      <c r="BM42"/>
      <c r="BN42"/>
      <c r="BO42"/>
      <c r="BP42"/>
      <c r="BQ42"/>
      <c r="BR42"/>
      <c r="BS42"/>
      <c r="BT42"/>
      <c r="BU42"/>
      <c r="CA42" s="88"/>
      <c r="CB42" s="88"/>
    </row>
    <row r="43" spans="9:80" ht="15.95" customHeight="1" x14ac:dyDescent="0.25">
      <c r="I43" s="264"/>
      <c r="J43" s="383"/>
      <c r="K43" s="1446" t="s">
        <v>1876</v>
      </c>
      <c r="L43" s="1446"/>
      <c r="M43" s="1446"/>
      <c r="N43" s="1446"/>
      <c r="O43" s="1446"/>
      <c r="P43" s="1449">
        <f>KWHTOTALWBP</f>
        <v>0</v>
      </c>
      <c r="Q43" s="1449"/>
      <c r="R43" s="1449"/>
      <c r="S43" s="1449"/>
      <c r="T43" s="1449"/>
      <c r="U43" s="1449"/>
      <c r="V43" s="1449"/>
      <c r="W43" s="1439">
        <f>M03S01F04</f>
        <v>0</v>
      </c>
      <c r="X43" s="1439"/>
      <c r="Y43" s="1439"/>
      <c r="Z43" s="1439"/>
      <c r="AA43" s="1439"/>
      <c r="AB43" s="1439"/>
      <c r="AC43" s="1439"/>
      <c r="AD43" s="1439" t="str">
        <f>M03S01F17</f>
        <v/>
      </c>
      <c r="AE43" s="1439"/>
      <c r="AF43" s="1439"/>
      <c r="AG43" s="1439"/>
      <c r="AH43" s="1439"/>
      <c r="AI43" s="1439"/>
      <c r="AJ43" s="385"/>
      <c r="AK43" s="265"/>
      <c r="AT43"/>
      <c r="AU43"/>
      <c r="AV43"/>
      <c r="AW43"/>
      <c r="AX43"/>
      <c r="AY43"/>
      <c r="AZ43"/>
      <c r="BA43"/>
      <c r="BB43"/>
      <c r="BC43"/>
      <c r="BD43"/>
      <c r="BE43"/>
      <c r="BF43"/>
      <c r="BG43"/>
      <c r="BH43"/>
      <c r="BI43"/>
      <c r="BJ43"/>
      <c r="BK43"/>
      <c r="BL43"/>
      <c r="BM43"/>
      <c r="BN43"/>
      <c r="BO43"/>
      <c r="BP43"/>
      <c r="BQ43"/>
      <c r="BR43"/>
      <c r="BS43"/>
      <c r="BT43"/>
      <c r="BU43"/>
      <c r="CA43" s="81"/>
      <c r="CB43" s="81"/>
    </row>
    <row r="44" spans="9:80" ht="15.95" customHeight="1" x14ac:dyDescent="0.25">
      <c r="I44" s="264"/>
      <c r="J44" s="383"/>
      <c r="K44" s="1446" t="s">
        <v>1454</v>
      </c>
      <c r="L44" s="1446"/>
      <c r="M44" s="1446"/>
      <c r="N44" s="1446"/>
      <c r="O44" s="1446"/>
      <c r="P44" s="1449">
        <f>'M03-S02'!$Z$12</f>
        <v>0</v>
      </c>
      <c r="Q44" s="1449"/>
      <c r="R44" s="1449"/>
      <c r="S44" s="1449"/>
      <c r="T44" s="1449"/>
      <c r="U44" s="1449"/>
      <c r="V44" s="1449"/>
      <c r="W44" s="1439">
        <f>'M03-S02'!$V$12</f>
        <v>0</v>
      </c>
      <c r="X44" s="1439"/>
      <c r="Y44" s="1439"/>
      <c r="Z44" s="1439"/>
      <c r="AA44" s="1439"/>
      <c r="AB44" s="1439"/>
      <c r="AC44" s="1439"/>
      <c r="AD44" s="1439">
        <f>'M03-S02'!$R$12</f>
        <v>0</v>
      </c>
      <c r="AE44" s="1439"/>
      <c r="AF44" s="1439"/>
      <c r="AG44" s="1439"/>
      <c r="AH44" s="1439"/>
      <c r="AI44" s="1439"/>
      <c r="AJ44" s="385"/>
      <c r="AK44" s="265"/>
      <c r="AT44"/>
      <c r="AU44"/>
      <c r="AV44"/>
      <c r="AW44"/>
      <c r="AX44"/>
      <c r="AY44"/>
      <c r="AZ44"/>
      <c r="BA44"/>
      <c r="BB44"/>
      <c r="BC44"/>
      <c r="BD44"/>
      <c r="BE44"/>
      <c r="BF44"/>
      <c r="BG44"/>
      <c r="BH44"/>
      <c r="BI44"/>
      <c r="BJ44"/>
      <c r="BK44"/>
      <c r="BL44"/>
      <c r="BM44"/>
      <c r="BN44"/>
      <c r="BO44"/>
      <c r="BP44"/>
      <c r="BQ44"/>
      <c r="BR44"/>
      <c r="BS44"/>
      <c r="BT44"/>
      <c r="BU44"/>
      <c r="CA44" s="402"/>
      <c r="CB44" s="27"/>
    </row>
    <row r="45" spans="9:80" customFormat="1" ht="15.95" hidden="1" customHeight="1" x14ac:dyDescent="0.25"/>
    <row r="46" spans="9:80" ht="15.95" customHeight="1" x14ac:dyDescent="0.25">
      <c r="I46" s="264"/>
      <c r="J46" s="383"/>
      <c r="K46" s="1446" t="s">
        <v>1877</v>
      </c>
      <c r="L46" s="1446"/>
      <c r="M46" s="1446"/>
      <c r="N46" s="1446"/>
      <c r="O46" s="1446"/>
      <c r="P46" s="1449">
        <f>SUM(EXPORT!M64:M179)</f>
        <v>0</v>
      </c>
      <c r="Q46" s="1449"/>
      <c r="R46" s="1449"/>
      <c r="S46" s="1449"/>
      <c r="T46" s="1449"/>
      <c r="U46" s="1449"/>
      <c r="V46" s="1449"/>
      <c r="W46" s="1439">
        <f>COSTTOTALALLCUSE</f>
        <v>0</v>
      </c>
      <c r="X46" s="1439"/>
      <c r="Y46" s="1439"/>
      <c r="Z46" s="1439"/>
      <c r="AA46" s="1439"/>
      <c r="AB46" s="1439"/>
      <c r="AC46" s="1439"/>
      <c r="AD46" s="1439">
        <f>INCENTOTALCUSE</f>
        <v>0</v>
      </c>
      <c r="AE46" s="1439"/>
      <c r="AF46" s="1439"/>
      <c r="AG46" s="1439"/>
      <c r="AH46" s="1439"/>
      <c r="AI46" s="1439"/>
      <c r="AJ46" s="384"/>
      <c r="AK46" s="265"/>
      <c r="AT46"/>
      <c r="AU46"/>
      <c r="AV46"/>
      <c r="AW46"/>
      <c r="AX46"/>
      <c r="AY46"/>
      <c r="AZ46"/>
      <c r="BA46"/>
      <c r="BB46"/>
      <c r="BC46"/>
      <c r="BD46"/>
      <c r="BE46"/>
      <c r="BF46"/>
      <c r="BG46"/>
      <c r="BH46"/>
      <c r="BI46"/>
      <c r="BJ46"/>
      <c r="BK46"/>
      <c r="BL46"/>
      <c r="BM46"/>
      <c r="BN46"/>
      <c r="BO46"/>
      <c r="BP46"/>
      <c r="BQ46"/>
      <c r="BR46"/>
      <c r="BS46"/>
      <c r="BT46"/>
      <c r="BU46"/>
      <c r="CA46" s="90"/>
      <c r="CB46" s="90"/>
    </row>
    <row r="47" spans="9:80" ht="15.95" customHeight="1" x14ac:dyDescent="0.25">
      <c r="I47" s="264"/>
      <c r="J47" s="383"/>
      <c r="K47" s="1445" t="s">
        <v>134</v>
      </c>
      <c r="L47" s="1445"/>
      <c r="M47" s="1445"/>
      <c r="N47" s="1445"/>
      <c r="O47" s="1445"/>
      <c r="P47" s="1450">
        <f>SUM(P43:V46)</f>
        <v>0</v>
      </c>
      <c r="Q47" s="1450"/>
      <c r="R47" s="1450"/>
      <c r="S47" s="1450"/>
      <c r="T47" s="1450"/>
      <c r="U47" s="1450"/>
      <c r="V47" s="1450"/>
      <c r="W47" s="1441">
        <f>SUM(W43:AC46)</f>
        <v>0</v>
      </c>
      <c r="X47" s="1441"/>
      <c r="Y47" s="1441"/>
      <c r="Z47" s="1441"/>
      <c r="AA47" s="1441"/>
      <c r="AB47" s="1441"/>
      <c r="AC47" s="1441"/>
      <c r="AD47" s="1441">
        <f>SUM(AD43:AI46)</f>
        <v>0</v>
      </c>
      <c r="AE47" s="1441"/>
      <c r="AF47" s="1441"/>
      <c r="AG47" s="1441"/>
      <c r="AH47" s="1441"/>
      <c r="AI47" s="1441"/>
      <c r="AJ47" s="386"/>
      <c r="AK47" s="265"/>
      <c r="AT47"/>
      <c r="AU47"/>
      <c r="AV47"/>
      <c r="AW47"/>
      <c r="AX47"/>
      <c r="AY47"/>
      <c r="AZ47"/>
      <c r="BA47"/>
      <c r="BB47"/>
      <c r="BC47"/>
      <c r="BD47"/>
      <c r="BE47"/>
      <c r="BF47"/>
      <c r="BG47"/>
      <c r="BH47"/>
      <c r="BI47"/>
      <c r="BJ47"/>
      <c r="BK47"/>
      <c r="BL47"/>
      <c r="BM47"/>
      <c r="BN47"/>
      <c r="BO47"/>
      <c r="BP47"/>
      <c r="BQ47"/>
      <c r="BR47"/>
      <c r="BS47"/>
      <c r="BT47"/>
      <c r="BU47"/>
      <c r="CA47" s="27"/>
      <c r="CB47" s="27"/>
    </row>
    <row r="48" spans="9:80" ht="15.95" customHeight="1" x14ac:dyDescent="0.25">
      <c r="I48" s="264"/>
      <c r="J48" s="383"/>
      <c r="K48" s="386"/>
      <c r="L48" s="386"/>
      <c r="M48" s="386"/>
      <c r="N48" s="386"/>
      <c r="O48" s="386"/>
      <c r="P48" s="386"/>
      <c r="Q48" s="386"/>
      <c r="R48" s="386"/>
      <c r="S48" s="386"/>
      <c r="T48" s="386"/>
      <c r="U48" s="386"/>
      <c r="V48" s="386"/>
      <c r="W48" s="386"/>
      <c r="X48" s="386"/>
      <c r="Y48" s="386"/>
      <c r="Z48" s="386"/>
      <c r="AA48" s="386"/>
      <c r="AB48" s="386"/>
      <c r="AC48" s="386"/>
      <c r="AD48" s="386"/>
      <c r="AE48" s="386"/>
      <c r="AF48" s="386"/>
      <c r="AG48" s="386"/>
      <c r="AH48" s="386"/>
      <c r="AI48" s="386"/>
      <c r="AJ48" s="386"/>
      <c r="AK48" s="265"/>
      <c r="AT48"/>
      <c r="AU48"/>
      <c r="AV48"/>
      <c r="AW48"/>
      <c r="AX48"/>
      <c r="AY48"/>
      <c r="AZ48"/>
      <c r="BA48"/>
      <c r="BB48"/>
      <c r="BC48"/>
      <c r="BD48"/>
      <c r="BE48"/>
      <c r="BF48"/>
      <c r="BG48"/>
      <c r="BH48"/>
      <c r="BI48"/>
      <c r="BJ48"/>
      <c r="BK48"/>
      <c r="BL48"/>
      <c r="BM48"/>
      <c r="BN48"/>
      <c r="BO48"/>
      <c r="BP48"/>
      <c r="BQ48"/>
      <c r="BR48"/>
      <c r="BS48"/>
      <c r="BT48"/>
      <c r="BU48"/>
      <c r="CA48" s="27"/>
      <c r="CB48" s="27"/>
    </row>
    <row r="49" spans="9:80" ht="15.95" customHeight="1" x14ac:dyDescent="0.25">
      <c r="I49" s="264"/>
      <c r="K49" s="1473" t="s">
        <v>1436</v>
      </c>
      <c r="L49" s="1473"/>
      <c r="M49" s="1473"/>
      <c r="N49" s="1473"/>
      <c r="O49" s="1473"/>
      <c r="P49" s="1473"/>
      <c r="Q49" s="1473"/>
      <c r="R49" s="1473"/>
      <c r="S49" s="1473"/>
      <c r="T49" s="1473"/>
      <c r="U49" s="1473"/>
      <c r="V49" s="403"/>
      <c r="W49" s="145"/>
      <c r="Y49" s="1473" t="s">
        <v>1431</v>
      </c>
      <c r="Z49" s="1473"/>
      <c r="AA49" s="1473"/>
      <c r="AB49" s="1473"/>
      <c r="AC49" s="1473"/>
      <c r="AD49" s="1473"/>
      <c r="AE49" s="1473"/>
      <c r="AF49" s="1473"/>
      <c r="AG49" s="1473"/>
      <c r="AH49" s="1473"/>
      <c r="AI49" s="1473"/>
      <c r="AJ49" s="389"/>
      <c r="AK49" s="265"/>
      <c r="AT49"/>
      <c r="AU49"/>
      <c r="AV49"/>
      <c r="AW49"/>
      <c r="AX49"/>
      <c r="AY49"/>
      <c r="AZ49"/>
      <c r="BA49"/>
      <c r="BB49"/>
      <c r="BC49"/>
      <c r="BD49"/>
      <c r="BE49"/>
      <c r="BF49"/>
      <c r="BG49"/>
      <c r="BH49"/>
      <c r="BI49"/>
      <c r="BJ49"/>
      <c r="BK49"/>
      <c r="BL49"/>
      <c r="BM49"/>
      <c r="BN49"/>
      <c r="BO49"/>
      <c r="BP49"/>
      <c r="BQ49"/>
      <c r="BR49"/>
      <c r="BS49"/>
      <c r="BT49"/>
      <c r="BU49"/>
      <c r="CA49" s="27"/>
      <c r="CB49" s="27"/>
    </row>
    <row r="50" spans="9:80" ht="15.95" customHeight="1" x14ac:dyDescent="0.25">
      <c r="I50" s="264"/>
      <c r="J50" s="403"/>
      <c r="K50" s="1473"/>
      <c r="L50" s="1473"/>
      <c r="M50" s="1473"/>
      <c r="N50" s="1473"/>
      <c r="O50" s="1473"/>
      <c r="P50" s="1473"/>
      <c r="Q50" s="1473"/>
      <c r="R50" s="1473"/>
      <c r="S50" s="1473"/>
      <c r="T50" s="1473"/>
      <c r="U50" s="1473"/>
      <c r="V50" s="403"/>
      <c r="W50" s="145"/>
      <c r="X50" s="403"/>
      <c r="Y50" s="1473"/>
      <c r="Z50" s="1473"/>
      <c r="AA50" s="1473"/>
      <c r="AB50" s="1473"/>
      <c r="AC50" s="1473"/>
      <c r="AD50" s="1473"/>
      <c r="AE50" s="1473"/>
      <c r="AF50" s="1473"/>
      <c r="AG50" s="1473"/>
      <c r="AH50" s="1473"/>
      <c r="AI50" s="1473"/>
      <c r="AJ50" s="403"/>
      <c r="AK50" s="265"/>
      <c r="AT50"/>
      <c r="AU50"/>
      <c r="AV50"/>
      <c r="AW50"/>
      <c r="AX50"/>
      <c r="AY50"/>
      <c r="AZ50"/>
      <c r="BA50"/>
      <c r="BB50"/>
      <c r="BC50"/>
      <c r="BD50"/>
      <c r="BE50"/>
      <c r="BF50"/>
      <c r="BG50"/>
      <c r="BH50"/>
      <c r="BI50"/>
      <c r="BJ50"/>
      <c r="BK50"/>
      <c r="BL50"/>
      <c r="BM50"/>
      <c r="BN50"/>
      <c r="BO50"/>
      <c r="BP50"/>
      <c r="BQ50"/>
      <c r="BR50"/>
      <c r="BS50"/>
      <c r="BT50"/>
      <c r="BU50"/>
      <c r="CA50" s="404"/>
      <c r="CB50" s="404"/>
    </row>
    <row r="51" spans="9:80" ht="15.95" customHeight="1" x14ac:dyDescent="0.25">
      <c r="I51" s="264"/>
      <c r="J51" s="1477" t="s">
        <v>1885</v>
      </c>
      <c r="K51" s="1477"/>
      <c r="L51" s="1477"/>
      <c r="M51" s="1477"/>
      <c r="N51" s="1477"/>
      <c r="O51" s="1477"/>
      <c r="P51" s="1477"/>
      <c r="Q51" s="1477"/>
      <c r="R51" s="1477"/>
      <c r="S51" s="1477"/>
      <c r="T51" s="1477"/>
      <c r="U51" s="1477"/>
      <c r="V51" s="1477"/>
      <c r="Y51" s="1479" t="s">
        <v>1432</v>
      </c>
      <c r="Z51" s="1479"/>
      <c r="AA51" s="1479"/>
      <c r="AB51" s="1479"/>
      <c r="AC51" s="1479"/>
      <c r="AD51" s="1479"/>
      <c r="AE51" s="1479"/>
      <c r="AF51" s="1479"/>
      <c r="AG51" s="1479"/>
      <c r="AH51" s="1479"/>
      <c r="AI51" s="1479"/>
      <c r="AJ51" s="403"/>
      <c r="AK51" s="265"/>
      <c r="AM51" s="405"/>
      <c r="AT51"/>
      <c r="AU51"/>
      <c r="AV51"/>
      <c r="AW51"/>
      <c r="AX51"/>
      <c r="AY51"/>
      <c r="AZ51"/>
      <c r="BA51"/>
      <c r="BB51"/>
      <c r="BC51"/>
      <c r="BD51"/>
      <c r="BE51"/>
      <c r="BF51"/>
      <c r="BG51"/>
      <c r="BH51"/>
      <c r="BI51"/>
      <c r="BJ51"/>
      <c r="BK51"/>
      <c r="BL51"/>
      <c r="BM51"/>
      <c r="BN51"/>
      <c r="BO51"/>
      <c r="BP51"/>
      <c r="BQ51"/>
      <c r="BR51"/>
      <c r="BS51"/>
      <c r="BT51"/>
      <c r="BU51"/>
      <c r="CA51" s="404"/>
      <c r="CB51" s="404"/>
    </row>
    <row r="52" spans="9:80" ht="15.95" customHeight="1" x14ac:dyDescent="0.25">
      <c r="I52" s="264"/>
      <c r="J52" s="1477"/>
      <c r="K52" s="1477"/>
      <c r="L52" s="1477"/>
      <c r="M52" s="1477"/>
      <c r="N52" s="1477"/>
      <c r="O52" s="1477"/>
      <c r="P52" s="1477"/>
      <c r="Q52" s="1477"/>
      <c r="R52" s="1477"/>
      <c r="S52" s="1477"/>
      <c r="T52" s="1477"/>
      <c r="U52" s="1477"/>
      <c r="V52" s="1477"/>
      <c r="Y52" s="1480"/>
      <c r="Z52" s="1480"/>
      <c r="AA52" s="1480"/>
      <c r="AB52" s="1480"/>
      <c r="AC52" s="1480"/>
      <c r="AD52" s="1480"/>
      <c r="AE52" s="1480"/>
      <c r="AF52" s="1480"/>
      <c r="AG52" s="1480"/>
      <c r="AH52" s="1480"/>
      <c r="AI52" s="1480"/>
      <c r="AK52" s="265"/>
      <c r="AM52" s="405"/>
      <c r="AT52"/>
      <c r="AU52"/>
      <c r="AV52"/>
      <c r="AW52"/>
      <c r="AX52"/>
      <c r="AY52"/>
      <c r="AZ52"/>
      <c r="BA52"/>
      <c r="BB52"/>
      <c r="BC52"/>
      <c r="BD52"/>
      <c r="BE52"/>
      <c r="BF52"/>
      <c r="BG52"/>
      <c r="BH52"/>
      <c r="BI52"/>
      <c r="BJ52"/>
      <c r="BK52"/>
      <c r="BL52"/>
      <c r="BM52"/>
      <c r="BN52"/>
      <c r="BO52"/>
      <c r="BP52"/>
      <c r="BQ52"/>
      <c r="BR52"/>
      <c r="BS52"/>
      <c r="BT52"/>
      <c r="BU52"/>
      <c r="CA52" s="406"/>
      <c r="CB52" s="406"/>
    </row>
    <row r="53" spans="9:80" ht="15.95" customHeight="1" x14ac:dyDescent="0.25">
      <c r="I53" s="264"/>
      <c r="J53" s="1477"/>
      <c r="K53" s="1477"/>
      <c r="L53" s="1477"/>
      <c r="M53" s="1477"/>
      <c r="N53" s="1477"/>
      <c r="O53" s="1477"/>
      <c r="P53" s="1477"/>
      <c r="Q53" s="1477"/>
      <c r="R53" s="1477"/>
      <c r="S53" s="1477"/>
      <c r="T53" s="1477"/>
      <c r="U53" s="1477"/>
      <c r="V53" s="1477"/>
      <c r="Y53" s="1474" t="s">
        <v>1433</v>
      </c>
      <c r="Z53" s="1474"/>
      <c r="AA53" s="1474"/>
      <c r="AB53" s="1474"/>
      <c r="AC53" s="1474"/>
      <c r="AD53" s="1474"/>
      <c r="AE53" s="1474"/>
      <c r="AF53" s="1474"/>
      <c r="AG53" s="1474"/>
      <c r="AH53" s="1474"/>
      <c r="AI53" s="1474"/>
      <c r="AK53" s="265"/>
      <c r="AT53"/>
      <c r="AU53"/>
      <c r="AV53"/>
      <c r="AW53"/>
      <c r="AX53"/>
      <c r="AY53"/>
      <c r="AZ53"/>
      <c r="BA53"/>
      <c r="BB53"/>
      <c r="BC53"/>
      <c r="BD53"/>
      <c r="BE53"/>
      <c r="BF53"/>
      <c r="BG53"/>
      <c r="BH53"/>
      <c r="BI53"/>
      <c r="BJ53"/>
      <c r="BK53"/>
      <c r="BL53"/>
      <c r="BM53"/>
      <c r="BN53"/>
      <c r="BO53"/>
      <c r="BP53"/>
      <c r="BQ53"/>
      <c r="BR53"/>
      <c r="BS53"/>
      <c r="BT53"/>
      <c r="BU53"/>
      <c r="CA53" s="406"/>
      <c r="CB53" s="406"/>
    </row>
    <row r="54" spans="9:80" ht="15.95" customHeight="1" x14ac:dyDescent="0.25">
      <c r="I54" s="264"/>
      <c r="J54" s="1477"/>
      <c r="K54" s="1477"/>
      <c r="L54" s="1477"/>
      <c r="M54" s="1477"/>
      <c r="N54" s="1477"/>
      <c r="O54" s="1477"/>
      <c r="P54" s="1477"/>
      <c r="Q54" s="1477"/>
      <c r="R54" s="1477"/>
      <c r="S54" s="1477"/>
      <c r="T54" s="1477"/>
      <c r="U54" s="1477"/>
      <c r="V54" s="1477"/>
      <c r="Y54" s="1475"/>
      <c r="Z54" s="1475"/>
      <c r="AA54" s="1475"/>
      <c r="AB54" s="1475"/>
      <c r="AC54" s="1475"/>
      <c r="AD54" s="1475"/>
      <c r="AE54" s="1475"/>
      <c r="AF54" s="1475"/>
      <c r="AG54" s="1475"/>
      <c r="AH54" s="1475"/>
      <c r="AI54" s="1475"/>
      <c r="AK54" s="265"/>
      <c r="AT54"/>
      <c r="AU54"/>
      <c r="AV54"/>
      <c r="AW54"/>
      <c r="AX54"/>
      <c r="AY54"/>
      <c r="AZ54"/>
      <c r="BA54"/>
      <c r="BB54"/>
      <c r="BC54"/>
      <c r="BD54"/>
      <c r="BE54"/>
      <c r="BF54"/>
      <c r="BG54"/>
      <c r="BH54"/>
      <c r="BI54"/>
      <c r="BJ54"/>
      <c r="BK54"/>
      <c r="BL54"/>
      <c r="BM54"/>
      <c r="BN54"/>
      <c r="BO54"/>
      <c r="BP54"/>
      <c r="BQ54"/>
      <c r="BR54"/>
      <c r="BS54"/>
      <c r="BT54"/>
      <c r="BU54"/>
      <c r="CA54" s="406"/>
      <c r="CB54" s="406"/>
    </row>
    <row r="55" spans="9:80" ht="15.95" customHeight="1" x14ac:dyDescent="0.25">
      <c r="I55" s="264"/>
      <c r="J55" s="1477"/>
      <c r="K55" s="1477"/>
      <c r="L55" s="1477"/>
      <c r="M55" s="1477"/>
      <c r="N55" s="1477"/>
      <c r="O55" s="1477"/>
      <c r="P55" s="1477"/>
      <c r="Q55" s="1477"/>
      <c r="R55" s="1477"/>
      <c r="S55" s="1477"/>
      <c r="T55" s="1477"/>
      <c r="U55" s="1477"/>
      <c r="V55" s="1477"/>
      <c r="AK55" s="265"/>
      <c r="AT55"/>
      <c r="AU55"/>
      <c r="AV55"/>
      <c r="AW55"/>
      <c r="AX55"/>
      <c r="AY55"/>
      <c r="AZ55"/>
      <c r="BA55"/>
      <c r="BB55"/>
      <c r="BC55"/>
      <c r="BD55"/>
      <c r="BE55"/>
      <c r="BF55"/>
      <c r="BG55"/>
      <c r="BH55"/>
      <c r="BI55"/>
      <c r="BJ55"/>
      <c r="BK55"/>
      <c r="BL55"/>
      <c r="BM55"/>
      <c r="BN55"/>
      <c r="BO55"/>
      <c r="BP55"/>
      <c r="BQ55"/>
      <c r="BR55"/>
      <c r="BS55"/>
      <c r="BT55"/>
      <c r="BU55"/>
      <c r="CA55" s="406"/>
      <c r="CB55" s="406"/>
    </row>
    <row r="56" spans="9:80" ht="15.95" customHeight="1" x14ac:dyDescent="0.25">
      <c r="I56" s="264"/>
      <c r="J56" s="1477"/>
      <c r="K56" s="1477"/>
      <c r="L56" s="1477"/>
      <c r="M56" s="1477"/>
      <c r="N56" s="1477"/>
      <c r="O56" s="1477"/>
      <c r="P56" s="1477"/>
      <c r="Q56" s="1477"/>
      <c r="R56" s="1477"/>
      <c r="S56" s="1477"/>
      <c r="T56" s="1477"/>
      <c r="U56" s="1477"/>
      <c r="V56" s="1477"/>
      <c r="X56" s="1483" t="s">
        <v>1434</v>
      </c>
      <c r="Y56" s="1483"/>
      <c r="Z56" s="1483"/>
      <c r="AA56" s="1483"/>
      <c r="AB56" s="1483"/>
      <c r="AC56" s="1483"/>
      <c r="AD56" s="1483"/>
      <c r="AE56" s="1483"/>
      <c r="AF56" s="1483"/>
      <c r="AG56" s="1483"/>
      <c r="AH56" s="1483"/>
      <c r="AI56" s="1483"/>
      <c r="AJ56" s="1483"/>
      <c r="AK56" s="265"/>
      <c r="AT56"/>
      <c r="AU56"/>
      <c r="AV56"/>
      <c r="AW56"/>
      <c r="AX56"/>
      <c r="AY56"/>
      <c r="AZ56"/>
      <c r="BA56"/>
      <c r="BB56"/>
      <c r="BC56"/>
      <c r="BD56"/>
      <c r="BE56"/>
      <c r="BF56"/>
      <c r="BG56"/>
      <c r="BH56"/>
      <c r="BI56"/>
      <c r="BJ56"/>
      <c r="BK56"/>
      <c r="BL56"/>
      <c r="BM56"/>
      <c r="BN56"/>
      <c r="BO56"/>
      <c r="BP56"/>
      <c r="BQ56"/>
      <c r="BR56"/>
      <c r="BS56"/>
      <c r="BT56"/>
      <c r="BU56"/>
      <c r="CA56" s="407"/>
      <c r="CB56" s="407"/>
    </row>
    <row r="57" spans="9:80" ht="15.95" customHeight="1" x14ac:dyDescent="0.25">
      <c r="I57" s="264"/>
      <c r="K57" s="1473" t="s">
        <v>1438</v>
      </c>
      <c r="L57" s="1473"/>
      <c r="M57" s="1473"/>
      <c r="N57" s="1473"/>
      <c r="O57" s="1473"/>
      <c r="P57" s="1473"/>
      <c r="Q57" s="1473"/>
      <c r="R57" s="1473"/>
      <c r="S57" s="1473"/>
      <c r="T57" s="1473"/>
      <c r="U57" s="1473"/>
      <c r="V57" s="403"/>
      <c r="X57" s="1483"/>
      <c r="Y57" s="1483"/>
      <c r="Z57" s="1483"/>
      <c r="AA57" s="1483"/>
      <c r="AB57" s="1483"/>
      <c r="AC57" s="1483"/>
      <c r="AD57" s="1483"/>
      <c r="AE57" s="1483"/>
      <c r="AF57" s="1483"/>
      <c r="AG57" s="1483"/>
      <c r="AH57" s="1483"/>
      <c r="AI57" s="1483"/>
      <c r="AJ57" s="1483"/>
      <c r="AK57" s="265"/>
      <c r="AT57"/>
      <c r="AU57"/>
      <c r="AV57"/>
      <c r="AW57"/>
      <c r="AX57"/>
      <c r="AY57"/>
      <c r="AZ57"/>
      <c r="BA57"/>
      <c r="BB57"/>
      <c r="BC57"/>
      <c r="BD57"/>
      <c r="BE57"/>
      <c r="BF57"/>
      <c r="BG57"/>
      <c r="BH57"/>
      <c r="BI57"/>
      <c r="BJ57"/>
      <c r="BK57"/>
      <c r="BL57"/>
      <c r="BM57"/>
      <c r="BN57"/>
      <c r="BO57"/>
      <c r="BP57"/>
      <c r="BQ57"/>
      <c r="BR57"/>
      <c r="BS57"/>
      <c r="BT57"/>
      <c r="BU57"/>
      <c r="CA57" s="408"/>
      <c r="CB57" s="408"/>
    </row>
    <row r="58" spans="9:80" ht="15.95" customHeight="1" x14ac:dyDescent="0.25">
      <c r="I58" s="264"/>
      <c r="J58" s="403"/>
      <c r="K58" s="1473"/>
      <c r="L58" s="1473"/>
      <c r="M58" s="1473"/>
      <c r="N58" s="1473"/>
      <c r="O58" s="1473"/>
      <c r="P58" s="1473"/>
      <c r="Q58" s="1473"/>
      <c r="R58" s="1473"/>
      <c r="S58" s="1473"/>
      <c r="T58" s="1473"/>
      <c r="U58" s="1473"/>
      <c r="V58" s="403"/>
      <c r="X58" s="1483"/>
      <c r="Y58" s="1483"/>
      <c r="Z58" s="1483"/>
      <c r="AA58" s="1483"/>
      <c r="AB58" s="1483"/>
      <c r="AC58" s="1483"/>
      <c r="AD58" s="1483"/>
      <c r="AE58" s="1483"/>
      <c r="AF58" s="1483"/>
      <c r="AG58" s="1483"/>
      <c r="AH58" s="1483"/>
      <c r="AI58" s="1483"/>
      <c r="AJ58" s="1483"/>
      <c r="AK58" s="265"/>
      <c r="AT58"/>
      <c r="AU58"/>
      <c r="AV58"/>
      <c r="AW58"/>
      <c r="AX58"/>
      <c r="AY58"/>
      <c r="AZ58"/>
      <c r="BA58"/>
      <c r="BB58"/>
      <c r="BC58"/>
      <c r="BD58"/>
      <c r="BE58"/>
      <c r="BF58"/>
      <c r="BG58"/>
      <c r="BH58"/>
      <c r="BI58"/>
      <c r="BJ58"/>
      <c r="BK58"/>
      <c r="BL58"/>
      <c r="BM58"/>
      <c r="BN58"/>
      <c r="BO58"/>
      <c r="BP58"/>
      <c r="BQ58"/>
      <c r="BR58"/>
      <c r="BS58"/>
      <c r="BT58"/>
      <c r="BU58"/>
      <c r="CA58" s="409"/>
      <c r="CB58" s="409"/>
    </row>
    <row r="59" spans="9:80" ht="15.95" customHeight="1" x14ac:dyDescent="0.25">
      <c r="I59" s="264"/>
      <c r="J59" s="1477" t="s">
        <v>1442</v>
      </c>
      <c r="K59" s="1477"/>
      <c r="L59" s="1477"/>
      <c r="M59" s="1477"/>
      <c r="N59" s="1477"/>
      <c r="O59" s="1477"/>
      <c r="P59" s="1477"/>
      <c r="Q59" s="1477"/>
      <c r="R59" s="1477"/>
      <c r="S59" s="1477"/>
      <c r="T59" s="1477"/>
      <c r="U59" s="1477"/>
      <c r="V59" s="1477"/>
      <c r="AK59" s="265"/>
      <c r="AT59"/>
      <c r="AU59"/>
      <c r="AV59"/>
      <c r="AW59"/>
      <c r="AX59"/>
      <c r="AY59"/>
      <c r="AZ59"/>
      <c r="BA59"/>
      <c r="BB59"/>
      <c r="BC59"/>
      <c r="BD59"/>
      <c r="BE59"/>
      <c r="BF59"/>
      <c r="BG59"/>
      <c r="BH59"/>
      <c r="BI59"/>
      <c r="BJ59"/>
      <c r="BK59"/>
      <c r="BL59"/>
      <c r="BM59"/>
      <c r="BN59"/>
      <c r="BO59"/>
      <c r="BP59"/>
      <c r="BQ59"/>
      <c r="BR59"/>
      <c r="BS59"/>
      <c r="BT59"/>
      <c r="BU59"/>
      <c r="CA59" s="409"/>
      <c r="CB59" s="409"/>
    </row>
    <row r="60" spans="9:80" ht="15.95" customHeight="1" x14ac:dyDescent="0.25">
      <c r="I60" s="264"/>
      <c r="J60" s="1477"/>
      <c r="K60" s="1477"/>
      <c r="L60" s="1477"/>
      <c r="M60" s="1477"/>
      <c r="N60" s="1477"/>
      <c r="O60" s="1477"/>
      <c r="P60" s="1477"/>
      <c r="Q60" s="1477"/>
      <c r="R60" s="1477"/>
      <c r="S60" s="1477"/>
      <c r="T60" s="1477"/>
      <c r="U60" s="1477"/>
      <c r="V60" s="1477"/>
      <c r="X60" s="405"/>
      <c r="Y60" s="1478" t="s">
        <v>1886</v>
      </c>
      <c r="Z60" s="1478"/>
      <c r="AA60" s="1478"/>
      <c r="AB60" s="1478"/>
      <c r="AC60" s="1478"/>
      <c r="AD60" s="1478"/>
      <c r="AE60" s="1478"/>
      <c r="AF60" s="1478"/>
      <c r="AG60" s="1478"/>
      <c r="AH60" s="1478"/>
      <c r="AI60" s="1478"/>
      <c r="AJ60" s="405"/>
      <c r="AK60" s="265"/>
      <c r="AT60"/>
      <c r="AU60"/>
      <c r="AV60"/>
      <c r="AW60"/>
      <c r="AX60"/>
      <c r="AY60"/>
      <c r="AZ60"/>
      <c r="BA60"/>
      <c r="BB60"/>
      <c r="BC60"/>
      <c r="BD60"/>
      <c r="BE60"/>
      <c r="BF60"/>
      <c r="BG60"/>
      <c r="BH60"/>
      <c r="BI60"/>
      <c r="BJ60"/>
      <c r="BK60"/>
      <c r="BL60"/>
      <c r="BM60"/>
      <c r="BN60"/>
      <c r="BO60"/>
      <c r="BP60"/>
      <c r="BQ60"/>
      <c r="BR60"/>
      <c r="BS60"/>
      <c r="BT60"/>
      <c r="BU60"/>
      <c r="CA60" s="409"/>
      <c r="CB60" s="409"/>
    </row>
    <row r="61" spans="9:80" ht="15.95" customHeight="1" x14ac:dyDescent="0.25">
      <c r="I61" s="264"/>
      <c r="J61" s="405"/>
      <c r="K61" s="1481" t="s">
        <v>1439</v>
      </c>
      <c r="L61" s="1481"/>
      <c r="M61" s="1481"/>
      <c r="N61" s="1482">
        <f>M02S04F01</f>
        <v>0</v>
      </c>
      <c r="O61" s="1482"/>
      <c r="P61" s="1482"/>
      <c r="Q61" s="1482"/>
      <c r="R61" s="1482"/>
      <c r="S61" s="1482"/>
      <c r="T61" s="1482"/>
      <c r="U61" s="1482"/>
      <c r="V61" s="405"/>
      <c r="Y61" s="1478"/>
      <c r="Z61" s="1478"/>
      <c r="AA61" s="1478"/>
      <c r="AB61" s="1478"/>
      <c r="AC61" s="1478"/>
      <c r="AD61" s="1478"/>
      <c r="AE61" s="1478"/>
      <c r="AF61" s="1478"/>
      <c r="AG61" s="1478"/>
      <c r="AH61" s="1478"/>
      <c r="AI61" s="1478"/>
      <c r="AJ61" s="403"/>
      <c r="AK61" s="265"/>
      <c r="AT61"/>
      <c r="AU61"/>
      <c r="AV61"/>
      <c r="AW61"/>
      <c r="AX61"/>
      <c r="AY61"/>
      <c r="AZ61"/>
      <c r="BA61"/>
      <c r="BB61"/>
      <c r="BC61"/>
      <c r="BD61"/>
      <c r="BE61"/>
      <c r="BF61"/>
      <c r="BG61"/>
      <c r="BH61"/>
      <c r="BI61"/>
      <c r="BJ61"/>
      <c r="BK61"/>
      <c r="BL61"/>
      <c r="BM61"/>
      <c r="BN61"/>
      <c r="BO61"/>
      <c r="BP61"/>
      <c r="BQ61"/>
      <c r="BR61"/>
      <c r="BS61"/>
      <c r="BT61"/>
      <c r="BU61"/>
      <c r="CA61" s="410"/>
      <c r="CB61" s="410"/>
    </row>
    <row r="62" spans="9:80" ht="15.95" customHeight="1" x14ac:dyDescent="0.25">
      <c r="I62" s="264"/>
      <c r="J62" s="405"/>
      <c r="K62" s="1481" t="s">
        <v>1440</v>
      </c>
      <c r="L62" s="1481"/>
      <c r="M62" s="1481"/>
      <c r="N62" s="1482" t="str">
        <f>M02S04F02</f>
        <v/>
      </c>
      <c r="O62" s="1482"/>
      <c r="P62" s="1482"/>
      <c r="Q62" s="1482"/>
      <c r="R62" s="1482"/>
      <c r="S62" s="1482"/>
      <c r="T62" s="1482"/>
      <c r="U62" s="1482"/>
      <c r="V62" s="405"/>
      <c r="X62" s="403"/>
      <c r="Y62" s="1478"/>
      <c r="Z62" s="1478"/>
      <c r="AA62" s="1478"/>
      <c r="AB62" s="1478"/>
      <c r="AC62" s="1478"/>
      <c r="AD62" s="1478"/>
      <c r="AE62" s="1478"/>
      <c r="AF62" s="1478"/>
      <c r="AG62" s="1478"/>
      <c r="AH62" s="1478"/>
      <c r="AI62" s="1478"/>
      <c r="AJ62" s="403"/>
      <c r="AK62" s="265"/>
      <c r="AT62"/>
      <c r="AU62"/>
      <c r="AV62"/>
      <c r="AW62"/>
      <c r="AX62"/>
      <c r="AY62"/>
      <c r="AZ62"/>
      <c r="BA62"/>
      <c r="BB62"/>
      <c r="BC62"/>
      <c r="BD62"/>
      <c r="BE62"/>
      <c r="BF62"/>
      <c r="BG62"/>
      <c r="BH62"/>
      <c r="BI62"/>
      <c r="BJ62"/>
      <c r="BK62"/>
      <c r="BL62"/>
      <c r="BM62"/>
      <c r="BN62"/>
      <c r="BO62"/>
      <c r="BP62"/>
      <c r="BQ62"/>
      <c r="BR62"/>
      <c r="BS62"/>
      <c r="BT62"/>
      <c r="BU62"/>
      <c r="CA62" s="408"/>
      <c r="CB62" s="408"/>
    </row>
    <row r="63" spans="9:80" ht="15.95" customHeight="1" x14ac:dyDescent="0.25">
      <c r="I63" s="264"/>
      <c r="J63" s="405"/>
      <c r="K63" s="1481"/>
      <c r="L63" s="1481"/>
      <c r="M63" s="1481"/>
      <c r="N63" s="1482" t="str">
        <f>CONCATENATE(M02S04F03," ",M02S04F04)</f>
        <v xml:space="preserve"> </v>
      </c>
      <c r="O63" s="1482"/>
      <c r="P63" s="1482"/>
      <c r="Q63" s="1482"/>
      <c r="R63" s="1482"/>
      <c r="S63" s="1482"/>
      <c r="T63" s="1482"/>
      <c r="U63" s="1482"/>
      <c r="V63" s="405"/>
      <c r="W63" s="390"/>
      <c r="X63" s="1477" t="s">
        <v>1887</v>
      </c>
      <c r="Y63" s="1477"/>
      <c r="Z63" s="1477"/>
      <c r="AA63" s="1477"/>
      <c r="AB63" s="1477"/>
      <c r="AC63" s="1477"/>
      <c r="AD63" s="1477"/>
      <c r="AE63" s="1477"/>
      <c r="AF63" s="1477"/>
      <c r="AG63" s="1477"/>
      <c r="AH63" s="1477"/>
      <c r="AI63" s="1477"/>
      <c r="AJ63" s="1477"/>
      <c r="AK63" s="265"/>
      <c r="AT63"/>
      <c r="AU63"/>
      <c r="AV63"/>
      <c r="AW63"/>
      <c r="AX63"/>
      <c r="AY63"/>
      <c r="AZ63"/>
      <c r="BA63"/>
      <c r="BB63"/>
      <c r="BC63"/>
      <c r="BD63"/>
      <c r="BE63"/>
      <c r="BF63"/>
      <c r="BG63"/>
      <c r="BH63"/>
      <c r="BI63"/>
      <c r="BJ63"/>
      <c r="BK63"/>
      <c r="BL63"/>
      <c r="BM63"/>
      <c r="BN63"/>
      <c r="BO63"/>
      <c r="BP63"/>
      <c r="BQ63"/>
      <c r="BR63"/>
      <c r="BS63"/>
      <c r="BT63"/>
      <c r="BU63"/>
      <c r="CA63" s="81"/>
      <c r="CB63" s="81"/>
    </row>
    <row r="64" spans="9:80" ht="15.95" customHeight="1" x14ac:dyDescent="0.25">
      <c r="I64" s="264"/>
      <c r="J64" s="405"/>
      <c r="K64" s="1481"/>
      <c r="L64" s="1481"/>
      <c r="M64" s="1481"/>
      <c r="N64" s="1482" t="str">
        <f>M02S04F07</f>
        <v/>
      </c>
      <c r="O64" s="1482"/>
      <c r="P64" s="1482"/>
      <c r="Q64" s="1482"/>
      <c r="R64" s="1482"/>
      <c r="S64" s="1482"/>
      <c r="T64" s="1482"/>
      <c r="U64" s="1482"/>
      <c r="V64" s="405"/>
      <c r="X64" s="1477"/>
      <c r="Y64" s="1477"/>
      <c r="Z64" s="1477"/>
      <c r="AA64" s="1477"/>
      <c r="AB64" s="1477"/>
      <c r="AC64" s="1477"/>
      <c r="AD64" s="1477"/>
      <c r="AE64" s="1477"/>
      <c r="AF64" s="1477"/>
      <c r="AG64" s="1477"/>
      <c r="AH64" s="1477"/>
      <c r="AI64" s="1477"/>
      <c r="AJ64" s="1477"/>
      <c r="AK64" s="265"/>
      <c r="AT64"/>
      <c r="AU64"/>
      <c r="AV64"/>
      <c r="AW64"/>
      <c r="AX64"/>
      <c r="AY64"/>
      <c r="AZ64"/>
      <c r="BA64"/>
      <c r="BB64"/>
      <c r="BC64"/>
      <c r="BD64"/>
      <c r="BE64"/>
      <c r="BF64"/>
      <c r="BG64"/>
      <c r="BH64"/>
      <c r="BI64"/>
      <c r="BJ64"/>
      <c r="BK64"/>
      <c r="BL64"/>
      <c r="BM64"/>
      <c r="BN64"/>
      <c r="BO64"/>
      <c r="BP64"/>
      <c r="BQ64"/>
      <c r="BR64"/>
      <c r="BS64"/>
      <c r="BT64"/>
      <c r="BU64"/>
      <c r="CA64" s="90"/>
      <c r="CB64" s="90"/>
    </row>
    <row r="65" spans="8:80" ht="15.95" customHeight="1" x14ac:dyDescent="0.25">
      <c r="I65" s="264"/>
      <c r="J65" s="145"/>
      <c r="K65" s="1481"/>
      <c r="L65" s="1481"/>
      <c r="M65" s="1481"/>
      <c r="N65" s="1482" t="str">
        <f>CONCATENATE(M02S04F08,", ",M02S04F09," ",M02S04F10)</f>
        <v xml:space="preserve">,  </v>
      </c>
      <c r="O65" s="1482"/>
      <c r="P65" s="1482"/>
      <c r="Q65" s="1482"/>
      <c r="R65" s="1482"/>
      <c r="S65" s="1482"/>
      <c r="T65" s="1482"/>
      <c r="U65" s="1482"/>
      <c r="V65" s="145"/>
      <c r="X65" s="1477"/>
      <c r="Y65" s="1477"/>
      <c r="Z65" s="1477"/>
      <c r="AA65" s="1477"/>
      <c r="AB65" s="1477"/>
      <c r="AC65" s="1477"/>
      <c r="AD65" s="1477"/>
      <c r="AE65" s="1477"/>
      <c r="AF65" s="1477"/>
      <c r="AG65" s="1477"/>
      <c r="AH65" s="1477"/>
      <c r="AI65" s="1477"/>
      <c r="AJ65" s="1477"/>
      <c r="AK65" s="265"/>
      <c r="AT65"/>
      <c r="AU65"/>
      <c r="AV65"/>
      <c r="AW65"/>
      <c r="AX65"/>
      <c r="AY65"/>
      <c r="AZ65"/>
      <c r="BA65"/>
      <c r="BB65"/>
      <c r="BC65"/>
      <c r="BD65"/>
      <c r="BE65"/>
      <c r="BF65"/>
      <c r="BG65"/>
      <c r="BH65"/>
      <c r="BI65"/>
      <c r="BJ65"/>
      <c r="BK65"/>
      <c r="BL65"/>
      <c r="BM65"/>
      <c r="BN65"/>
      <c r="BO65"/>
      <c r="BP65"/>
      <c r="BQ65"/>
      <c r="BR65"/>
      <c r="BS65"/>
      <c r="BT65"/>
      <c r="BU65"/>
      <c r="CA65" s="90"/>
      <c r="CB65" s="90"/>
    </row>
    <row r="66" spans="8:80" ht="15.95" customHeight="1" x14ac:dyDescent="0.25">
      <c r="I66" s="264"/>
      <c r="J66" s="145"/>
      <c r="K66" s="1481" t="s">
        <v>544</v>
      </c>
      <c r="L66" s="1481"/>
      <c r="M66" s="1481"/>
      <c r="N66" s="1482" t="str">
        <f>CONCATENATE(M02S04F12,"-",M02S04F12.1)</f>
        <v>-</v>
      </c>
      <c r="O66" s="1482"/>
      <c r="P66" s="1482"/>
      <c r="Q66" s="1482"/>
      <c r="R66" s="1482"/>
      <c r="S66" s="1482"/>
      <c r="T66" s="1482"/>
      <c r="U66" s="1482"/>
      <c r="V66" s="145"/>
      <c r="X66" s="389"/>
      <c r="Y66" s="99"/>
      <c r="Z66" s="260" t="s">
        <v>1443</v>
      </c>
      <c r="AA66" s="389"/>
      <c r="AB66" s="389"/>
      <c r="AC66" s="389"/>
      <c r="AD66" s="389"/>
      <c r="AE66" s="389"/>
      <c r="AF66" s="389"/>
      <c r="AG66" s="389"/>
      <c r="AH66" s="389"/>
      <c r="AI66" s="389"/>
      <c r="AJ66" s="389"/>
      <c r="AK66" s="265"/>
      <c r="AT66"/>
      <c r="AU66"/>
      <c r="AV66"/>
      <c r="AW66"/>
      <c r="AX66"/>
      <c r="AY66"/>
      <c r="AZ66"/>
      <c r="BA66"/>
      <c r="BB66"/>
      <c r="BC66"/>
      <c r="BD66"/>
      <c r="BE66"/>
      <c r="BF66"/>
      <c r="BG66"/>
      <c r="BH66"/>
      <c r="BI66"/>
      <c r="BJ66"/>
      <c r="BK66"/>
      <c r="BL66"/>
      <c r="BM66"/>
      <c r="BN66"/>
      <c r="BO66"/>
      <c r="BP66"/>
      <c r="BQ66"/>
      <c r="BR66"/>
      <c r="BS66"/>
      <c r="BT66"/>
      <c r="BU66"/>
      <c r="CA66" s="90"/>
      <c r="CB66" s="90"/>
    </row>
    <row r="67" spans="8:80" ht="15.95" customHeight="1" x14ac:dyDescent="0.25">
      <c r="I67" s="264"/>
      <c r="J67" s="145"/>
      <c r="K67" s="1481" t="s">
        <v>1437</v>
      </c>
      <c r="L67" s="1481"/>
      <c r="M67" s="1481"/>
      <c r="N67" s="1482">
        <f>M02S04F11</f>
        <v>0</v>
      </c>
      <c r="O67" s="1482"/>
      <c r="P67" s="1482"/>
      <c r="Q67" s="1482"/>
      <c r="R67" s="1482"/>
      <c r="S67" s="1482"/>
      <c r="T67" s="1482"/>
      <c r="U67" s="1482"/>
      <c r="V67" s="145"/>
      <c r="Y67" s="99"/>
      <c r="Z67" s="260" t="s">
        <v>137</v>
      </c>
      <c r="AA67" s="389"/>
      <c r="AB67" s="389"/>
      <c r="AC67" s="389"/>
      <c r="AD67" s="389"/>
      <c r="AE67" s="389"/>
      <c r="AF67" s="389"/>
      <c r="AG67" s="389"/>
      <c r="AH67" s="389"/>
      <c r="AI67" s="389"/>
      <c r="AJ67" s="389"/>
      <c r="AK67" s="265"/>
      <c r="AT67"/>
      <c r="AU67"/>
      <c r="AV67"/>
      <c r="AW67"/>
      <c r="AX67"/>
      <c r="AY67"/>
      <c r="AZ67"/>
      <c r="BA67"/>
      <c r="BB67"/>
      <c r="BC67"/>
      <c r="BD67"/>
      <c r="BE67"/>
      <c r="BF67"/>
      <c r="BG67"/>
      <c r="BH67"/>
      <c r="BI67"/>
      <c r="BJ67"/>
      <c r="BK67"/>
      <c r="BL67"/>
      <c r="BM67"/>
      <c r="BN67"/>
      <c r="BO67"/>
      <c r="BP67"/>
      <c r="BQ67"/>
      <c r="BR67"/>
      <c r="BS67"/>
      <c r="BT67"/>
      <c r="BU67"/>
      <c r="CA67" s="90"/>
      <c r="CB67" s="90"/>
    </row>
    <row r="68" spans="8:80" ht="15.95" customHeight="1" x14ac:dyDescent="0.25">
      <c r="I68" s="264"/>
      <c r="AK68" s="265"/>
      <c r="AT68"/>
      <c r="AU68"/>
      <c r="AV68"/>
      <c r="AW68"/>
      <c r="AX68"/>
      <c r="AY68"/>
      <c r="AZ68"/>
      <c r="BA68"/>
      <c r="BB68"/>
      <c r="BC68"/>
      <c r="BD68"/>
      <c r="BE68"/>
      <c r="BF68"/>
      <c r="BG68"/>
      <c r="BH68"/>
      <c r="BI68"/>
      <c r="BJ68"/>
      <c r="BK68"/>
      <c r="BL68"/>
      <c r="BM68"/>
      <c r="BN68"/>
      <c r="BO68"/>
      <c r="BP68"/>
      <c r="BQ68"/>
      <c r="BR68"/>
      <c r="BS68"/>
      <c r="BT68"/>
      <c r="BU68"/>
      <c r="CA68" s="90"/>
      <c r="CB68" s="90"/>
    </row>
    <row r="69" spans="8:80" ht="15.95" customHeight="1" x14ac:dyDescent="0.25">
      <c r="I69" s="264"/>
      <c r="J69" s="1476" t="s">
        <v>1441</v>
      </c>
      <c r="K69" s="1476"/>
      <c r="L69" s="1476"/>
      <c r="M69" s="1476"/>
      <c r="N69" s="1476"/>
      <c r="O69" s="1476"/>
      <c r="P69" s="1476"/>
      <c r="Q69" s="1476"/>
      <c r="R69" s="1476"/>
      <c r="S69" s="1476"/>
      <c r="T69" s="1476"/>
      <c r="U69" s="1476"/>
      <c r="V69" s="1476"/>
      <c r="W69" s="1476"/>
      <c r="X69" s="1476"/>
      <c r="Y69" s="1476"/>
      <c r="Z69" s="1476"/>
      <c r="AA69" s="1476"/>
      <c r="AB69" s="1476"/>
      <c r="AC69" s="1476"/>
      <c r="AD69" s="1476"/>
      <c r="AE69" s="1476"/>
      <c r="AF69" s="1476"/>
      <c r="AG69" s="1476"/>
      <c r="AH69" s="1476"/>
      <c r="AI69" s="1476"/>
      <c r="AJ69" s="1476"/>
      <c r="AK69" s="265"/>
      <c r="AT69"/>
      <c r="AU69"/>
      <c r="AV69"/>
      <c r="AW69"/>
      <c r="AX69"/>
      <c r="AY69"/>
      <c r="AZ69"/>
      <c r="BA69"/>
      <c r="BB69"/>
      <c r="BC69"/>
      <c r="BD69"/>
      <c r="BE69"/>
      <c r="BF69"/>
      <c r="BG69"/>
      <c r="BH69"/>
      <c r="BI69"/>
      <c r="BJ69"/>
      <c r="BK69"/>
      <c r="BL69"/>
      <c r="BM69"/>
      <c r="BN69"/>
      <c r="BO69"/>
      <c r="BP69"/>
      <c r="BQ69"/>
      <c r="BR69"/>
      <c r="BS69"/>
      <c r="BT69"/>
      <c r="BU69"/>
      <c r="CA69" s="411"/>
      <c r="CB69" s="411"/>
    </row>
    <row r="70" spans="8:80" ht="15.95" customHeight="1" x14ac:dyDescent="0.25">
      <c r="I70" s="264"/>
      <c r="J70" s="1476"/>
      <c r="K70" s="1476"/>
      <c r="L70" s="1476"/>
      <c r="M70" s="1476"/>
      <c r="N70" s="1476"/>
      <c r="O70" s="1476"/>
      <c r="P70" s="1476"/>
      <c r="Q70" s="1476"/>
      <c r="R70" s="1476"/>
      <c r="S70" s="1476"/>
      <c r="T70" s="1476"/>
      <c r="U70" s="1476"/>
      <c r="V70" s="1476"/>
      <c r="W70" s="1476"/>
      <c r="X70" s="1476"/>
      <c r="Y70" s="1476"/>
      <c r="Z70" s="1476"/>
      <c r="AA70" s="1476"/>
      <c r="AB70" s="1476"/>
      <c r="AC70" s="1476"/>
      <c r="AD70" s="1476"/>
      <c r="AE70" s="1476"/>
      <c r="AF70" s="1476"/>
      <c r="AG70" s="1476"/>
      <c r="AH70" s="1476"/>
      <c r="AI70" s="1476"/>
      <c r="AJ70" s="1476"/>
      <c r="AK70" s="265"/>
      <c r="AT70"/>
      <c r="AU70"/>
      <c r="AV70"/>
      <c r="AW70"/>
      <c r="AX70"/>
      <c r="AY70"/>
      <c r="AZ70"/>
      <c r="BA70"/>
      <c r="BB70"/>
      <c r="BC70"/>
      <c r="BD70"/>
      <c r="BE70"/>
      <c r="BF70"/>
      <c r="BG70"/>
      <c r="BH70"/>
      <c r="BI70"/>
      <c r="BJ70"/>
      <c r="BK70"/>
      <c r="BL70"/>
      <c r="BM70"/>
      <c r="BN70"/>
      <c r="BO70"/>
      <c r="BP70"/>
      <c r="BQ70"/>
      <c r="BR70"/>
      <c r="BS70"/>
      <c r="BT70"/>
      <c r="BU70"/>
      <c r="CA70" s="412"/>
      <c r="CB70" s="412"/>
    </row>
    <row r="71" spans="8:80" ht="15.95" customHeight="1" x14ac:dyDescent="0.25">
      <c r="I71" s="264"/>
      <c r="J71" s="1476"/>
      <c r="K71" s="1476"/>
      <c r="L71" s="1476"/>
      <c r="M71" s="1476"/>
      <c r="N71" s="1476"/>
      <c r="O71" s="1476"/>
      <c r="P71" s="1476"/>
      <c r="Q71" s="1476"/>
      <c r="R71" s="1476"/>
      <c r="S71" s="1476"/>
      <c r="T71" s="1476"/>
      <c r="U71" s="1476"/>
      <c r="V71" s="1476"/>
      <c r="W71" s="1476"/>
      <c r="X71" s="1476"/>
      <c r="Y71" s="1476"/>
      <c r="Z71" s="1476"/>
      <c r="AA71" s="1476"/>
      <c r="AB71" s="1476"/>
      <c r="AC71" s="1476"/>
      <c r="AD71" s="1476"/>
      <c r="AE71" s="1476"/>
      <c r="AF71" s="1476"/>
      <c r="AG71" s="1476"/>
      <c r="AH71" s="1476"/>
      <c r="AI71" s="1476"/>
      <c r="AJ71" s="1476"/>
      <c r="AK71" s="265"/>
      <c r="AT71"/>
      <c r="AU71"/>
      <c r="AV71"/>
      <c r="AW71"/>
      <c r="AX71"/>
      <c r="AY71"/>
      <c r="AZ71"/>
      <c r="BA71"/>
      <c r="BB71"/>
      <c r="BC71"/>
      <c r="BD71"/>
      <c r="BE71"/>
      <c r="BF71"/>
      <c r="BG71"/>
      <c r="BH71"/>
      <c r="BI71"/>
      <c r="BJ71"/>
      <c r="BK71"/>
      <c r="BL71"/>
      <c r="BM71"/>
      <c r="BN71"/>
      <c r="BO71"/>
      <c r="BP71"/>
      <c r="BQ71"/>
      <c r="BR71"/>
      <c r="BS71"/>
      <c r="BT71"/>
      <c r="BU71"/>
      <c r="CA71" s="84"/>
      <c r="CB71" s="84"/>
    </row>
    <row r="72" spans="8:80" ht="15.95" customHeight="1" x14ac:dyDescent="0.25">
      <c r="I72" s="264"/>
      <c r="J72" s="1476"/>
      <c r="K72" s="1476"/>
      <c r="L72" s="1476"/>
      <c r="M72" s="1476"/>
      <c r="N72" s="1476"/>
      <c r="O72" s="1476"/>
      <c r="P72" s="1476"/>
      <c r="Q72" s="1476"/>
      <c r="R72" s="1476"/>
      <c r="S72" s="1476"/>
      <c r="T72" s="1476"/>
      <c r="U72" s="1476"/>
      <c r="V72" s="1476"/>
      <c r="W72" s="1476"/>
      <c r="X72" s="1476"/>
      <c r="Y72" s="1476"/>
      <c r="Z72" s="1476"/>
      <c r="AA72" s="1476"/>
      <c r="AB72" s="1476"/>
      <c r="AC72" s="1476"/>
      <c r="AD72" s="1476"/>
      <c r="AE72" s="1476"/>
      <c r="AF72" s="1476"/>
      <c r="AG72" s="1476"/>
      <c r="AH72" s="1476"/>
      <c r="AI72" s="1476"/>
      <c r="AJ72" s="1476"/>
      <c r="AK72" s="265"/>
      <c r="AT72"/>
      <c r="AU72"/>
      <c r="AV72"/>
      <c r="AW72"/>
      <c r="AX72"/>
      <c r="AY72"/>
      <c r="AZ72"/>
      <c r="BA72"/>
      <c r="BB72"/>
      <c r="BC72"/>
      <c r="BD72"/>
      <c r="BE72"/>
      <c r="BF72"/>
      <c r="BG72"/>
      <c r="BH72"/>
      <c r="BI72"/>
      <c r="BJ72"/>
      <c r="BK72"/>
      <c r="BL72"/>
      <c r="BM72"/>
      <c r="BN72"/>
      <c r="BO72"/>
      <c r="BP72"/>
      <c r="BQ72"/>
      <c r="BR72"/>
      <c r="BS72"/>
      <c r="BT72"/>
      <c r="BU72"/>
      <c r="CA72" s="413"/>
      <c r="CB72" s="413"/>
    </row>
    <row r="73" spans="8:80" ht="15.95" customHeight="1" x14ac:dyDescent="0.25">
      <c r="I73" s="264"/>
      <c r="J73" s="1476"/>
      <c r="K73" s="1476"/>
      <c r="L73" s="1476"/>
      <c r="M73" s="1476"/>
      <c r="N73" s="1476"/>
      <c r="O73" s="1476"/>
      <c r="P73" s="1476"/>
      <c r="Q73" s="1476"/>
      <c r="R73" s="1476"/>
      <c r="S73" s="1476"/>
      <c r="T73" s="1476"/>
      <c r="U73" s="1476"/>
      <c r="V73" s="1476"/>
      <c r="W73" s="1476"/>
      <c r="X73" s="1476"/>
      <c r="Y73" s="1476"/>
      <c r="Z73" s="1476"/>
      <c r="AA73" s="1476"/>
      <c r="AB73" s="1476"/>
      <c r="AC73" s="1476"/>
      <c r="AD73" s="1476"/>
      <c r="AE73" s="1476"/>
      <c r="AF73" s="1476"/>
      <c r="AG73" s="1476"/>
      <c r="AH73" s="1476"/>
      <c r="AI73" s="1476"/>
      <c r="AJ73" s="1476"/>
      <c r="AK73" s="265"/>
      <c r="AT73"/>
      <c r="AU73"/>
      <c r="AV73"/>
      <c r="AW73"/>
      <c r="AX73"/>
      <c r="AY73"/>
      <c r="AZ73"/>
      <c r="BA73"/>
      <c r="BB73"/>
      <c r="BC73"/>
      <c r="BD73"/>
      <c r="BE73"/>
      <c r="BF73"/>
      <c r="BG73"/>
      <c r="BH73"/>
      <c r="BI73"/>
      <c r="BJ73"/>
      <c r="BK73"/>
      <c r="BL73"/>
      <c r="BM73"/>
      <c r="BN73"/>
      <c r="BO73"/>
      <c r="BP73"/>
      <c r="BQ73"/>
      <c r="BR73"/>
      <c r="BS73"/>
      <c r="BT73"/>
      <c r="BU73"/>
      <c r="CA73" s="414"/>
      <c r="CB73" s="414"/>
    </row>
    <row r="74" spans="8:80" ht="15.95" customHeight="1" x14ac:dyDescent="0.25">
      <c r="I74" s="264"/>
      <c r="J74" s="1476"/>
      <c r="K74" s="1476"/>
      <c r="L74" s="1476"/>
      <c r="M74" s="1476"/>
      <c r="N74" s="1476"/>
      <c r="O74" s="1476"/>
      <c r="P74" s="1476"/>
      <c r="Q74" s="1476"/>
      <c r="R74" s="1476"/>
      <c r="S74" s="1476"/>
      <c r="T74" s="1476"/>
      <c r="U74" s="1476"/>
      <c r="V74" s="1476"/>
      <c r="W74" s="1476"/>
      <c r="X74" s="1476"/>
      <c r="Y74" s="1476"/>
      <c r="Z74" s="1476"/>
      <c r="AA74" s="1476"/>
      <c r="AB74" s="1476"/>
      <c r="AC74" s="1476"/>
      <c r="AD74" s="1476"/>
      <c r="AE74" s="1476"/>
      <c r="AF74" s="1476"/>
      <c r="AG74" s="1476"/>
      <c r="AH74" s="1476"/>
      <c r="AI74" s="1476"/>
      <c r="AJ74" s="1476"/>
      <c r="AK74" s="265"/>
      <c r="AT74"/>
      <c r="AU74"/>
      <c r="AV74"/>
      <c r="AW74"/>
      <c r="AX74"/>
      <c r="AY74"/>
      <c r="AZ74"/>
      <c r="BA74"/>
      <c r="BB74"/>
      <c r="BC74"/>
      <c r="BD74"/>
      <c r="BE74"/>
      <c r="BF74"/>
      <c r="BG74"/>
      <c r="BH74"/>
      <c r="BI74"/>
      <c r="BJ74"/>
      <c r="BK74"/>
      <c r="BL74"/>
      <c r="BM74"/>
      <c r="BN74"/>
      <c r="BO74"/>
      <c r="BP74"/>
      <c r="BQ74"/>
      <c r="BR74"/>
      <c r="BS74"/>
      <c r="BT74"/>
      <c r="BU74"/>
      <c r="CA74" s="414"/>
      <c r="CB74" s="414"/>
    </row>
    <row r="75" spans="8:80" ht="15.95" customHeight="1" x14ac:dyDescent="0.25">
      <c r="I75" s="264"/>
      <c r="J75" s="1476"/>
      <c r="K75" s="1476"/>
      <c r="L75" s="1476"/>
      <c r="M75" s="1476"/>
      <c r="N75" s="1476"/>
      <c r="O75" s="1476"/>
      <c r="P75" s="1476"/>
      <c r="Q75" s="1476"/>
      <c r="R75" s="1476"/>
      <c r="S75" s="1476"/>
      <c r="T75" s="1476"/>
      <c r="U75" s="1476"/>
      <c r="V75" s="1476"/>
      <c r="W75" s="1476"/>
      <c r="X75" s="1476"/>
      <c r="Y75" s="1476"/>
      <c r="Z75" s="1476"/>
      <c r="AA75" s="1476"/>
      <c r="AB75" s="1476"/>
      <c r="AC75" s="1476"/>
      <c r="AD75" s="1476"/>
      <c r="AE75" s="1476"/>
      <c r="AF75" s="1476"/>
      <c r="AG75" s="1476"/>
      <c r="AH75" s="1476"/>
      <c r="AI75" s="1476"/>
      <c r="AJ75" s="1476"/>
      <c r="AK75" s="265"/>
      <c r="AT75"/>
      <c r="AU75"/>
      <c r="AV75"/>
      <c r="AW75"/>
      <c r="AX75"/>
      <c r="AY75"/>
      <c r="AZ75"/>
      <c r="BA75"/>
      <c r="BB75"/>
      <c r="BC75"/>
      <c r="BD75"/>
      <c r="BE75"/>
      <c r="BF75"/>
      <c r="BG75"/>
      <c r="BH75"/>
      <c r="BI75"/>
      <c r="BJ75"/>
      <c r="BK75"/>
      <c r="BL75"/>
      <c r="BM75"/>
      <c r="BN75"/>
      <c r="BO75"/>
      <c r="BP75"/>
      <c r="BQ75"/>
      <c r="BR75"/>
      <c r="BS75"/>
      <c r="BT75"/>
      <c r="BU75"/>
      <c r="CA75" s="414"/>
      <c r="CB75" s="414"/>
    </row>
    <row r="76" spans="8:80" ht="15.95" customHeight="1" x14ac:dyDescent="0.25">
      <c r="I76" s="264"/>
      <c r="J76" s="1476"/>
      <c r="K76" s="1476"/>
      <c r="L76" s="1476"/>
      <c r="M76" s="1476"/>
      <c r="N76" s="1476"/>
      <c r="O76" s="1476"/>
      <c r="P76" s="1476"/>
      <c r="Q76" s="1476"/>
      <c r="R76" s="1476"/>
      <c r="S76" s="1476"/>
      <c r="T76" s="1476"/>
      <c r="U76" s="1476"/>
      <c r="V76" s="1476"/>
      <c r="W76" s="1476"/>
      <c r="X76" s="1476"/>
      <c r="Y76" s="1476"/>
      <c r="Z76" s="1476"/>
      <c r="AA76" s="1476"/>
      <c r="AB76" s="1476"/>
      <c r="AC76" s="1476"/>
      <c r="AD76" s="1476"/>
      <c r="AE76" s="1476"/>
      <c r="AF76" s="1476"/>
      <c r="AG76" s="1476"/>
      <c r="AH76" s="1476"/>
      <c r="AI76" s="1476"/>
      <c r="AJ76" s="1476"/>
      <c r="AK76" s="265"/>
      <c r="AT76"/>
      <c r="AU76"/>
      <c r="AV76"/>
      <c r="AW76"/>
      <c r="AX76"/>
      <c r="AY76"/>
      <c r="AZ76"/>
      <c r="BA76"/>
      <c r="BB76"/>
      <c r="BC76"/>
      <c r="BD76"/>
      <c r="BE76"/>
      <c r="BF76"/>
      <c r="BG76"/>
      <c r="BH76"/>
      <c r="BI76"/>
      <c r="BJ76"/>
      <c r="BK76"/>
      <c r="BL76"/>
      <c r="BM76"/>
      <c r="BN76"/>
      <c r="BO76"/>
      <c r="BP76"/>
      <c r="BQ76"/>
      <c r="BR76"/>
      <c r="BS76"/>
      <c r="BT76"/>
      <c r="BU76"/>
      <c r="CA76" s="85"/>
      <c r="CB76" s="85"/>
    </row>
    <row r="77" spans="8:80" ht="15.95" customHeight="1" x14ac:dyDescent="0.25">
      <c r="I77" s="264"/>
      <c r="J77" s="1472" t="s">
        <v>1435</v>
      </c>
      <c r="K77" s="1472"/>
      <c r="L77" s="1472"/>
      <c r="M77" s="1472"/>
      <c r="N77" s="1472"/>
      <c r="O77" s="1472"/>
      <c r="P77" s="1472"/>
      <c r="Q77" s="1472"/>
      <c r="R77" s="1472"/>
      <c r="S77" s="1472"/>
      <c r="T77" s="1472"/>
      <c r="U77" s="1472"/>
      <c r="V77" s="1472"/>
      <c r="W77" s="1472"/>
      <c r="X77" s="1472"/>
      <c r="Y77" s="1472"/>
      <c r="Z77" s="1472"/>
      <c r="AA77" s="1472"/>
      <c r="AB77" s="1472"/>
      <c r="AC77" s="1472"/>
      <c r="AD77" s="1472"/>
      <c r="AE77" s="1472"/>
      <c r="AF77" s="1472"/>
      <c r="AG77" s="1472"/>
      <c r="AH77" s="1472"/>
      <c r="AI77" s="1472"/>
      <c r="AJ77" s="1472"/>
      <c r="AK77" s="265"/>
      <c r="AT77"/>
      <c r="AU77"/>
      <c r="AV77"/>
      <c r="AW77"/>
      <c r="AX77"/>
      <c r="AY77"/>
      <c r="AZ77"/>
      <c r="BA77"/>
      <c r="BB77"/>
      <c r="BC77"/>
      <c r="BD77"/>
      <c r="BE77"/>
      <c r="BF77"/>
      <c r="BG77"/>
      <c r="BH77"/>
      <c r="BI77"/>
      <c r="BJ77"/>
      <c r="BK77"/>
      <c r="BL77"/>
      <c r="BM77"/>
      <c r="BN77"/>
      <c r="BO77"/>
      <c r="BP77"/>
      <c r="BQ77"/>
      <c r="BR77"/>
      <c r="BS77"/>
      <c r="BT77"/>
      <c r="BU77"/>
      <c r="CA77" s="415"/>
      <c r="CB77" s="415"/>
    </row>
    <row r="78" spans="8:80" ht="15.95" customHeight="1" x14ac:dyDescent="0.25">
      <c r="I78" s="264"/>
      <c r="J78" s="1472"/>
      <c r="K78" s="1472"/>
      <c r="L78" s="1472"/>
      <c r="M78" s="1472"/>
      <c r="N78" s="1472"/>
      <c r="O78" s="1472"/>
      <c r="P78" s="1472"/>
      <c r="Q78" s="1472"/>
      <c r="R78" s="1472"/>
      <c r="S78" s="1472"/>
      <c r="T78" s="1472"/>
      <c r="U78" s="1472"/>
      <c r="V78" s="1472"/>
      <c r="W78" s="1472"/>
      <c r="X78" s="1472"/>
      <c r="Y78" s="1472"/>
      <c r="Z78" s="1472"/>
      <c r="AA78" s="1472"/>
      <c r="AB78" s="1472"/>
      <c r="AC78" s="1472"/>
      <c r="AD78" s="1472"/>
      <c r="AE78" s="1472"/>
      <c r="AF78" s="1472"/>
      <c r="AG78" s="1472"/>
      <c r="AH78" s="1472"/>
      <c r="AI78" s="1472"/>
      <c r="AJ78" s="1472"/>
      <c r="AK78" s="265"/>
      <c r="AT78"/>
      <c r="AU78"/>
      <c r="AV78"/>
      <c r="AW78"/>
      <c r="AX78"/>
      <c r="AY78"/>
      <c r="AZ78"/>
      <c r="BA78"/>
      <c r="BB78"/>
      <c r="BC78"/>
      <c r="BD78"/>
      <c r="BE78"/>
      <c r="BF78"/>
      <c r="BG78"/>
      <c r="BH78"/>
      <c r="BI78"/>
      <c r="BJ78"/>
      <c r="BK78"/>
      <c r="BL78"/>
      <c r="BM78"/>
      <c r="BN78"/>
      <c r="BO78"/>
      <c r="BP78"/>
      <c r="BQ78"/>
      <c r="BR78"/>
      <c r="BS78"/>
      <c r="BT78"/>
      <c r="BU78"/>
      <c r="CA78" s="416"/>
      <c r="CB78" s="416"/>
    </row>
    <row r="79" spans="8:80" ht="15.95" customHeight="1" x14ac:dyDescent="0.25">
      <c r="I79" s="267"/>
      <c r="J79" s="268"/>
      <c r="K79" s="269"/>
      <c r="L79" s="270"/>
      <c r="M79" s="270"/>
      <c r="N79" s="270"/>
      <c r="O79" s="270"/>
      <c r="P79" s="270"/>
      <c r="Q79" s="270"/>
      <c r="R79" s="270"/>
      <c r="S79" s="270"/>
      <c r="T79" s="270"/>
      <c r="U79" s="270"/>
      <c r="V79" s="270"/>
      <c r="W79" s="270"/>
      <c r="X79" s="270"/>
      <c r="Y79" s="270"/>
      <c r="Z79" s="270"/>
      <c r="AA79" s="270"/>
      <c r="AB79" s="270"/>
      <c r="AC79" s="270"/>
      <c r="AD79" s="270"/>
      <c r="AE79" s="270"/>
      <c r="AF79" s="270"/>
      <c r="AG79" s="270"/>
      <c r="AH79" s="270"/>
      <c r="AI79" s="270"/>
      <c r="AJ79" s="270"/>
      <c r="AK79" s="272"/>
      <c r="AT79"/>
      <c r="AU79"/>
      <c r="AV79"/>
      <c r="AW79"/>
      <c r="AX79"/>
      <c r="AY79"/>
      <c r="AZ79"/>
      <c r="BA79"/>
      <c r="BB79"/>
      <c r="BC79"/>
      <c r="BD79"/>
      <c r="BE79"/>
      <c r="BF79"/>
      <c r="BG79"/>
      <c r="BH79"/>
      <c r="BI79"/>
      <c r="BJ79"/>
      <c r="BK79"/>
      <c r="BL79"/>
      <c r="BM79"/>
      <c r="BN79"/>
      <c r="BO79"/>
      <c r="BP79"/>
      <c r="BQ79"/>
      <c r="BR79"/>
      <c r="BS79"/>
      <c r="BT79"/>
      <c r="BU79"/>
      <c r="CA79" s="416"/>
      <c r="CB79" s="28" t="s">
        <v>136</v>
      </c>
    </row>
    <row r="80" spans="8:80" ht="15.95" customHeight="1" x14ac:dyDescent="0.25">
      <c r="H80"/>
      <c r="I80"/>
      <c r="J80" s="57"/>
      <c r="K80" s="58"/>
      <c r="AT80"/>
      <c r="AU80"/>
      <c r="AV80"/>
      <c r="AW80"/>
      <c r="AX80"/>
      <c r="AY80"/>
      <c r="AZ80"/>
      <c r="BA80"/>
      <c r="BB80"/>
      <c r="BC80"/>
      <c r="BD80"/>
      <c r="BE80"/>
      <c r="BF80"/>
      <c r="BG80"/>
      <c r="BH80"/>
      <c r="BI80"/>
      <c r="BJ80"/>
      <c r="BK80"/>
      <c r="BL80"/>
      <c r="BM80"/>
      <c r="BN80"/>
      <c r="BO80"/>
      <c r="BP80"/>
      <c r="BQ80"/>
      <c r="BR80"/>
      <c r="BS80"/>
      <c r="BT80"/>
      <c r="BU80"/>
      <c r="CA80" s="416"/>
      <c r="CB80" s="28"/>
    </row>
    <row r="81" spans="46:80" ht="15.95" customHeight="1" x14ac:dyDescent="0.25">
      <c r="AT81"/>
      <c r="AU81"/>
      <c r="AV81"/>
      <c r="AW81"/>
      <c r="AX81"/>
      <c r="AY81"/>
      <c r="AZ81"/>
      <c r="BA81"/>
      <c r="BB81"/>
      <c r="BC81"/>
      <c r="BD81"/>
      <c r="BE81"/>
      <c r="BF81"/>
      <c r="BG81"/>
      <c r="BH81"/>
      <c r="BI81"/>
      <c r="BJ81"/>
      <c r="BK81"/>
      <c r="BL81"/>
      <c r="BM81"/>
      <c r="BN81"/>
      <c r="BO81"/>
      <c r="BP81"/>
      <c r="BQ81"/>
      <c r="BR81"/>
      <c r="BS81"/>
      <c r="BT81"/>
      <c r="BU81"/>
      <c r="CA81" s="416"/>
      <c r="CB81" s="28"/>
    </row>
    <row r="82" spans="46:80" ht="15.95" hidden="1" customHeight="1" x14ac:dyDescent="0.25">
      <c r="AT82"/>
      <c r="AU82"/>
      <c r="AV82"/>
      <c r="AW82"/>
      <c r="AX82"/>
      <c r="AY82"/>
      <c r="AZ82"/>
      <c r="BA82"/>
      <c r="BB82"/>
      <c r="BC82"/>
      <c r="BD82"/>
      <c r="BE82"/>
      <c r="BF82"/>
      <c r="BG82"/>
      <c r="BH82"/>
      <c r="BI82"/>
      <c r="BJ82"/>
      <c r="BK82"/>
      <c r="BL82"/>
      <c r="BM82"/>
      <c r="BN82"/>
      <c r="BO82"/>
      <c r="BP82"/>
      <c r="BQ82"/>
      <c r="BR82"/>
      <c r="BS82"/>
      <c r="BT82"/>
      <c r="BU82"/>
      <c r="CA82" s="416"/>
      <c r="CB82" s="28"/>
    </row>
    <row r="83" spans="46:80" ht="15.95" hidden="1" customHeight="1" x14ac:dyDescent="0.25">
      <c r="AT83"/>
      <c r="AU83"/>
      <c r="AV83"/>
      <c r="AW83"/>
      <c r="AX83"/>
      <c r="AY83"/>
      <c r="AZ83"/>
      <c r="BA83"/>
      <c r="BB83"/>
      <c r="BC83"/>
      <c r="BD83"/>
      <c r="BE83"/>
      <c r="BF83"/>
      <c r="BG83"/>
      <c r="BH83"/>
      <c r="BI83"/>
      <c r="BJ83"/>
      <c r="BK83"/>
      <c r="BL83"/>
      <c r="BM83"/>
      <c r="BN83"/>
      <c r="BO83"/>
      <c r="BP83"/>
      <c r="BQ83"/>
      <c r="BR83"/>
      <c r="BS83"/>
      <c r="BT83"/>
      <c r="BU83"/>
      <c r="CA83" s="416"/>
      <c r="CB83" s="28"/>
    </row>
    <row r="84" spans="46:80" ht="15.95" hidden="1" customHeight="1" x14ac:dyDescent="0.25">
      <c r="AT84"/>
      <c r="AU84"/>
      <c r="AV84"/>
      <c r="AW84"/>
      <c r="AX84"/>
      <c r="AY84"/>
      <c r="AZ84"/>
      <c r="BA84"/>
      <c r="BB84"/>
      <c r="BC84"/>
      <c r="BD84"/>
      <c r="BE84"/>
      <c r="BF84"/>
      <c r="BG84"/>
      <c r="BH84"/>
      <c r="BI84"/>
      <c r="BJ84"/>
      <c r="BK84"/>
      <c r="BL84"/>
      <c r="BM84"/>
      <c r="BN84"/>
      <c r="BO84"/>
      <c r="BP84"/>
      <c r="BQ84"/>
      <c r="BR84"/>
      <c r="BS84"/>
      <c r="BT84"/>
      <c r="BU84"/>
      <c r="CA84" s="416"/>
      <c r="CB84" s="28"/>
    </row>
    <row r="85" spans="46:80" ht="15.95" hidden="1" customHeight="1" x14ac:dyDescent="0.25">
      <c r="AT85"/>
      <c r="AU85"/>
      <c r="AV85"/>
      <c r="AW85"/>
      <c r="AX85"/>
      <c r="AY85"/>
      <c r="AZ85"/>
      <c r="BA85"/>
      <c r="BB85"/>
      <c r="BC85"/>
      <c r="BD85"/>
      <c r="BE85"/>
      <c r="BF85"/>
      <c r="BG85"/>
      <c r="BH85"/>
      <c r="BI85"/>
      <c r="BJ85"/>
      <c r="BK85"/>
      <c r="BL85"/>
      <c r="BM85"/>
      <c r="BN85"/>
      <c r="BO85"/>
      <c r="BP85"/>
      <c r="BQ85"/>
      <c r="BR85"/>
      <c r="BS85"/>
      <c r="BT85"/>
      <c r="BU85"/>
      <c r="CA85" s="416"/>
      <c r="CB85" s="28"/>
    </row>
    <row r="86" spans="46:80" ht="15.95" hidden="1" customHeight="1" x14ac:dyDescent="0.25">
      <c r="AT86"/>
      <c r="AU86"/>
      <c r="AV86"/>
      <c r="AW86"/>
      <c r="AX86"/>
      <c r="AY86"/>
      <c r="AZ86"/>
      <c r="BA86"/>
      <c r="BB86"/>
      <c r="BC86"/>
      <c r="BD86"/>
      <c r="BE86"/>
      <c r="BF86"/>
      <c r="BG86"/>
      <c r="BH86"/>
      <c r="BI86"/>
      <c r="BJ86"/>
      <c r="BK86"/>
      <c r="BL86"/>
      <c r="BM86"/>
      <c r="BN86"/>
      <c r="BO86"/>
      <c r="BP86"/>
      <c r="BQ86"/>
      <c r="BR86"/>
      <c r="BS86"/>
      <c r="BT86"/>
      <c r="BU86"/>
      <c r="CA86" s="416"/>
      <c r="CB86" s="28"/>
    </row>
    <row r="87" spans="46:80" ht="15.95" hidden="1" customHeight="1" x14ac:dyDescent="0.25">
      <c r="AT87"/>
      <c r="AU87"/>
      <c r="AV87"/>
      <c r="AW87"/>
      <c r="AX87"/>
      <c r="AY87"/>
      <c r="AZ87"/>
      <c r="BA87"/>
      <c r="BB87"/>
      <c r="BC87"/>
      <c r="BD87"/>
      <c r="BE87"/>
      <c r="BF87"/>
      <c r="BG87"/>
      <c r="BH87"/>
      <c r="BI87"/>
      <c r="BJ87"/>
      <c r="BK87"/>
      <c r="BL87"/>
      <c r="BM87"/>
      <c r="BN87"/>
      <c r="BO87"/>
      <c r="BP87"/>
      <c r="BQ87"/>
      <c r="BR87"/>
      <c r="BS87"/>
      <c r="BT87"/>
      <c r="BU87"/>
      <c r="CA87" s="416"/>
      <c r="CB87" s="28"/>
    </row>
    <row r="88" spans="46:80" ht="15.95" hidden="1" customHeight="1" x14ac:dyDescent="0.25">
      <c r="AT88"/>
      <c r="AU88"/>
      <c r="AV88"/>
      <c r="AW88"/>
      <c r="AX88"/>
      <c r="AY88"/>
      <c r="AZ88"/>
      <c r="BA88"/>
      <c r="BB88"/>
      <c r="BC88"/>
      <c r="BD88"/>
      <c r="BE88"/>
      <c r="BF88"/>
      <c r="BG88"/>
      <c r="BH88"/>
      <c r="BI88"/>
      <c r="BJ88"/>
      <c r="BK88"/>
      <c r="BL88"/>
      <c r="BM88"/>
      <c r="BN88"/>
      <c r="BO88"/>
      <c r="BP88"/>
      <c r="BQ88"/>
      <c r="BR88"/>
      <c r="BS88"/>
      <c r="BT88"/>
      <c r="BU88"/>
      <c r="CA88" s="416"/>
      <c r="CB88" s="28"/>
    </row>
    <row r="89" spans="46:80" ht="15.95" hidden="1" customHeight="1" x14ac:dyDescent="0.25">
      <c r="AT89"/>
      <c r="AU89"/>
      <c r="AV89"/>
      <c r="AW89"/>
      <c r="AX89"/>
      <c r="AY89"/>
      <c r="AZ89"/>
      <c r="BA89"/>
      <c r="BB89"/>
      <c r="BC89"/>
      <c r="BD89"/>
      <c r="BE89"/>
      <c r="BF89"/>
      <c r="BG89"/>
      <c r="BH89"/>
      <c r="BI89"/>
      <c r="BJ89"/>
      <c r="BK89"/>
      <c r="BL89"/>
      <c r="BM89"/>
      <c r="BN89"/>
      <c r="BO89"/>
      <c r="BP89"/>
      <c r="BQ89"/>
      <c r="BR89"/>
      <c r="BS89"/>
      <c r="BT89"/>
      <c r="BU89"/>
      <c r="CA89" s="416"/>
      <c r="CB89" s="28"/>
    </row>
    <row r="90" spans="46:80" ht="15.95" hidden="1" customHeight="1" x14ac:dyDescent="0.25">
      <c r="AT90"/>
      <c r="AU90"/>
      <c r="AV90"/>
      <c r="AW90"/>
      <c r="AX90"/>
      <c r="AY90"/>
      <c r="AZ90"/>
      <c r="BA90"/>
      <c r="BB90"/>
      <c r="BC90"/>
      <c r="BD90"/>
      <c r="BE90"/>
      <c r="BF90"/>
      <c r="BG90"/>
      <c r="BH90"/>
      <c r="BI90"/>
      <c r="BJ90"/>
      <c r="BK90"/>
      <c r="BL90"/>
      <c r="BM90"/>
      <c r="BN90"/>
      <c r="BO90"/>
      <c r="BP90"/>
      <c r="BQ90"/>
      <c r="BR90"/>
      <c r="BS90"/>
      <c r="BT90"/>
      <c r="BU90"/>
      <c r="CA90" s="416"/>
      <c r="CB90" s="28"/>
    </row>
    <row r="91" spans="46:80" ht="15.95" hidden="1" customHeight="1" x14ac:dyDescent="0.25">
      <c r="AT91"/>
      <c r="AU91"/>
      <c r="AV91"/>
      <c r="AW91"/>
      <c r="AX91"/>
      <c r="AY91"/>
      <c r="AZ91"/>
      <c r="BA91"/>
      <c r="BB91"/>
      <c r="BC91"/>
      <c r="BD91"/>
      <c r="BE91"/>
      <c r="BF91"/>
      <c r="BG91"/>
      <c r="BH91"/>
      <c r="BI91"/>
      <c r="BJ91"/>
      <c r="BK91"/>
      <c r="BL91"/>
      <c r="BM91"/>
      <c r="BN91"/>
      <c r="BO91"/>
      <c r="BP91"/>
      <c r="BQ91"/>
      <c r="BR91"/>
      <c r="BS91"/>
      <c r="BT91"/>
      <c r="BU91"/>
      <c r="CA91" s="416"/>
      <c r="CB91" s="28"/>
    </row>
    <row r="92" spans="46:80" ht="15.95" hidden="1" customHeight="1" x14ac:dyDescent="0.25">
      <c r="AT92"/>
      <c r="AU92"/>
      <c r="AV92"/>
      <c r="AW92"/>
      <c r="AX92"/>
      <c r="AY92"/>
      <c r="AZ92"/>
      <c r="BA92"/>
      <c r="BB92"/>
      <c r="BC92"/>
      <c r="BD92"/>
      <c r="BE92"/>
      <c r="BF92"/>
      <c r="BG92"/>
      <c r="BH92"/>
      <c r="BI92"/>
      <c r="BJ92"/>
      <c r="BK92"/>
      <c r="BL92"/>
      <c r="BM92"/>
      <c r="BN92"/>
      <c r="BO92"/>
      <c r="BP92"/>
      <c r="BQ92"/>
      <c r="BR92"/>
      <c r="BS92"/>
      <c r="BT92"/>
      <c r="BU92"/>
      <c r="CA92" s="416"/>
      <c r="CB92" s="28"/>
    </row>
    <row r="93" spans="46:80" ht="15.95" hidden="1" customHeight="1" x14ac:dyDescent="0.25">
      <c r="AT93"/>
      <c r="AU93"/>
      <c r="AV93"/>
      <c r="AW93"/>
      <c r="AX93"/>
      <c r="AY93"/>
      <c r="AZ93"/>
      <c r="BA93"/>
      <c r="BB93"/>
      <c r="BC93"/>
      <c r="BD93"/>
      <c r="BE93"/>
      <c r="BF93"/>
      <c r="BG93"/>
      <c r="BH93"/>
      <c r="BI93"/>
      <c r="BJ93"/>
      <c r="BK93"/>
      <c r="BL93"/>
      <c r="BM93"/>
      <c r="BN93"/>
      <c r="BO93"/>
      <c r="BP93"/>
      <c r="BQ93"/>
      <c r="BR93"/>
      <c r="BS93"/>
      <c r="BT93"/>
      <c r="BU93"/>
      <c r="CA93" s="416"/>
      <c r="CB93" s="28"/>
    </row>
    <row r="94" spans="46:80" ht="15.95" hidden="1" customHeight="1" x14ac:dyDescent="0.25">
      <c r="AT94"/>
      <c r="AU94"/>
      <c r="AV94"/>
      <c r="AW94"/>
      <c r="AX94"/>
      <c r="AY94"/>
      <c r="AZ94"/>
      <c r="BA94"/>
      <c r="BB94"/>
      <c r="BC94"/>
      <c r="BD94"/>
      <c r="BE94"/>
      <c r="BF94"/>
      <c r="BG94"/>
      <c r="BH94"/>
      <c r="BI94"/>
      <c r="BJ94"/>
      <c r="BK94"/>
      <c r="BL94"/>
      <c r="BM94"/>
      <c r="BN94"/>
      <c r="BO94"/>
      <c r="BP94"/>
      <c r="BQ94"/>
      <c r="BR94"/>
      <c r="BS94"/>
      <c r="BT94"/>
      <c r="BU94"/>
      <c r="CA94" s="416"/>
      <c r="CB94" s="28"/>
    </row>
    <row r="95" spans="46:80" ht="15.95" hidden="1" customHeight="1" x14ac:dyDescent="0.25">
      <c r="AT95"/>
      <c r="AU95"/>
      <c r="AV95"/>
      <c r="AW95"/>
      <c r="AX95"/>
      <c r="AY95"/>
      <c r="AZ95"/>
      <c r="BA95"/>
      <c r="BB95"/>
      <c r="BC95"/>
      <c r="BD95"/>
      <c r="BE95"/>
      <c r="BF95"/>
      <c r="BG95"/>
      <c r="BH95"/>
      <c r="BI95"/>
      <c r="BJ95"/>
      <c r="BK95"/>
      <c r="BL95"/>
      <c r="BM95"/>
      <c r="BN95"/>
      <c r="BO95"/>
      <c r="BP95"/>
      <c r="BQ95"/>
      <c r="BR95"/>
      <c r="BS95"/>
      <c r="BT95"/>
      <c r="BU95"/>
      <c r="CA95" s="416"/>
      <c r="CB95" s="28"/>
    </row>
    <row r="96" spans="46:80" ht="15.95" hidden="1" customHeight="1" x14ac:dyDescent="0.25">
      <c r="AT96"/>
      <c r="AU96"/>
      <c r="AV96"/>
      <c r="AW96"/>
      <c r="AX96"/>
      <c r="AY96"/>
      <c r="AZ96"/>
      <c r="BA96"/>
      <c r="BB96"/>
      <c r="BC96"/>
      <c r="BD96"/>
      <c r="BE96"/>
      <c r="BF96"/>
      <c r="BG96"/>
      <c r="BH96"/>
      <c r="BI96"/>
      <c r="BJ96"/>
      <c r="BK96"/>
      <c r="BL96"/>
      <c r="BM96"/>
      <c r="BN96"/>
      <c r="BO96"/>
      <c r="BP96"/>
      <c r="BQ96"/>
      <c r="BR96"/>
      <c r="BS96"/>
      <c r="BT96"/>
      <c r="BU96"/>
      <c r="CA96" s="416"/>
      <c r="CB96" s="28"/>
    </row>
    <row r="97" spans="46:80" ht="15.95" hidden="1" customHeight="1" x14ac:dyDescent="0.25">
      <c r="AT97"/>
      <c r="AU97"/>
      <c r="AV97"/>
      <c r="AW97"/>
      <c r="AX97"/>
      <c r="AY97"/>
      <c r="AZ97"/>
      <c r="BA97"/>
      <c r="BB97"/>
      <c r="BC97"/>
      <c r="BD97"/>
      <c r="BE97"/>
      <c r="BF97"/>
      <c r="BG97"/>
      <c r="BH97"/>
      <c r="BI97"/>
      <c r="BJ97"/>
      <c r="BK97"/>
      <c r="BL97"/>
      <c r="BM97"/>
      <c r="BN97"/>
      <c r="BO97"/>
      <c r="BP97"/>
      <c r="BQ97"/>
      <c r="BR97"/>
      <c r="BS97"/>
      <c r="BT97"/>
      <c r="BU97"/>
      <c r="CA97" s="416"/>
      <c r="CB97" s="28"/>
    </row>
    <row r="98" spans="46:80" ht="15.95" hidden="1" customHeight="1" x14ac:dyDescent="0.25">
      <c r="AT98"/>
      <c r="AU98"/>
      <c r="AV98"/>
      <c r="AW98"/>
      <c r="AX98"/>
      <c r="AY98"/>
      <c r="AZ98"/>
      <c r="BA98"/>
      <c r="BB98"/>
      <c r="BC98"/>
      <c r="BD98"/>
      <c r="BE98"/>
      <c r="BF98"/>
      <c r="BG98"/>
      <c r="BH98"/>
      <c r="BI98"/>
      <c r="BJ98"/>
      <c r="BK98"/>
      <c r="BL98"/>
      <c r="BM98"/>
      <c r="BN98"/>
      <c r="BO98"/>
      <c r="BP98"/>
      <c r="BQ98"/>
      <c r="BR98"/>
      <c r="BS98"/>
      <c r="BT98"/>
      <c r="BU98"/>
      <c r="CA98" s="416"/>
      <c r="CB98" s="28"/>
    </row>
    <row r="99" spans="46:80" ht="15.95" hidden="1" customHeight="1" x14ac:dyDescent="0.25">
      <c r="AT99"/>
      <c r="AU99"/>
      <c r="AV99"/>
      <c r="AW99"/>
      <c r="AX99"/>
      <c r="AY99"/>
      <c r="AZ99"/>
      <c r="BA99"/>
      <c r="BB99"/>
      <c r="BC99"/>
      <c r="BD99"/>
      <c r="BE99"/>
      <c r="BF99"/>
      <c r="BG99"/>
      <c r="BH99"/>
      <c r="BI99"/>
      <c r="BJ99"/>
      <c r="BK99"/>
      <c r="BL99"/>
      <c r="BM99"/>
      <c r="BN99"/>
      <c r="BO99"/>
      <c r="BP99"/>
      <c r="BQ99"/>
      <c r="BR99"/>
      <c r="BS99"/>
      <c r="BT99"/>
      <c r="BU99"/>
      <c r="CA99" s="416"/>
      <c r="CB99" s="28"/>
    </row>
    <row r="100" spans="46:80" ht="15.95" hidden="1" customHeight="1" x14ac:dyDescent="0.25">
      <c r="AT100"/>
      <c r="AU100"/>
      <c r="AV100"/>
      <c r="AW100"/>
      <c r="AX100"/>
      <c r="AY100"/>
      <c r="AZ100"/>
      <c r="BA100"/>
      <c r="BB100"/>
      <c r="BC100"/>
      <c r="BD100"/>
      <c r="BE100"/>
      <c r="BF100"/>
      <c r="BG100"/>
      <c r="BH100"/>
      <c r="BI100"/>
      <c r="BJ100"/>
      <c r="BK100"/>
      <c r="BL100"/>
      <c r="BM100"/>
      <c r="BN100"/>
      <c r="BO100"/>
      <c r="BP100"/>
      <c r="BQ100"/>
      <c r="BR100"/>
      <c r="BS100"/>
      <c r="BT100"/>
      <c r="BU100"/>
      <c r="CA100" s="416"/>
      <c r="CB100" s="28"/>
    </row>
    <row r="101" spans="46:80" ht="15.95" hidden="1" customHeight="1" x14ac:dyDescent="0.25">
      <c r="AT101"/>
      <c r="AU101"/>
      <c r="AV101"/>
      <c r="AW101"/>
      <c r="AX101"/>
      <c r="AY101"/>
      <c r="AZ101"/>
      <c r="BA101"/>
      <c r="BB101"/>
      <c r="BC101"/>
      <c r="BD101"/>
      <c r="BE101"/>
      <c r="BF101"/>
      <c r="BG101"/>
      <c r="BH101"/>
      <c r="BI101"/>
      <c r="BJ101"/>
      <c r="BK101"/>
      <c r="BL101"/>
      <c r="BM101"/>
      <c r="BN101"/>
      <c r="BO101"/>
      <c r="BP101"/>
      <c r="BQ101"/>
      <c r="BR101"/>
      <c r="BS101"/>
      <c r="BT101"/>
      <c r="BU101"/>
      <c r="CA101" s="416"/>
      <c r="CB101" s="28"/>
    </row>
    <row r="102" spans="46:80" ht="15.95" hidden="1" customHeight="1" x14ac:dyDescent="0.25">
      <c r="CA102" s="416"/>
      <c r="CB102" s="28"/>
    </row>
    <row r="103" spans="46:80" ht="15.95" hidden="1" customHeight="1" x14ac:dyDescent="0.25">
      <c r="CA103" s="416"/>
      <c r="CB103" s="28"/>
    </row>
    <row r="104" spans="46:80" ht="15.95" hidden="1" customHeight="1" x14ac:dyDescent="0.25">
      <c r="CA104" s="416"/>
      <c r="CB104" s="28"/>
    </row>
    <row r="105" spans="46:80" ht="15.95" hidden="1" customHeight="1" x14ac:dyDescent="0.25">
      <c r="CA105" s="416"/>
      <c r="CB105" s="28"/>
    </row>
    <row r="106" spans="46:80" ht="15.95" hidden="1" customHeight="1" x14ac:dyDescent="0.25">
      <c r="CA106" s="416"/>
      <c r="CB106" s="28"/>
    </row>
    <row r="107" spans="46:80" ht="15.95" hidden="1" customHeight="1" x14ac:dyDescent="0.25">
      <c r="CA107" s="416"/>
      <c r="CB107" s="28"/>
    </row>
    <row r="108" spans="46:80" ht="15.95" hidden="1" customHeight="1" x14ac:dyDescent="0.25">
      <c r="CA108" s="416"/>
      <c r="CB108" s="28"/>
    </row>
    <row r="109" spans="46:80" ht="15.95" hidden="1" customHeight="1" x14ac:dyDescent="0.25">
      <c r="CA109" s="416"/>
      <c r="CB109" s="28"/>
    </row>
    <row r="110" spans="46:80" ht="15.95" hidden="1" customHeight="1" x14ac:dyDescent="0.25">
      <c r="CA110" s="416"/>
      <c r="CB110" s="28"/>
    </row>
    <row r="111" spans="46:80" ht="15.95" hidden="1" customHeight="1" x14ac:dyDescent="0.25">
      <c r="CA111" s="416"/>
      <c r="CB111" s="28"/>
    </row>
    <row r="112" spans="46:80" ht="15.95" hidden="1" customHeight="1" x14ac:dyDescent="0.25">
      <c r="CA112" s="416"/>
      <c r="CB112" s="28"/>
    </row>
    <row r="113" spans="79:80" ht="15.95" hidden="1" customHeight="1" x14ac:dyDescent="0.25">
      <c r="CA113" s="416"/>
      <c r="CB113" s="28"/>
    </row>
    <row r="114" spans="79:80" ht="15.95" hidden="1" customHeight="1" x14ac:dyDescent="0.25">
      <c r="CA114" s="416"/>
      <c r="CB114" s="28"/>
    </row>
    <row r="115" spans="79:80" ht="15.95" hidden="1" customHeight="1" x14ac:dyDescent="0.25">
      <c r="CA115" s="416"/>
      <c r="CB115" s="28"/>
    </row>
    <row r="116" spans="79:80" ht="15.95" hidden="1" customHeight="1" x14ac:dyDescent="0.25">
      <c r="CA116" s="416"/>
      <c r="CB116" s="28"/>
    </row>
    <row r="117" spans="79:80" ht="15.95" hidden="1" customHeight="1" x14ac:dyDescent="0.25">
      <c r="CA117" s="416"/>
      <c r="CB117" s="28"/>
    </row>
    <row r="118" spans="79:80" ht="15.95" hidden="1" customHeight="1" x14ac:dyDescent="0.25">
      <c r="CA118" s="416"/>
      <c r="CB118" s="28"/>
    </row>
    <row r="119" spans="79:80" ht="15.95" hidden="1" customHeight="1" x14ac:dyDescent="0.25">
      <c r="CA119" s="416"/>
      <c r="CB119" s="28"/>
    </row>
    <row r="120" spans="79:80" ht="15.95" hidden="1" customHeight="1" x14ac:dyDescent="0.25">
      <c r="CA120" s="416"/>
      <c r="CB120" s="28"/>
    </row>
    <row r="121" spans="79:80" ht="15.95" hidden="1" customHeight="1" x14ac:dyDescent="0.25">
      <c r="CA121" s="416"/>
      <c r="CB121" s="28"/>
    </row>
    <row r="122" spans="79:80" ht="15.95" hidden="1" customHeight="1" x14ac:dyDescent="0.25">
      <c r="CA122" s="416"/>
      <c r="CB122" s="28"/>
    </row>
    <row r="123" spans="79:80" ht="15.95" hidden="1" customHeight="1" x14ac:dyDescent="0.25">
      <c r="CA123" s="416"/>
      <c r="CB123" s="28"/>
    </row>
    <row r="124" spans="79:80" ht="15.95" hidden="1" customHeight="1" x14ac:dyDescent="0.25">
      <c r="CA124" s="416"/>
      <c r="CB124" s="28"/>
    </row>
    <row r="125" spans="79:80" ht="15.95" hidden="1" customHeight="1" x14ac:dyDescent="0.25">
      <c r="CA125" s="416"/>
      <c r="CB125" s="28"/>
    </row>
    <row r="126" spans="79:80" ht="15.95" hidden="1" customHeight="1" x14ac:dyDescent="0.25">
      <c r="CA126" s="416"/>
      <c r="CB126" s="28"/>
    </row>
    <row r="127" spans="79:80" ht="15.95" hidden="1" customHeight="1" x14ac:dyDescent="0.25">
      <c r="CA127" s="416"/>
      <c r="CB127" s="28"/>
    </row>
    <row r="128" spans="79:80" ht="15.95" hidden="1" customHeight="1" x14ac:dyDescent="0.25">
      <c r="CA128" s="416"/>
      <c r="CB128" s="28"/>
    </row>
    <row r="129" spans="79:80" ht="15.95" hidden="1" customHeight="1" x14ac:dyDescent="0.25">
      <c r="CA129" s="416"/>
      <c r="CB129" s="28"/>
    </row>
    <row r="130" spans="79:80" ht="15.95" hidden="1" customHeight="1" x14ac:dyDescent="0.25">
      <c r="CA130" s="416"/>
      <c r="CB130" s="28"/>
    </row>
    <row r="131" spans="79:80" ht="15.95" hidden="1" customHeight="1" x14ac:dyDescent="0.25">
      <c r="CA131" s="416"/>
      <c r="CB131" s="28"/>
    </row>
    <row r="132" spans="79:80" ht="15.95" hidden="1" customHeight="1" x14ac:dyDescent="0.25">
      <c r="CA132" s="416"/>
      <c r="CB132" s="28"/>
    </row>
    <row r="133" spans="79:80" ht="15.95" hidden="1" customHeight="1" x14ac:dyDescent="0.25">
      <c r="CA133" s="416"/>
      <c r="CB133" s="28"/>
    </row>
    <row r="134" spans="79:80" ht="15.95" hidden="1" customHeight="1" x14ac:dyDescent="0.25">
      <c r="CA134" s="416"/>
      <c r="CB134" s="28"/>
    </row>
    <row r="135" spans="79:80" ht="15.95" hidden="1" customHeight="1" x14ac:dyDescent="0.25">
      <c r="CA135" s="416"/>
      <c r="CB135" s="28"/>
    </row>
    <row r="136" spans="79:80" ht="15.95" hidden="1" customHeight="1" x14ac:dyDescent="0.25">
      <c r="CA136" s="416"/>
      <c r="CB136" s="28"/>
    </row>
    <row r="137" spans="79:80" ht="15.95" hidden="1" customHeight="1" x14ac:dyDescent="0.25">
      <c r="CA137" s="416"/>
      <c r="CB137" s="28"/>
    </row>
    <row r="138" spans="79:80" ht="15.95" hidden="1" customHeight="1" x14ac:dyDescent="0.25">
      <c r="CA138" s="416"/>
      <c r="CB138" s="28"/>
    </row>
    <row r="139" spans="79:80" ht="15.95" hidden="1" customHeight="1" x14ac:dyDescent="0.25">
      <c r="CA139" s="416"/>
      <c r="CB139" s="28"/>
    </row>
    <row r="140" spans="79:80" ht="15.95" hidden="1" customHeight="1" x14ac:dyDescent="0.25">
      <c r="CA140" s="416"/>
      <c r="CB140" s="28"/>
    </row>
    <row r="141" spans="79:80" ht="15.95" hidden="1" customHeight="1" x14ac:dyDescent="0.25">
      <c r="CA141" s="416"/>
      <c r="CB141" s="28"/>
    </row>
    <row r="142" spans="79:80" ht="15.95" hidden="1" customHeight="1" x14ac:dyDescent="0.25">
      <c r="CA142" s="416"/>
      <c r="CB142" s="28"/>
    </row>
    <row r="143" spans="79:80" ht="15.95" hidden="1" customHeight="1" x14ac:dyDescent="0.25">
      <c r="CA143" s="416"/>
      <c r="CB143" s="28"/>
    </row>
    <row r="144" spans="79:80" ht="15.95" hidden="1" customHeight="1" x14ac:dyDescent="0.25">
      <c r="CA144" s="416"/>
      <c r="CB144" s="28"/>
    </row>
    <row r="145" spans="79:80" ht="15.95" hidden="1" customHeight="1" x14ac:dyDescent="0.25">
      <c r="CA145" s="416"/>
      <c r="CB145" s="28"/>
    </row>
    <row r="146" spans="79:80" ht="15.95" hidden="1" customHeight="1" x14ac:dyDescent="0.25">
      <c r="CA146" s="416"/>
      <c r="CB146" s="28"/>
    </row>
    <row r="147" spans="79:80" ht="15.95" hidden="1" customHeight="1" x14ac:dyDescent="0.25">
      <c r="CA147" s="416"/>
      <c r="CB147" s="28"/>
    </row>
    <row r="148" spans="79:80" ht="15.95" hidden="1" customHeight="1" x14ac:dyDescent="0.25">
      <c r="CA148" s="416"/>
      <c r="CB148" s="28"/>
    </row>
    <row r="149" spans="79:80" ht="15.95" hidden="1" customHeight="1" x14ac:dyDescent="0.25">
      <c r="CA149" s="416"/>
      <c r="CB149" s="28"/>
    </row>
    <row r="150" spans="79:80" ht="15.95" hidden="1" customHeight="1" x14ac:dyDescent="0.25">
      <c r="CA150" s="416"/>
      <c r="CB150" s="28"/>
    </row>
    <row r="151" spans="79:80" ht="15.95" hidden="1" customHeight="1" x14ac:dyDescent="0.25">
      <c r="CA151" s="416"/>
      <c r="CB151" s="28"/>
    </row>
    <row r="152" spans="79:80" ht="15.95" hidden="1" customHeight="1" x14ac:dyDescent="0.25">
      <c r="CA152" s="416"/>
      <c r="CB152" s="28"/>
    </row>
    <row r="153" spans="79:80" ht="15.95" hidden="1" customHeight="1" x14ac:dyDescent="0.25">
      <c r="CA153" s="416"/>
      <c r="CB153" s="28"/>
    </row>
    <row r="154" spans="79:80" ht="15.95" hidden="1" customHeight="1" x14ac:dyDescent="0.25">
      <c r="CA154" s="416"/>
      <c r="CB154" s="28"/>
    </row>
    <row r="155" spans="79:80" ht="15.95" hidden="1" customHeight="1" x14ac:dyDescent="0.25">
      <c r="CA155" s="416"/>
      <c r="CB155" s="28"/>
    </row>
    <row r="156" spans="79:80" ht="15.95" hidden="1" customHeight="1" x14ac:dyDescent="0.25">
      <c r="CA156" s="416"/>
      <c r="CB156" s="28"/>
    </row>
    <row r="157" spans="79:80" ht="15.95" hidden="1" customHeight="1" x14ac:dyDescent="0.25">
      <c r="CA157" s="416"/>
      <c r="CB157" s="28"/>
    </row>
    <row r="158" spans="79:80" ht="15.95" hidden="1" customHeight="1" x14ac:dyDescent="0.25">
      <c r="CA158" s="416"/>
      <c r="CB158" s="28"/>
    </row>
    <row r="159" spans="79:80" ht="15.95" hidden="1" customHeight="1" x14ac:dyDescent="0.25">
      <c r="CA159" s="416"/>
      <c r="CB159" s="28"/>
    </row>
    <row r="160" spans="79:80" ht="15.95" hidden="1" customHeight="1" x14ac:dyDescent="0.25">
      <c r="CA160" s="416"/>
      <c r="CB160" s="28"/>
    </row>
    <row r="161" spans="79:80" ht="15.95" hidden="1" customHeight="1" x14ac:dyDescent="0.25">
      <c r="CA161" s="416"/>
      <c r="CB161" s="28"/>
    </row>
    <row r="162" spans="79:80" ht="15.95" hidden="1" customHeight="1" x14ac:dyDescent="0.25">
      <c r="CA162" s="416"/>
      <c r="CB162" s="28"/>
    </row>
    <row r="163" spans="79:80" ht="15.95" hidden="1" customHeight="1" x14ac:dyDescent="0.25">
      <c r="CA163" s="416"/>
      <c r="CB163" s="28"/>
    </row>
    <row r="164" spans="79:80" ht="15.95" hidden="1" customHeight="1" x14ac:dyDescent="0.25">
      <c r="CA164" s="416"/>
      <c r="CB164" s="28"/>
    </row>
    <row r="165" spans="79:80" ht="15.95" hidden="1" customHeight="1" x14ac:dyDescent="0.25">
      <c r="CA165" s="416"/>
      <c r="CB165" s="28"/>
    </row>
    <row r="166" spans="79:80" ht="15.95" hidden="1" customHeight="1" x14ac:dyDescent="0.25">
      <c r="CA166" s="416"/>
      <c r="CB166" s="28"/>
    </row>
    <row r="167" spans="79:80" ht="15.95" hidden="1" customHeight="1" x14ac:dyDescent="0.25">
      <c r="CA167" s="416"/>
      <c r="CB167" s="28"/>
    </row>
    <row r="168" spans="79:80" ht="15.95" hidden="1" customHeight="1" x14ac:dyDescent="0.25">
      <c r="CA168" s="416"/>
      <c r="CB168" s="28"/>
    </row>
    <row r="169" spans="79:80" ht="15.95" hidden="1" customHeight="1" x14ac:dyDescent="0.25">
      <c r="CA169" s="416"/>
      <c r="CB169" s="28"/>
    </row>
    <row r="170" spans="79:80" ht="15.95" hidden="1" customHeight="1" x14ac:dyDescent="0.25">
      <c r="CA170" s="416"/>
      <c r="CB170" s="28"/>
    </row>
    <row r="171" spans="79:80" ht="15.95" hidden="1" customHeight="1" x14ac:dyDescent="0.25">
      <c r="CA171" s="416"/>
      <c r="CB171" s="28"/>
    </row>
    <row r="172" spans="79:80" ht="15.95" hidden="1" customHeight="1" x14ac:dyDescent="0.25">
      <c r="CA172" s="416"/>
      <c r="CB172" s="28"/>
    </row>
    <row r="173" spans="79:80" ht="15.95" hidden="1" customHeight="1" x14ac:dyDescent="0.25">
      <c r="CA173" s="416"/>
      <c r="CB173" s="28"/>
    </row>
    <row r="174" spans="79:80" ht="15.95" hidden="1" customHeight="1" x14ac:dyDescent="0.25">
      <c r="CA174" s="416"/>
      <c r="CB174" s="28"/>
    </row>
    <row r="175" spans="79:80" ht="15.95" hidden="1" customHeight="1" x14ac:dyDescent="0.25">
      <c r="CA175" s="416"/>
      <c r="CB175" s="28"/>
    </row>
    <row r="176" spans="79:80" ht="15.95" hidden="1" customHeight="1" x14ac:dyDescent="0.25">
      <c r="CA176" s="416"/>
      <c r="CB176" s="28"/>
    </row>
    <row r="177" spans="79:80" ht="15.95" hidden="1" customHeight="1" x14ac:dyDescent="0.25">
      <c r="CA177" s="416"/>
      <c r="CB177" s="28"/>
    </row>
    <row r="178" spans="79:80" ht="15.95" hidden="1" customHeight="1" x14ac:dyDescent="0.25">
      <c r="CA178" s="416"/>
      <c r="CB178" s="28"/>
    </row>
    <row r="179" spans="79:80" ht="15.95" hidden="1" customHeight="1" x14ac:dyDescent="0.25">
      <c r="CA179" s="416"/>
      <c r="CB179" s="28"/>
    </row>
    <row r="180" spans="79:80" ht="15.95" hidden="1" customHeight="1" x14ac:dyDescent="0.25">
      <c r="CA180" s="416"/>
      <c r="CB180" s="28"/>
    </row>
    <row r="181" spans="79:80" ht="15.95" hidden="1" customHeight="1" x14ac:dyDescent="0.25">
      <c r="CA181" s="416"/>
      <c r="CB181" s="28"/>
    </row>
    <row r="182" spans="79:80" ht="15.95" hidden="1" customHeight="1" x14ac:dyDescent="0.25">
      <c r="CA182" s="416"/>
      <c r="CB182" s="28"/>
    </row>
    <row r="183" spans="79:80" ht="15.95" hidden="1" customHeight="1" x14ac:dyDescent="0.25">
      <c r="CA183" s="416"/>
      <c r="CB183" s="28"/>
    </row>
    <row r="184" spans="79:80" ht="15.95" hidden="1" customHeight="1" x14ac:dyDescent="0.25">
      <c r="CA184" s="416"/>
      <c r="CB184" s="28"/>
    </row>
    <row r="185" spans="79:80" ht="15.95" hidden="1" customHeight="1" x14ac:dyDescent="0.25">
      <c r="CA185" s="416"/>
      <c r="CB185" s="28"/>
    </row>
    <row r="186" spans="79:80" ht="15.95" hidden="1" customHeight="1" x14ac:dyDescent="0.25">
      <c r="CA186" s="416"/>
      <c r="CB186" s="28"/>
    </row>
    <row r="187" spans="79:80" ht="15.95" hidden="1" customHeight="1" x14ac:dyDescent="0.25">
      <c r="CA187" s="416"/>
      <c r="CB187" s="28"/>
    </row>
    <row r="188" spans="79:80" ht="15.95" hidden="1" customHeight="1" x14ac:dyDescent="0.25">
      <c r="CA188" s="416"/>
      <c r="CB188" s="28"/>
    </row>
    <row r="189" spans="79:80" ht="15.95" hidden="1" customHeight="1" x14ac:dyDescent="0.25">
      <c r="CA189" s="416"/>
      <c r="CB189" s="28"/>
    </row>
    <row r="190" spans="79:80" ht="15.95" hidden="1" customHeight="1" x14ac:dyDescent="0.25">
      <c r="CA190" s="416"/>
      <c r="CB190" s="28"/>
    </row>
    <row r="191" spans="79:80" ht="15.95" hidden="1" customHeight="1" x14ac:dyDescent="0.25">
      <c r="CA191" s="416"/>
      <c r="CB191" s="28"/>
    </row>
    <row r="192" spans="79:80" ht="15.95" hidden="1" customHeight="1" x14ac:dyDescent="0.25">
      <c r="CA192" s="416"/>
      <c r="CB192" s="28"/>
    </row>
    <row r="193" spans="2:80" ht="15.95" hidden="1" customHeight="1" x14ac:dyDescent="0.25">
      <c r="CA193" s="416"/>
      <c r="CB193" s="28"/>
    </row>
    <row r="194" spans="2:80" ht="15.95" hidden="1" customHeight="1" x14ac:dyDescent="0.25">
      <c r="CA194" s="416"/>
      <c r="CB194" s="28"/>
    </row>
    <row r="195" spans="2:80" ht="15.95" hidden="1" customHeight="1" x14ac:dyDescent="0.25">
      <c r="CA195" s="416"/>
      <c r="CB195" s="28"/>
    </row>
    <row r="196" spans="2:80" ht="15.95" hidden="1" customHeight="1" x14ac:dyDescent="0.25">
      <c r="CA196" s="416"/>
      <c r="CB196" s="28"/>
    </row>
    <row r="197" spans="2:80" ht="15.95" hidden="1" customHeight="1" x14ac:dyDescent="0.25">
      <c r="CA197" s="416"/>
      <c r="CB197" s="28"/>
    </row>
    <row r="198" spans="2:80" ht="15.95" hidden="1" customHeight="1" x14ac:dyDescent="0.25"/>
    <row r="199" spans="2:80" ht="15.95" hidden="1" customHeight="1" x14ac:dyDescent="0.25"/>
    <row r="200" spans="2:80" ht="15.95" customHeight="1" x14ac:dyDescent="0.25">
      <c r="B200" s="391" t="str">
        <f>FOOT1</f>
        <v>Ameren Missouri BizSavers program</v>
      </c>
      <c r="C200" s="391"/>
      <c r="D200" s="391"/>
      <c r="E200" s="391"/>
      <c r="F200" s="391"/>
      <c r="G200" s="391"/>
      <c r="H200" s="391"/>
      <c r="I200" s="391"/>
      <c r="J200" s="391"/>
      <c r="K200" s="391"/>
      <c r="L200" s="391"/>
      <c r="M200" s="1467" t="str">
        <f>FOOTDISCLAIM</f>
        <v/>
      </c>
      <c r="N200" s="1467"/>
      <c r="O200" s="1467"/>
      <c r="P200" s="1467"/>
      <c r="Q200" s="1467"/>
      <c r="R200" s="1467"/>
      <c r="S200" s="1467"/>
      <c r="T200" s="1467"/>
      <c r="U200" s="1467"/>
      <c r="V200" s="1467"/>
      <c r="W200" s="1467"/>
      <c r="X200" s="1467"/>
      <c r="Y200" s="1467"/>
      <c r="Z200" s="1467"/>
      <c r="AA200" s="1467"/>
      <c r="AB200" s="1467"/>
      <c r="AC200" s="1467"/>
      <c r="AD200" s="1467"/>
      <c r="AE200" s="1467"/>
      <c r="AF200" s="1467"/>
      <c r="AG200" s="1467"/>
      <c r="AH200" s="391"/>
      <c r="AI200" s="391"/>
      <c r="AJ200" s="391"/>
      <c r="AK200" s="391"/>
      <c r="AL200" s="391"/>
      <c r="AM200" s="391"/>
      <c r="AN200" s="391"/>
      <c r="AO200" s="391"/>
      <c r="AP200" s="391"/>
      <c r="AQ200" s="391"/>
      <c r="AR200" s="392" t="str">
        <f>FOOT4</f>
        <v/>
      </c>
    </row>
    <row r="201" spans="2:80" ht="15.95" customHeight="1" x14ac:dyDescent="0.25">
      <c r="B201" s="391" t="str">
        <f>FOOT2</f>
        <v>Toll-Free 866-941-7299</v>
      </c>
      <c r="C201" s="391"/>
      <c r="D201" s="391"/>
      <c r="E201" s="391"/>
      <c r="F201" s="391"/>
      <c r="G201" s="391"/>
      <c r="H201" s="391"/>
      <c r="I201" s="391"/>
      <c r="J201" s="391"/>
      <c r="K201" s="391"/>
      <c r="L201" s="391"/>
      <c r="M201" s="1467"/>
      <c r="N201" s="1467"/>
      <c r="O201" s="1467"/>
      <c r="P201" s="1467"/>
      <c r="Q201" s="1467"/>
      <c r="R201" s="1467"/>
      <c r="S201" s="1467"/>
      <c r="T201" s="1467"/>
      <c r="U201" s="1467"/>
      <c r="V201" s="1467"/>
      <c r="W201" s="1467"/>
      <c r="X201" s="1467"/>
      <c r="Y201" s="1467"/>
      <c r="Z201" s="1467"/>
      <c r="AA201" s="1467"/>
      <c r="AB201" s="1467"/>
      <c r="AC201" s="1467"/>
      <c r="AD201" s="1467"/>
      <c r="AE201" s="1467"/>
      <c r="AF201" s="1467"/>
      <c r="AG201" s="1467"/>
      <c r="AH201" s="391"/>
      <c r="AI201" s="391"/>
      <c r="AJ201" s="391"/>
      <c r="AK201" s="391"/>
      <c r="AL201" s="391"/>
      <c r="AM201" s="391"/>
      <c r="AN201" s="391"/>
      <c r="AO201" s="391"/>
      <c r="AP201" s="391"/>
      <c r="AQ201" s="391"/>
      <c r="AR201" s="392" t="str">
        <f>FOOT5</f>
        <v/>
      </c>
    </row>
    <row r="202" spans="2:80" ht="15.95" customHeight="1" x14ac:dyDescent="0.25">
      <c r="B202" s="393" t="str">
        <f>FOOT3</f>
        <v>BizSavers@ameren.com</v>
      </c>
      <c r="C202" s="391"/>
      <c r="D202" s="391"/>
      <c r="E202" s="391"/>
      <c r="F202" s="391"/>
      <c r="G202" s="391"/>
      <c r="H202" s="391"/>
      <c r="I202" s="391"/>
      <c r="J202" s="391"/>
      <c r="K202" s="391"/>
      <c r="L202" s="391"/>
      <c r="M202" s="394"/>
      <c r="N202" s="391"/>
      <c r="O202" s="391"/>
      <c r="P202" s="394"/>
      <c r="Q202" s="394"/>
      <c r="R202" s="394"/>
      <c r="S202" s="394"/>
      <c r="T202" s="394"/>
      <c r="U202" s="394"/>
      <c r="V202" s="394"/>
      <c r="W202" s="395" t="str">
        <f>VERSION</f>
        <v>New Construction v3.8.0</v>
      </c>
      <c r="X202" s="394"/>
      <c r="Y202" s="394"/>
      <c r="Z202" s="394"/>
      <c r="AA202" s="394"/>
      <c r="AB202" s="394"/>
      <c r="AC202" s="394"/>
      <c r="AD202" s="394"/>
      <c r="AE202" s="391"/>
      <c r="AF202" s="391"/>
      <c r="AG202" s="391"/>
      <c r="AH202" s="391"/>
      <c r="AI202" s="391"/>
      <c r="AJ202" s="391"/>
      <c r="AK202" s="391"/>
      <c r="AL202" s="391"/>
      <c r="AM202" s="391"/>
      <c r="AN202" s="391"/>
      <c r="AO202" s="391"/>
      <c r="AP202" s="391"/>
      <c r="AQ202" s="391"/>
      <c r="AR202" s="392" t="str">
        <f>FOOT6</f>
        <v>Product of TRC Companies</v>
      </c>
    </row>
    <row r="203" spans="2:80" ht="15" hidden="1" customHeight="1" x14ac:dyDescent="0.25"/>
    <row r="204" spans="2:80" ht="15" hidden="1" customHeight="1" x14ac:dyDescent="0.25"/>
    <row r="205" spans="2:80" ht="15" hidden="1" customHeight="1" x14ac:dyDescent="0.25"/>
    <row r="206" spans="2:80" ht="15" hidden="1" customHeight="1" x14ac:dyDescent="0.25"/>
    <row r="207" spans="2:80" ht="15" hidden="1" customHeight="1" x14ac:dyDescent="0.25"/>
    <row r="208" spans="2:80"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sheetData>
  <sheetProtection algorithmName="SHA-512" hashValue="2ANWkRZ4O+OfhA0b2efFyt3jpmYAcDIvPiT38LNb2wy+5NqjeObCnu5R8e2DSQ2RGBxkCOlsSNC3w8siLKjoZw==" saltValue="mQ8z64c2WbsEyXsYJnqfxg==" spinCount="100000" sheet="1" objects="1" scenarios="1" selectLockedCells="1"/>
  <mergeCells count="102">
    <mergeCell ref="AQ1:AR1"/>
    <mergeCell ref="AQ2:AR3"/>
    <mergeCell ref="W27:AC27"/>
    <mergeCell ref="AD27:AJ27"/>
    <mergeCell ref="P28:V28"/>
    <mergeCell ref="W28:AC28"/>
    <mergeCell ref="AD28:AJ28"/>
    <mergeCell ref="P29:V29"/>
    <mergeCell ref="W29:AC29"/>
    <mergeCell ref="AD29:AJ29"/>
    <mergeCell ref="F10:AN10"/>
    <mergeCell ref="F11:AN12"/>
    <mergeCell ref="K19:AI20"/>
    <mergeCell ref="K21:AI22"/>
    <mergeCell ref="K24:O32"/>
    <mergeCell ref="P24:V24"/>
    <mergeCell ref="W24:AC24"/>
    <mergeCell ref="AD24:AJ24"/>
    <mergeCell ref="P25:V25"/>
    <mergeCell ref="W25:AC25"/>
    <mergeCell ref="AD25:AJ25"/>
    <mergeCell ref="P26:V26"/>
    <mergeCell ref="W26:AC26"/>
    <mergeCell ref="AD26:AJ26"/>
    <mergeCell ref="K40:AJ41"/>
    <mergeCell ref="K42:O42"/>
    <mergeCell ref="P42:V42"/>
    <mergeCell ref="W42:AC42"/>
    <mergeCell ref="M200:AG201"/>
    <mergeCell ref="AH1:AK1"/>
    <mergeCell ref="AL1:AP1"/>
    <mergeCell ref="AH2:AK3"/>
    <mergeCell ref="AL2:AP3"/>
    <mergeCell ref="P30:V30"/>
    <mergeCell ref="W30:AC30"/>
    <mergeCell ref="AD30:AJ30"/>
    <mergeCell ref="P31:V31"/>
    <mergeCell ref="W31:AC31"/>
    <mergeCell ref="AD31:AJ31"/>
    <mergeCell ref="P32:V32"/>
    <mergeCell ref="W32:AC32"/>
    <mergeCell ref="AD32:AJ32"/>
    <mergeCell ref="P27:V27"/>
    <mergeCell ref="K34:O38"/>
    <mergeCell ref="P34:V34"/>
    <mergeCell ref="W34:AC34"/>
    <mergeCell ref="AD34:AJ34"/>
    <mergeCell ref="P35:V35"/>
    <mergeCell ref="W35:AC35"/>
    <mergeCell ref="AD35:AJ35"/>
    <mergeCell ref="P36:V36"/>
    <mergeCell ref="W36:AC36"/>
    <mergeCell ref="AD36:AJ36"/>
    <mergeCell ref="P37:V37"/>
    <mergeCell ref="W37:AC37"/>
    <mergeCell ref="AD37:AJ37"/>
    <mergeCell ref="P38:V38"/>
    <mergeCell ref="W38:AC38"/>
    <mergeCell ref="AD38:AJ38"/>
    <mergeCell ref="AD42:AI42"/>
    <mergeCell ref="K43:O43"/>
    <mergeCell ref="P43:V43"/>
    <mergeCell ref="W43:AC43"/>
    <mergeCell ref="AD43:AI43"/>
    <mergeCell ref="K66:M66"/>
    <mergeCell ref="K67:M67"/>
    <mergeCell ref="N65:U65"/>
    <mergeCell ref="N66:U66"/>
    <mergeCell ref="N67:U67"/>
    <mergeCell ref="K47:O47"/>
    <mergeCell ref="P47:V47"/>
    <mergeCell ref="W47:AC47"/>
    <mergeCell ref="AD47:AI47"/>
    <mergeCell ref="X56:AJ58"/>
    <mergeCell ref="K44:O44"/>
    <mergeCell ref="P44:V44"/>
    <mergeCell ref="W44:AC44"/>
    <mergeCell ref="AD44:AI44"/>
    <mergeCell ref="J77:AJ78"/>
    <mergeCell ref="K46:O46"/>
    <mergeCell ref="P46:V46"/>
    <mergeCell ref="W46:AC46"/>
    <mergeCell ref="AD46:AI46"/>
    <mergeCell ref="J69:AJ76"/>
    <mergeCell ref="J59:V60"/>
    <mergeCell ref="K49:U50"/>
    <mergeCell ref="K57:U58"/>
    <mergeCell ref="Y49:AI50"/>
    <mergeCell ref="Y60:AI62"/>
    <mergeCell ref="Y51:AI52"/>
    <mergeCell ref="Y53:AI54"/>
    <mergeCell ref="J51:V56"/>
    <mergeCell ref="K65:M65"/>
    <mergeCell ref="X63:AJ65"/>
    <mergeCell ref="K61:M61"/>
    <mergeCell ref="K62:M62"/>
    <mergeCell ref="K63:M63"/>
    <mergeCell ref="K64:M64"/>
    <mergeCell ref="N61:U61"/>
    <mergeCell ref="N62:U62"/>
    <mergeCell ref="N63:U63"/>
    <mergeCell ref="N64:U64"/>
  </mergeCells>
  <conditionalFormatting sqref="CA56:CB56">
    <cfRule type="cellIs" dxfId="30" priority="85" operator="equal">
      <formula>""</formula>
    </cfRule>
  </conditionalFormatting>
  <conditionalFormatting sqref="CA38:CB41">
    <cfRule type="cellIs" dxfId="29" priority="83" operator="equal">
      <formula>""</formula>
    </cfRule>
  </conditionalFormatting>
  <conditionalFormatting sqref="Y51">
    <cfRule type="expression" dxfId="28" priority="19">
      <formula>Y51&lt;&gt;"sign here"</formula>
    </cfRule>
  </conditionalFormatting>
  <conditionalFormatting sqref="Y51">
    <cfRule type="containsBlanks" dxfId="27" priority="18">
      <formula>LEN(TRIM(Y51))=0</formula>
    </cfRule>
  </conditionalFormatting>
  <conditionalFormatting sqref="Y53">
    <cfRule type="expression" dxfId="26" priority="17">
      <formula>Y53&lt;&gt;"date here"</formula>
    </cfRule>
  </conditionalFormatting>
  <conditionalFormatting sqref="Y53">
    <cfRule type="containsBlanks" dxfId="25" priority="16">
      <formula>LEN(TRIM(Y53))=0</formula>
    </cfRule>
  </conditionalFormatting>
  <conditionalFormatting sqref="AQ2:AR3">
    <cfRule type="cellIs" dxfId="24" priority="3" operator="equal">
      <formula>1</formula>
    </cfRule>
    <cfRule type="cellIs" dxfId="23" priority="4" operator="between">
      <formula>0.51</formula>
      <formula>0.99</formula>
    </cfRule>
    <cfRule type="cellIs" dxfId="22" priority="5" operator="lessThanOrEqual">
      <formula>0.5</formula>
    </cfRule>
  </conditionalFormatting>
  <conditionalFormatting sqref="AH2 AL2">
    <cfRule type="expression" dxfId="21" priority="1">
      <formula>OR(PROJSTATUS=PROJSTATELI,PROJSTATUS=PROJSTATEXP,PROJSTATUS=PROJSTATUNDER)</formula>
    </cfRule>
    <cfRule type="expression" dxfId="20" priority="2">
      <formula>PROJSTATUS=PROJSTATFILLINITIAL</formula>
    </cfRule>
    <cfRule type="expression" dxfId="19" priority="6">
      <formula>PROJSTATUS=PROJSTATPREAPPROVE</formula>
    </cfRule>
    <cfRule type="expression" dxfId="18" priority="7">
      <formula>OR(PROJSTATUS=PROJSTATSSUBMITINITIAL,PROJSTATUS=PROJSTATREVIEW)</formula>
    </cfRule>
  </conditionalFormatting>
  <hyperlinks>
    <hyperlink ref="B202" r:id="rId1" display="NIPSCO.Savings@LMCO.com" xr:uid="{00000000-0004-0000-2A00-000000000000}"/>
  </hyperlinks>
  <printOptions horizontalCentered="1" verticalCentered="1"/>
  <pageMargins left="0.3" right="0.3" top="0.3" bottom="0.3" header="0.25" footer="0.25"/>
  <pageSetup scale="78"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40963" r:id="rId5" name="Check Box 3">
              <controlPr defaultSize="0" autoFill="0" autoLine="0" autoPict="0">
                <anchor moveWithCells="1">
                  <from>
                    <xdr:col>24</xdr:col>
                    <xdr:colOff>9525</xdr:colOff>
                    <xdr:row>64</xdr:row>
                    <xdr:rowOff>171450</xdr:rowOff>
                  </from>
                  <to>
                    <xdr:col>25</xdr:col>
                    <xdr:colOff>0</xdr:colOff>
                    <xdr:row>65</xdr:row>
                    <xdr:rowOff>190500</xdr:rowOff>
                  </to>
                </anchor>
              </controlPr>
            </control>
          </mc:Choice>
        </mc:AlternateContent>
        <mc:AlternateContent xmlns:mc="http://schemas.openxmlformats.org/markup-compatibility/2006">
          <mc:Choice Requires="x14">
            <control shapeId="40964" r:id="rId6" name="Check Box 4">
              <controlPr defaultSize="0" autoFill="0" autoLine="0" autoPict="0">
                <anchor moveWithCells="1">
                  <from>
                    <xdr:col>24</xdr:col>
                    <xdr:colOff>9525</xdr:colOff>
                    <xdr:row>65</xdr:row>
                    <xdr:rowOff>171450</xdr:rowOff>
                  </from>
                  <to>
                    <xdr:col>25</xdr:col>
                    <xdr:colOff>0</xdr:colOff>
                    <xdr:row>66</xdr:row>
                    <xdr:rowOff>190500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1:AS203"/>
  <sheetViews>
    <sheetView showGridLines="0" showRowColHeaders="0" zoomScale="85" zoomScaleNormal="85" workbookViewId="0">
      <selection activeCell="J44" sqref="J44:Q44"/>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6:44" ht="15.95" customHeight="1" x14ac:dyDescent="0.3">
      <c r="AH1" s="711" t="s">
        <v>494</v>
      </c>
      <c r="AI1" s="712"/>
      <c r="AJ1" s="712"/>
      <c r="AK1" s="712"/>
      <c r="AL1" s="723" t="s">
        <v>911</v>
      </c>
      <c r="AM1" s="723"/>
      <c r="AN1" s="723"/>
      <c r="AO1" s="723"/>
      <c r="AP1" s="723"/>
      <c r="AQ1" s="717" t="s">
        <v>499</v>
      </c>
      <c r="AR1" s="718"/>
    </row>
    <row r="2" spans="6:44" ht="15.95" customHeight="1" x14ac:dyDescent="0.25">
      <c r="AH2" s="713" t="str">
        <f ca="1">INCENSTATUS</f>
        <v>---</v>
      </c>
      <c r="AI2" s="714"/>
      <c r="AJ2" s="714"/>
      <c r="AK2" s="714"/>
      <c r="AL2" s="724" t="str">
        <f ca="1">PROJSTATUS</f>
        <v>Please Complete Initial Application</v>
      </c>
      <c r="AM2" s="724"/>
      <c r="AN2" s="724"/>
      <c r="AO2" s="724"/>
      <c r="AP2" s="724"/>
      <c r="AQ2" s="719">
        <f ca="1">PROGRESSSTATUS</f>
        <v>0</v>
      </c>
      <c r="AR2" s="720"/>
    </row>
    <row r="3" spans="6:44" ht="15.95" customHeight="1" x14ac:dyDescent="0.25">
      <c r="AH3" s="715"/>
      <c r="AI3" s="716"/>
      <c r="AJ3" s="716"/>
      <c r="AK3" s="716"/>
      <c r="AL3" s="725"/>
      <c r="AM3" s="725"/>
      <c r="AN3" s="725"/>
      <c r="AO3" s="725"/>
      <c r="AP3" s="725"/>
      <c r="AQ3" s="721"/>
      <c r="AR3" s="722"/>
    </row>
    <row r="4" spans="6:44" ht="15.95" customHeight="1" x14ac:dyDescent="0.25">
      <c r="AG4" s="63"/>
    </row>
    <row r="5" spans="6:44" ht="15.95" customHeight="1" x14ac:dyDescent="0.25"/>
    <row r="6" spans="6:44" ht="15.95" customHeight="1" x14ac:dyDescent="0.25"/>
    <row r="7" spans="6:44" ht="15.95" customHeight="1" x14ac:dyDescent="0.25"/>
    <row r="8" spans="6:44" ht="15.95" customHeight="1" x14ac:dyDescent="0.25"/>
    <row r="9" spans="6:44" ht="15.95" customHeight="1" x14ac:dyDescent="0.25"/>
    <row r="10" spans="6:44" ht="15.95" customHeight="1" x14ac:dyDescent="0.3">
      <c r="F10" s="732" t="s">
        <v>253</v>
      </c>
      <c r="G10" s="732"/>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2"/>
      <c r="AL10" s="732"/>
      <c r="AM10" s="732"/>
      <c r="AN10" s="732"/>
    </row>
    <row r="11" spans="6:44" ht="15.95" customHeight="1" x14ac:dyDescent="0.25">
      <c r="F11" s="734" t="s">
        <v>569</v>
      </c>
      <c r="G11" s="734"/>
      <c r="H11" s="734"/>
      <c r="I11" s="734"/>
      <c r="J11" s="734"/>
      <c r="K11" s="734"/>
      <c r="L11" s="734"/>
      <c r="M11" s="734"/>
      <c r="N11" s="734"/>
      <c r="O11" s="734"/>
      <c r="P11" s="734"/>
      <c r="Q11" s="734"/>
      <c r="R11" s="734"/>
      <c r="S11" s="734"/>
      <c r="T11" s="734"/>
      <c r="U11" s="734"/>
      <c r="V11" s="734"/>
      <c r="W11" s="734"/>
      <c r="X11" s="734"/>
      <c r="Y11" s="734"/>
      <c r="Z11" s="734"/>
      <c r="AA11" s="734"/>
      <c r="AB11" s="734"/>
      <c r="AC11" s="734"/>
      <c r="AD11" s="734"/>
      <c r="AE11" s="734"/>
      <c r="AF11" s="734"/>
      <c r="AG11" s="734"/>
      <c r="AH11" s="734"/>
      <c r="AI11" s="734"/>
      <c r="AJ11" s="734"/>
      <c r="AK11" s="734"/>
      <c r="AL11" s="734"/>
      <c r="AM11" s="734"/>
      <c r="AN11" s="734"/>
    </row>
    <row r="12" spans="6:44" s="63" customFormat="1" ht="15.95" customHeight="1" x14ac:dyDescent="0.25">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c r="AL12" s="284"/>
      <c r="AM12" s="284"/>
      <c r="AN12" s="284"/>
    </row>
    <row r="13" spans="6:44" ht="15.95" customHeight="1" x14ac:dyDescent="0.25">
      <c r="F13" s="135"/>
      <c r="G13" s="135"/>
      <c r="H13" s="135"/>
      <c r="I13" s="261"/>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c r="AJ13" s="262"/>
      <c r="AK13" s="263"/>
      <c r="AL13" s="135"/>
      <c r="AM13" s="135"/>
      <c r="AN13" s="135"/>
    </row>
    <row r="14" spans="6:44" ht="15.95" customHeight="1" x14ac:dyDescent="0.25">
      <c r="I14" s="286"/>
      <c r="J14" s="285" t="s">
        <v>634</v>
      </c>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87"/>
    </row>
    <row r="15" spans="6:44" ht="15.95" customHeight="1" x14ac:dyDescent="0.25">
      <c r="I15" s="286"/>
      <c r="J15" s="24" t="s">
        <v>549</v>
      </c>
      <c r="K15" s="55"/>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287"/>
    </row>
    <row r="16" spans="6:44" ht="15.95" customHeight="1" x14ac:dyDescent="0.25">
      <c r="I16" s="286"/>
      <c r="J16" s="92" t="s">
        <v>633</v>
      </c>
      <c r="K16" s="56"/>
      <c r="L16" s="56"/>
      <c r="M16" s="56"/>
      <c r="N16" s="56"/>
      <c r="O16" s="56"/>
      <c r="P16" s="56"/>
      <c r="Q16" s="60"/>
      <c r="R16" s="60"/>
      <c r="S16" s="60"/>
      <c r="T16" s="56"/>
      <c r="U16" s="56"/>
      <c r="V16" s="56"/>
      <c r="W16" s="56"/>
      <c r="X16" s="56"/>
      <c r="Y16" s="56"/>
      <c r="Z16" s="56"/>
      <c r="AA16" s="56"/>
      <c r="AB16" s="56"/>
      <c r="AC16" s="56"/>
      <c r="AD16" s="56"/>
      <c r="AE16" s="56"/>
      <c r="AF16" s="56"/>
      <c r="AG16" s="56"/>
      <c r="AH16" s="56"/>
      <c r="AI16" s="56"/>
      <c r="AJ16" s="56"/>
      <c r="AK16" s="287"/>
    </row>
    <row r="17" spans="9:37" ht="15.95" customHeight="1" x14ac:dyDescent="0.25">
      <c r="I17" s="286"/>
      <c r="J17" s="285" t="s">
        <v>1304</v>
      </c>
      <c r="K17" s="93"/>
      <c r="L17" s="93"/>
      <c r="M17" s="60"/>
      <c r="N17" s="1485">
        <f>PROJID</f>
        <v>0</v>
      </c>
      <c r="O17" s="1485"/>
      <c r="P17" s="1485"/>
      <c r="Q17" s="94"/>
      <c r="R17" s="94"/>
      <c r="S17" s="94"/>
      <c r="T17" s="56"/>
      <c r="U17" s="56"/>
      <c r="V17" s="56"/>
      <c r="W17" s="56"/>
      <c r="X17" s="56"/>
      <c r="Y17" s="56"/>
      <c r="Z17" s="56"/>
      <c r="AA17" s="56"/>
      <c r="AB17" s="56"/>
      <c r="AC17" s="56"/>
      <c r="AD17" s="56"/>
      <c r="AE17" s="56"/>
      <c r="AF17" s="56"/>
      <c r="AG17" s="56"/>
      <c r="AH17" s="56"/>
      <c r="AI17" s="56"/>
      <c r="AJ17" s="56"/>
      <c r="AK17" s="287"/>
    </row>
    <row r="18" spans="9:37" ht="15.95" customHeight="1" x14ac:dyDescent="0.25">
      <c r="I18" s="286"/>
      <c r="J18" s="1491" t="s">
        <v>123</v>
      </c>
      <c r="K18" s="1491"/>
      <c r="L18" s="1491"/>
      <c r="M18" s="1491"/>
      <c r="N18" s="1491"/>
      <c r="O18" s="1491"/>
      <c r="P18" s="1491"/>
      <c r="Q18" s="1491"/>
      <c r="R18" s="1491"/>
      <c r="S18" s="1491"/>
      <c r="T18" s="1491"/>
      <c r="U18" s="1491"/>
      <c r="V18" s="1491"/>
      <c r="W18" s="1491"/>
      <c r="X18" s="1491"/>
      <c r="Y18" s="1491"/>
      <c r="Z18" s="1491"/>
      <c r="AA18" s="1491"/>
      <c r="AB18" s="1491"/>
      <c r="AC18" s="1491"/>
      <c r="AD18" s="1491"/>
      <c r="AE18" s="1491"/>
      <c r="AF18" s="1491"/>
      <c r="AG18" s="1491"/>
      <c r="AH18" s="1491"/>
      <c r="AI18" s="1491"/>
      <c r="AJ18" s="1491"/>
      <c r="AK18" s="287"/>
    </row>
    <row r="19" spans="9:37" ht="15.95" customHeight="1" x14ac:dyDescent="0.25">
      <c r="I19" s="286"/>
      <c r="J19" s="1486">
        <f>M02S02F13</f>
        <v>0</v>
      </c>
      <c r="K19" s="1486"/>
      <c r="L19" s="1486"/>
      <c r="M19" s="1486"/>
      <c r="N19" s="1486"/>
      <c r="O19" s="1486"/>
      <c r="P19" s="1486"/>
      <c r="Q19" s="1486"/>
      <c r="R19" s="1486"/>
      <c r="S19" s="1486"/>
      <c r="T19" s="1486"/>
      <c r="U19" s="1486"/>
      <c r="V19" s="1486"/>
      <c r="W19" s="1486"/>
      <c r="X19" s="1486"/>
      <c r="Y19" s="1486"/>
      <c r="Z19" s="1486"/>
      <c r="AA19" s="1486"/>
      <c r="AB19" s="1486"/>
      <c r="AC19" s="1486"/>
      <c r="AD19" s="1486"/>
      <c r="AE19" s="1486"/>
      <c r="AF19" s="1486"/>
      <c r="AG19" s="1486"/>
      <c r="AH19" s="1486"/>
      <c r="AI19" s="1486"/>
      <c r="AJ19" s="1486"/>
      <c r="AK19" s="287"/>
    </row>
    <row r="20" spans="9:37" ht="15.95" customHeight="1" x14ac:dyDescent="0.25">
      <c r="I20" s="286"/>
      <c r="J20" s="1487" t="s">
        <v>124</v>
      </c>
      <c r="K20" s="1487"/>
      <c r="L20" s="1487"/>
      <c r="M20" s="1487"/>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287"/>
    </row>
    <row r="21" spans="9:37" ht="15.95" customHeight="1" x14ac:dyDescent="0.25">
      <c r="I21" s="286"/>
      <c r="J21" s="1486">
        <f>M02S02F01</f>
        <v>0</v>
      </c>
      <c r="K21" s="1486"/>
      <c r="L21" s="1486"/>
      <c r="M21" s="1486"/>
      <c r="N21" s="1486"/>
      <c r="O21" s="1486"/>
      <c r="P21" s="1486"/>
      <c r="Q21" s="1486"/>
      <c r="R21" s="1486"/>
      <c r="S21" s="1486"/>
      <c r="T21" s="1486"/>
      <c r="U21" s="1486"/>
      <c r="V21" s="1486"/>
      <c r="W21" s="1486" t="str">
        <f>CONCATENATE(M02S02F02," ",M02S02F03)</f>
        <v xml:space="preserve"> </v>
      </c>
      <c r="X21" s="1486"/>
      <c r="Y21" s="1486"/>
      <c r="Z21" s="1486"/>
      <c r="AA21" s="1486"/>
      <c r="AB21" s="1486"/>
      <c r="AC21" s="1486"/>
      <c r="AD21" s="1486">
        <f>M02S02F04</f>
        <v>0</v>
      </c>
      <c r="AE21" s="1486"/>
      <c r="AF21" s="1486"/>
      <c r="AG21" s="1486"/>
      <c r="AH21" s="1486"/>
      <c r="AI21" s="1486"/>
      <c r="AJ21" s="1486"/>
      <c r="AK21" s="287"/>
    </row>
    <row r="22" spans="9:37" ht="15.95" customHeight="1" x14ac:dyDescent="0.25">
      <c r="I22" s="286"/>
      <c r="J22" s="1487" t="s">
        <v>110</v>
      </c>
      <c r="K22" s="1487"/>
      <c r="L22" s="1487"/>
      <c r="M22" s="1487"/>
      <c r="N22" s="1487"/>
      <c r="O22" s="1487"/>
      <c r="P22" s="1487"/>
      <c r="Q22" s="1487"/>
      <c r="R22" s="1487"/>
      <c r="S22" s="1487"/>
      <c r="T22" s="1487"/>
      <c r="U22" s="1487"/>
      <c r="V22" s="1487"/>
      <c r="W22" s="1487" t="s">
        <v>125</v>
      </c>
      <c r="X22" s="1487"/>
      <c r="Y22" s="1487"/>
      <c r="Z22" s="1487"/>
      <c r="AA22" s="1487"/>
      <c r="AB22" s="1487"/>
      <c r="AC22" s="1487"/>
      <c r="AD22" s="1488" t="s">
        <v>82</v>
      </c>
      <c r="AE22" s="1488"/>
      <c r="AF22" s="1488"/>
      <c r="AG22" s="1488"/>
      <c r="AH22" s="1488"/>
      <c r="AI22" s="1488"/>
      <c r="AJ22" s="1488"/>
      <c r="AK22" s="287"/>
    </row>
    <row r="23" spans="9:37" ht="15.95" customHeight="1" x14ac:dyDescent="0.25">
      <c r="I23" s="286"/>
      <c r="J23" s="1489">
        <f>M02S02F05</f>
        <v>0</v>
      </c>
      <c r="K23" s="1489"/>
      <c r="L23" s="1489"/>
      <c r="M23" s="1489"/>
      <c r="N23" s="1489"/>
      <c r="O23" s="1489"/>
      <c r="P23" s="1489"/>
      <c r="Q23" s="1489"/>
      <c r="R23" s="1489"/>
      <c r="S23" s="1489">
        <f>M02S02F06</f>
        <v>0</v>
      </c>
      <c r="T23" s="1489"/>
      <c r="U23" s="1489"/>
      <c r="V23" s="1489"/>
      <c r="W23" s="1489"/>
      <c r="X23" s="1489"/>
      <c r="Y23" s="1489"/>
      <c r="Z23" s="1489"/>
      <c r="AA23" s="1489"/>
      <c r="AB23" s="1486">
        <f>M02S02F07</f>
        <v>0</v>
      </c>
      <c r="AC23" s="1486"/>
      <c r="AD23" s="1486"/>
      <c r="AE23" s="1486"/>
      <c r="AF23" s="1486"/>
      <c r="AG23" s="1486"/>
      <c r="AH23" s="1486"/>
      <c r="AI23" s="1486"/>
      <c r="AJ23" s="1486"/>
      <c r="AK23" s="287"/>
    </row>
    <row r="24" spans="9:37" ht="15.95" customHeight="1" x14ac:dyDescent="0.25">
      <c r="I24" s="286"/>
      <c r="J24" s="1487" t="s">
        <v>83</v>
      </c>
      <c r="K24" s="1487"/>
      <c r="L24" s="1487"/>
      <c r="M24" s="1487"/>
      <c r="N24" s="1487"/>
      <c r="O24" s="1487"/>
      <c r="P24" s="1487"/>
      <c r="Q24" s="1487"/>
      <c r="R24" s="1487"/>
      <c r="S24" s="1488" t="s">
        <v>128</v>
      </c>
      <c r="T24" s="1488"/>
      <c r="U24" s="1488"/>
      <c r="V24" s="1488"/>
      <c r="W24" s="1488"/>
      <c r="X24" s="1488"/>
      <c r="Y24" s="1488"/>
      <c r="Z24" s="1488"/>
      <c r="AA24" s="1488"/>
      <c r="AB24" s="1488" t="s">
        <v>126</v>
      </c>
      <c r="AC24" s="1488"/>
      <c r="AD24" s="1488"/>
      <c r="AE24" s="1488"/>
      <c r="AF24" s="1488"/>
      <c r="AG24" s="1488"/>
      <c r="AH24" s="1488"/>
      <c r="AI24" s="1488"/>
      <c r="AJ24" s="1488"/>
      <c r="AK24" s="287"/>
    </row>
    <row r="25" spans="9:37" ht="15.95" customHeight="1" x14ac:dyDescent="0.25">
      <c r="I25" s="286"/>
      <c r="J25" s="1486">
        <f>M02S02F08</f>
        <v>0</v>
      </c>
      <c r="K25" s="1486"/>
      <c r="L25" s="1486"/>
      <c r="M25" s="1486"/>
      <c r="N25" s="1486"/>
      <c r="O25" s="1486"/>
      <c r="P25" s="1486"/>
      <c r="Q25" s="1486"/>
      <c r="R25" s="1486"/>
      <c r="S25" s="1486"/>
      <c r="T25" s="1486"/>
      <c r="U25" s="1486"/>
      <c r="V25" s="1486">
        <f>M02S02F09</f>
        <v>0</v>
      </c>
      <c r="W25" s="1486"/>
      <c r="X25" s="1486"/>
      <c r="Y25" s="1486"/>
      <c r="Z25" s="1486"/>
      <c r="AA25" s="1486"/>
      <c r="AB25" s="1486"/>
      <c r="AC25" s="1486"/>
      <c r="AD25" s="1486"/>
      <c r="AE25" s="1486">
        <f>M02S02F10</f>
        <v>0</v>
      </c>
      <c r="AF25" s="1486"/>
      <c r="AG25" s="1486"/>
      <c r="AH25" s="1490">
        <f>M02S02F11</f>
        <v>0</v>
      </c>
      <c r="AI25" s="1490"/>
      <c r="AJ25" s="1490"/>
      <c r="AK25" s="287"/>
    </row>
    <row r="26" spans="9:37" ht="15.95" customHeight="1" x14ac:dyDescent="0.25">
      <c r="I26" s="286"/>
      <c r="J26" s="1487" t="s">
        <v>89</v>
      </c>
      <c r="K26" s="1487"/>
      <c r="L26" s="1487"/>
      <c r="M26" s="1487"/>
      <c r="N26" s="1487"/>
      <c r="O26" s="1487"/>
      <c r="P26" s="1487"/>
      <c r="Q26" s="1487"/>
      <c r="R26" s="1487"/>
      <c r="S26" s="1487"/>
      <c r="T26" s="1487"/>
      <c r="U26" s="1487"/>
      <c r="V26" s="1488" t="s">
        <v>85</v>
      </c>
      <c r="W26" s="1488"/>
      <c r="X26" s="1488"/>
      <c r="Y26" s="1488"/>
      <c r="Z26" s="1488"/>
      <c r="AA26" s="1488"/>
      <c r="AB26" s="1488"/>
      <c r="AC26" s="1488"/>
      <c r="AD26" s="1488"/>
      <c r="AE26" s="1488" t="s">
        <v>86</v>
      </c>
      <c r="AF26" s="1488"/>
      <c r="AG26" s="1488"/>
      <c r="AH26" s="1488" t="s">
        <v>127</v>
      </c>
      <c r="AI26" s="1488"/>
      <c r="AJ26" s="1488"/>
      <c r="AK26" s="287"/>
    </row>
    <row r="27" spans="9:37" ht="15.95" customHeight="1" x14ac:dyDescent="0.25">
      <c r="I27" s="286"/>
      <c r="J27" s="83"/>
      <c r="K27" s="83"/>
      <c r="L27" s="83"/>
      <c r="M27" s="83"/>
      <c r="N27" s="83"/>
      <c r="O27" s="83"/>
      <c r="P27" s="83"/>
      <c r="Q27" s="83"/>
      <c r="R27" s="83"/>
      <c r="S27" s="83"/>
      <c r="T27" s="83"/>
      <c r="U27" s="83"/>
      <c r="V27" s="80"/>
      <c r="W27" s="80"/>
      <c r="X27" s="80"/>
      <c r="Y27" s="80"/>
      <c r="Z27" s="80"/>
      <c r="AA27" s="80"/>
      <c r="AB27" s="80"/>
      <c r="AC27" s="80"/>
      <c r="AD27" s="80"/>
      <c r="AE27" s="80"/>
      <c r="AF27" s="266"/>
      <c r="AG27" s="80"/>
      <c r="AH27" s="85"/>
      <c r="AI27" s="266"/>
      <c r="AJ27" s="85"/>
      <c r="AK27" s="287"/>
    </row>
    <row r="28" spans="9:37" ht="15.95" customHeight="1" x14ac:dyDescent="0.25">
      <c r="I28" s="286"/>
      <c r="J28" s="1491" t="s">
        <v>129</v>
      </c>
      <c r="K28" s="1491"/>
      <c r="L28" s="1491"/>
      <c r="M28" s="1491"/>
      <c r="N28" s="1491"/>
      <c r="O28" s="1491"/>
      <c r="P28" s="1491"/>
      <c r="Q28" s="1491"/>
      <c r="R28" s="1491"/>
      <c r="S28" s="1491"/>
      <c r="T28" s="1491"/>
      <c r="U28" s="1491"/>
      <c r="V28" s="1491"/>
      <c r="W28" s="1491"/>
      <c r="X28" s="1491"/>
      <c r="Y28" s="1491"/>
      <c r="Z28" s="1491"/>
      <c r="AA28" s="1491"/>
      <c r="AB28" s="1491"/>
      <c r="AC28" s="1491"/>
      <c r="AD28" s="1491"/>
      <c r="AE28" s="1491"/>
      <c r="AF28" s="1491"/>
      <c r="AG28" s="1491"/>
      <c r="AH28" s="1491"/>
      <c r="AI28" s="1491"/>
      <c r="AJ28" s="1491"/>
      <c r="AK28" s="287"/>
    </row>
    <row r="29" spans="9:37" ht="15.95" customHeight="1" x14ac:dyDescent="0.25">
      <c r="I29" s="286"/>
      <c r="J29" s="1486" t="str">
        <f>CONCATENATE(M02S02F16," ",M02S02F17)</f>
        <v xml:space="preserve"> </v>
      </c>
      <c r="K29" s="1486"/>
      <c r="L29" s="1486"/>
      <c r="M29" s="1486"/>
      <c r="N29" s="1486"/>
      <c r="O29" s="1486"/>
      <c r="P29" s="1486"/>
      <c r="Q29" s="1486"/>
      <c r="R29" s="1486"/>
      <c r="S29" s="1489">
        <f>M02S02F19</f>
        <v>0</v>
      </c>
      <c r="T29" s="1489"/>
      <c r="U29" s="1489"/>
      <c r="V29" s="1489"/>
      <c r="W29" s="1489"/>
      <c r="X29" s="1489"/>
      <c r="Y29" s="1489"/>
      <c r="Z29" s="1489"/>
      <c r="AA29" s="1489"/>
      <c r="AB29" s="1486">
        <f>M02S02F21</f>
        <v>0</v>
      </c>
      <c r="AC29" s="1486"/>
      <c r="AD29" s="1486"/>
      <c r="AE29" s="1486"/>
      <c r="AF29" s="1486"/>
      <c r="AG29" s="1486"/>
      <c r="AH29" s="1486"/>
      <c r="AI29" s="1486"/>
      <c r="AJ29" s="1486"/>
      <c r="AK29" s="287"/>
    </row>
    <row r="30" spans="9:37" ht="15.95" customHeight="1" x14ac:dyDescent="0.25">
      <c r="I30" s="286"/>
      <c r="J30" s="1487" t="s">
        <v>125</v>
      </c>
      <c r="K30" s="1487"/>
      <c r="L30" s="1487"/>
      <c r="M30" s="1487"/>
      <c r="N30" s="1487"/>
      <c r="O30" s="1487"/>
      <c r="P30" s="1487"/>
      <c r="Q30" s="1487"/>
      <c r="R30" s="1487"/>
      <c r="S30" s="1487" t="s">
        <v>83</v>
      </c>
      <c r="T30" s="1487"/>
      <c r="U30" s="1487"/>
      <c r="V30" s="1487"/>
      <c r="W30" s="1487"/>
      <c r="X30" s="1487"/>
      <c r="Y30" s="1487"/>
      <c r="Z30" s="1487"/>
      <c r="AA30" s="1487"/>
      <c r="AB30" s="1488" t="s">
        <v>126</v>
      </c>
      <c r="AC30" s="1488"/>
      <c r="AD30" s="1488"/>
      <c r="AE30" s="1488"/>
      <c r="AF30" s="1488"/>
      <c r="AG30" s="1488"/>
      <c r="AH30" s="1488"/>
      <c r="AI30" s="1488"/>
      <c r="AJ30" s="1488"/>
      <c r="AK30" s="287"/>
    </row>
    <row r="31" spans="9:37" ht="15.95" customHeight="1" x14ac:dyDescent="0.25">
      <c r="I31" s="286"/>
      <c r="J31" s="1492">
        <f>M02S02F22</f>
        <v>0</v>
      </c>
      <c r="K31" s="1492"/>
      <c r="L31" s="1492"/>
      <c r="M31" s="1492"/>
      <c r="N31" s="1492"/>
      <c r="O31" s="1492"/>
      <c r="P31" s="1492"/>
      <c r="Q31" s="1492"/>
      <c r="R31" s="1492"/>
      <c r="S31" s="1492"/>
      <c r="T31" s="1492"/>
      <c r="U31" s="1492"/>
      <c r="V31" s="1492">
        <f>M02S02F23</f>
        <v>0</v>
      </c>
      <c r="W31" s="1492"/>
      <c r="X31" s="1492"/>
      <c r="Y31" s="1492"/>
      <c r="Z31" s="1492"/>
      <c r="AA31" s="1492"/>
      <c r="AB31" s="1492"/>
      <c r="AC31" s="1492"/>
      <c r="AD31" s="1492"/>
      <c r="AE31" s="1492" t="str">
        <f>M02S02F24</f>
        <v>MO</v>
      </c>
      <c r="AF31" s="1492"/>
      <c r="AG31" s="1492"/>
      <c r="AH31" s="1493">
        <f>M02S02F25</f>
        <v>0</v>
      </c>
      <c r="AI31" s="1493"/>
      <c r="AJ31" s="1493"/>
      <c r="AK31" s="287"/>
    </row>
    <row r="32" spans="9:37" ht="15.95" customHeight="1" x14ac:dyDescent="0.25">
      <c r="I32" s="286"/>
      <c r="J32" s="1487" t="s">
        <v>130</v>
      </c>
      <c r="K32" s="1487"/>
      <c r="L32" s="1487"/>
      <c r="M32" s="1487"/>
      <c r="N32" s="1487"/>
      <c r="O32" s="1487"/>
      <c r="P32" s="1487"/>
      <c r="Q32" s="1487"/>
      <c r="R32" s="1487"/>
      <c r="S32" s="1487"/>
      <c r="T32" s="1487"/>
      <c r="U32" s="1487"/>
      <c r="V32" s="1494" t="s">
        <v>85</v>
      </c>
      <c r="W32" s="1494"/>
      <c r="X32" s="1494"/>
      <c r="Y32" s="1494"/>
      <c r="Z32" s="1494"/>
      <c r="AA32" s="1494"/>
      <c r="AB32" s="1494"/>
      <c r="AC32" s="1494"/>
      <c r="AD32" s="1494"/>
      <c r="AE32" s="1494" t="s">
        <v>86</v>
      </c>
      <c r="AF32" s="1494"/>
      <c r="AG32" s="1494"/>
      <c r="AH32" s="1494" t="s">
        <v>127</v>
      </c>
      <c r="AI32" s="1494"/>
      <c r="AJ32" s="1494"/>
      <c r="AK32" s="287"/>
    </row>
    <row r="33" spans="9:37" ht="15.95" customHeight="1" x14ac:dyDescent="0.25">
      <c r="I33" s="286"/>
      <c r="J33" s="83"/>
      <c r="K33" s="83"/>
      <c r="L33" s="83"/>
      <c r="M33" s="83"/>
      <c r="N33" s="83"/>
      <c r="O33" s="83"/>
      <c r="P33" s="83"/>
      <c r="Q33" s="83"/>
      <c r="R33" s="83"/>
      <c r="S33" s="83"/>
      <c r="T33" s="83"/>
      <c r="U33" s="266"/>
      <c r="V33" s="95"/>
      <c r="W33" s="95"/>
      <c r="X33" s="95"/>
      <c r="Y33" s="95"/>
      <c r="Z33" s="95"/>
      <c r="AA33" s="95"/>
      <c r="AB33" s="95"/>
      <c r="AC33" s="95"/>
      <c r="AD33" s="95"/>
      <c r="AE33" s="95"/>
      <c r="AF33" s="95"/>
      <c r="AG33" s="266"/>
      <c r="AH33" s="95"/>
      <c r="AI33" s="266"/>
      <c r="AJ33" s="95"/>
      <c r="AK33" s="287"/>
    </row>
    <row r="34" spans="9:37" ht="15.95" customHeight="1" x14ac:dyDescent="0.25">
      <c r="I34" s="286"/>
      <c r="J34" s="1496" t="s">
        <v>131</v>
      </c>
      <c r="K34" s="1496"/>
      <c r="L34" s="1496"/>
      <c r="M34" s="1496"/>
      <c r="N34" s="1496"/>
      <c r="O34" s="1496"/>
      <c r="P34" s="1496"/>
      <c r="Q34" s="1496"/>
      <c r="R34" s="1496"/>
      <c r="S34" s="1496"/>
      <c r="T34" s="1496"/>
      <c r="U34" s="1496"/>
      <c r="V34" s="1496"/>
      <c r="W34" s="1496"/>
      <c r="X34" s="1496"/>
      <c r="Y34" s="1496"/>
      <c r="Z34" s="1496"/>
      <c r="AA34" s="1496"/>
      <c r="AB34" s="1496"/>
      <c r="AC34" s="1496"/>
      <c r="AD34" s="1496"/>
      <c r="AE34" s="1496"/>
      <c r="AF34" s="1496"/>
      <c r="AG34" s="1496"/>
      <c r="AH34" s="1496"/>
      <c r="AI34" s="1496"/>
      <c r="AJ34" s="1496"/>
      <c r="AK34" s="287"/>
    </row>
    <row r="35" spans="9:37" ht="15.95" customHeight="1" x14ac:dyDescent="0.25">
      <c r="I35" s="286"/>
      <c r="J35" s="1495">
        <f>M02S03F02</f>
        <v>0</v>
      </c>
      <c r="K35" s="1495"/>
      <c r="L35" s="1495"/>
      <c r="M35" s="1495"/>
      <c r="N35" s="1495"/>
      <c r="O35" s="1495"/>
      <c r="P35" s="1495"/>
      <c r="Q35" s="1495"/>
      <c r="R35" s="1495"/>
      <c r="S35" s="1495"/>
      <c r="T35" s="1495"/>
      <c r="U35" s="1495"/>
      <c r="V35" s="1495"/>
      <c r="W35" s="1486" t="str">
        <f>CONCATENATE(M02S03F03," ",M02S03F04)</f>
        <v xml:space="preserve"> </v>
      </c>
      <c r="X35" s="1486"/>
      <c r="Y35" s="1486"/>
      <c r="Z35" s="1486"/>
      <c r="AA35" s="1486"/>
      <c r="AB35" s="1486"/>
      <c r="AC35" s="1486"/>
      <c r="AD35" s="1486">
        <f>M02S03F05</f>
        <v>0</v>
      </c>
      <c r="AE35" s="1486"/>
      <c r="AF35" s="1486"/>
      <c r="AG35" s="1486"/>
      <c r="AH35" s="1486"/>
      <c r="AI35" s="1486"/>
      <c r="AJ35" s="1486"/>
      <c r="AK35" s="287"/>
    </row>
    <row r="36" spans="9:37" ht="15.95" customHeight="1" x14ac:dyDescent="0.25">
      <c r="I36" s="286"/>
      <c r="J36" s="1497" t="s">
        <v>132</v>
      </c>
      <c r="K36" s="1497"/>
      <c r="L36" s="1497"/>
      <c r="M36" s="1497"/>
      <c r="N36" s="1497"/>
      <c r="O36" s="1497"/>
      <c r="P36" s="1497"/>
      <c r="Q36" s="1497"/>
      <c r="R36" s="1497"/>
      <c r="S36" s="1497"/>
      <c r="T36" s="1497"/>
      <c r="U36" s="1497"/>
      <c r="V36" s="1497"/>
      <c r="W36" s="1487" t="s">
        <v>125</v>
      </c>
      <c r="X36" s="1487"/>
      <c r="Y36" s="1487"/>
      <c r="Z36" s="1487"/>
      <c r="AA36" s="1487"/>
      <c r="AB36" s="1487"/>
      <c r="AC36" s="1487"/>
      <c r="AD36" s="1488" t="s">
        <v>82</v>
      </c>
      <c r="AE36" s="1488"/>
      <c r="AF36" s="1488"/>
      <c r="AG36" s="1488"/>
      <c r="AH36" s="1488"/>
      <c r="AI36" s="1488"/>
      <c r="AJ36" s="1488"/>
      <c r="AK36" s="287"/>
    </row>
    <row r="37" spans="9:37" ht="15.95" customHeight="1" x14ac:dyDescent="0.25">
      <c r="I37" s="286"/>
      <c r="J37" s="1489">
        <f>M02S03F06</f>
        <v>0</v>
      </c>
      <c r="K37" s="1489"/>
      <c r="L37" s="1489"/>
      <c r="M37" s="1489"/>
      <c r="N37" s="1489"/>
      <c r="O37" s="1489"/>
      <c r="P37" s="1489"/>
      <c r="Q37" s="1489"/>
      <c r="R37" s="1489"/>
      <c r="S37" s="1489">
        <f>M02S03F07</f>
        <v>0</v>
      </c>
      <c r="T37" s="1489"/>
      <c r="U37" s="1489"/>
      <c r="V37" s="1489"/>
      <c r="W37" s="1489"/>
      <c r="X37" s="1489"/>
      <c r="Y37" s="1489"/>
      <c r="Z37" s="1489"/>
      <c r="AA37" s="1489"/>
      <c r="AB37" s="1486">
        <f>M02S03F08</f>
        <v>0</v>
      </c>
      <c r="AC37" s="1486"/>
      <c r="AD37" s="1486"/>
      <c r="AE37" s="1486"/>
      <c r="AF37" s="1486"/>
      <c r="AG37" s="1486"/>
      <c r="AH37" s="1486"/>
      <c r="AI37" s="1486"/>
      <c r="AJ37" s="1486"/>
      <c r="AK37" s="287"/>
    </row>
    <row r="38" spans="9:37" ht="15.95" customHeight="1" x14ac:dyDescent="0.25">
      <c r="I38" s="286"/>
      <c r="J38" s="1487" t="s">
        <v>83</v>
      </c>
      <c r="K38" s="1487"/>
      <c r="L38" s="1487"/>
      <c r="M38" s="1487"/>
      <c r="N38" s="1487"/>
      <c r="O38" s="1487"/>
      <c r="P38" s="1487"/>
      <c r="Q38" s="1487"/>
      <c r="R38" s="1487"/>
      <c r="S38" s="1498" t="s">
        <v>128</v>
      </c>
      <c r="T38" s="1498"/>
      <c r="U38" s="1498"/>
      <c r="V38" s="1498"/>
      <c r="W38" s="1498"/>
      <c r="X38" s="1498"/>
      <c r="Y38" s="1498"/>
      <c r="Z38" s="1498"/>
      <c r="AA38" s="1498"/>
      <c r="AB38" s="1498" t="s">
        <v>126</v>
      </c>
      <c r="AC38" s="1498"/>
      <c r="AD38" s="1498"/>
      <c r="AE38" s="1498"/>
      <c r="AF38" s="1498"/>
      <c r="AG38" s="1498"/>
      <c r="AH38" s="1498"/>
      <c r="AI38" s="1498"/>
      <c r="AJ38" s="1498"/>
      <c r="AK38" s="287"/>
    </row>
    <row r="39" spans="9:37" ht="15.95" customHeight="1" x14ac:dyDescent="0.25">
      <c r="I39" s="286"/>
      <c r="J39" s="1486">
        <f>M02S03F09</f>
        <v>0</v>
      </c>
      <c r="K39" s="1486"/>
      <c r="L39" s="1486"/>
      <c r="M39" s="1486"/>
      <c r="N39" s="1486"/>
      <c r="O39" s="1486"/>
      <c r="P39" s="1486"/>
      <c r="Q39" s="1486"/>
      <c r="R39" s="1486"/>
      <c r="S39" s="1486"/>
      <c r="T39" s="1486"/>
      <c r="U39" s="1486"/>
      <c r="V39" s="1486">
        <f>M02S03F10</f>
        <v>0</v>
      </c>
      <c r="W39" s="1486"/>
      <c r="X39" s="1486"/>
      <c r="Y39" s="1486"/>
      <c r="Z39" s="1486"/>
      <c r="AA39" s="1486"/>
      <c r="AB39" s="1486"/>
      <c r="AC39" s="1486"/>
      <c r="AD39" s="1486"/>
      <c r="AE39" s="1486">
        <f>M02S03F11</f>
        <v>0</v>
      </c>
      <c r="AF39" s="1486"/>
      <c r="AG39" s="1486"/>
      <c r="AH39" s="1490">
        <f>M02S03F12</f>
        <v>0</v>
      </c>
      <c r="AI39" s="1490"/>
      <c r="AJ39" s="1490"/>
      <c r="AK39" s="287"/>
    </row>
    <row r="40" spans="9:37" ht="15.95" customHeight="1" x14ac:dyDescent="0.25">
      <c r="I40" s="286"/>
      <c r="J40" s="1487" t="s">
        <v>89</v>
      </c>
      <c r="K40" s="1487"/>
      <c r="L40" s="1487"/>
      <c r="M40" s="1487"/>
      <c r="N40" s="1487"/>
      <c r="O40" s="1487"/>
      <c r="P40" s="1487"/>
      <c r="Q40" s="1487"/>
      <c r="R40" s="1487"/>
      <c r="S40" s="1487"/>
      <c r="T40" s="1487"/>
      <c r="U40" s="1487"/>
      <c r="V40" s="1488" t="s">
        <v>85</v>
      </c>
      <c r="W40" s="1488"/>
      <c r="X40" s="1488"/>
      <c r="Y40" s="1488"/>
      <c r="Z40" s="1488"/>
      <c r="AA40" s="1488"/>
      <c r="AB40" s="1488"/>
      <c r="AC40" s="1488"/>
      <c r="AD40" s="1488"/>
      <c r="AE40" s="1488" t="s">
        <v>86</v>
      </c>
      <c r="AF40" s="1488"/>
      <c r="AG40" s="1488"/>
      <c r="AH40" s="1488" t="s">
        <v>127</v>
      </c>
      <c r="AI40" s="1488"/>
      <c r="AJ40" s="1488"/>
      <c r="AK40" s="287"/>
    </row>
    <row r="41" spans="9:37" ht="15.95" customHeight="1" x14ac:dyDescent="0.25">
      <c r="I41" s="286"/>
      <c r="J41" s="83"/>
      <c r="K41" s="83"/>
      <c r="L41" s="83"/>
      <c r="M41" s="83"/>
      <c r="N41" s="83"/>
      <c r="O41" s="83"/>
      <c r="P41" s="83"/>
      <c r="Q41" s="83"/>
      <c r="R41" s="83"/>
      <c r="S41" s="83"/>
      <c r="T41" s="83"/>
      <c r="U41" s="83"/>
      <c r="V41" s="80"/>
      <c r="W41" s="80"/>
      <c r="X41" s="80"/>
      <c r="Y41" s="80"/>
      <c r="Z41" s="80"/>
      <c r="AA41" s="80"/>
      <c r="AB41" s="80"/>
      <c r="AC41" s="80"/>
      <c r="AD41" s="80"/>
      <c r="AE41" s="80"/>
      <c r="AF41" s="266"/>
      <c r="AG41" s="80"/>
      <c r="AH41" s="85"/>
      <c r="AI41" s="266"/>
      <c r="AJ41" s="85"/>
      <c r="AK41" s="287"/>
    </row>
    <row r="42" spans="9:37" ht="15.95" customHeight="1" x14ac:dyDescent="0.25">
      <c r="I42" s="286"/>
      <c r="J42" s="1496" t="s">
        <v>552</v>
      </c>
      <c r="K42" s="1496"/>
      <c r="L42" s="1496"/>
      <c r="M42" s="1496"/>
      <c r="N42" s="1496"/>
      <c r="O42" s="1496"/>
      <c r="P42" s="1496"/>
      <c r="Q42" s="1496"/>
      <c r="R42" s="1496"/>
      <c r="S42" s="1496"/>
      <c r="T42" s="1496"/>
      <c r="U42" s="1496"/>
      <c r="V42" s="1496"/>
      <c r="W42" s="1496"/>
      <c r="X42" s="1496"/>
      <c r="Y42" s="1496"/>
      <c r="Z42" s="1496"/>
      <c r="AA42" s="1496"/>
      <c r="AB42" s="1496"/>
      <c r="AC42" s="1496"/>
      <c r="AD42" s="1496"/>
      <c r="AE42" s="1496"/>
      <c r="AF42" s="1496"/>
      <c r="AG42" s="1496"/>
      <c r="AH42" s="1496"/>
      <c r="AI42" s="1496"/>
      <c r="AJ42" s="1496"/>
      <c r="AK42" s="287"/>
    </row>
    <row r="43" spans="9:37" ht="15.95" customHeight="1" x14ac:dyDescent="0.25">
      <c r="I43" s="286"/>
      <c r="J43" s="60"/>
      <c r="K43" s="60"/>
      <c r="L43" s="60"/>
      <c r="M43" s="60"/>
      <c r="N43" s="60"/>
      <c r="O43" s="60"/>
      <c r="P43" s="60"/>
      <c r="Q43" s="60"/>
      <c r="R43" s="60"/>
      <c r="S43" s="60"/>
      <c r="T43" s="60"/>
      <c r="U43" s="60"/>
      <c r="V43" s="60"/>
      <c r="W43" s="60"/>
      <c r="X43" s="60"/>
      <c r="Y43" s="60"/>
      <c r="Z43" s="60"/>
      <c r="AA43" s="60"/>
      <c r="AB43" s="60"/>
      <c r="AC43" s="60"/>
      <c r="AD43" s="60"/>
      <c r="AE43" s="60"/>
      <c r="AF43" s="60"/>
      <c r="AG43" s="60"/>
      <c r="AH43" s="60"/>
      <c r="AI43" s="60"/>
      <c r="AJ43" s="60"/>
      <c r="AK43" s="287"/>
    </row>
    <row r="44" spans="9:37" ht="15.95" customHeight="1" x14ac:dyDescent="0.25">
      <c r="I44" s="286"/>
      <c r="J44" s="1510"/>
      <c r="K44" s="1510"/>
      <c r="L44" s="1510"/>
      <c r="M44" s="1510"/>
      <c r="N44" s="1510"/>
      <c r="O44" s="1510"/>
      <c r="P44" s="1510"/>
      <c r="Q44" s="1510"/>
      <c r="R44" s="288"/>
      <c r="S44" s="1510"/>
      <c r="T44" s="1510"/>
      <c r="U44" s="1510"/>
      <c r="V44" s="1510"/>
      <c r="W44" s="1510"/>
      <c r="X44" s="1510"/>
      <c r="Y44" s="1510"/>
      <c r="Z44" s="1510"/>
      <c r="AA44" s="288"/>
      <c r="AB44" s="1512"/>
      <c r="AC44" s="1512"/>
      <c r="AD44" s="1512"/>
      <c r="AE44" s="1512"/>
      <c r="AF44" s="1512"/>
      <c r="AG44" s="1512"/>
      <c r="AH44" s="289" t="s">
        <v>555</v>
      </c>
      <c r="AI44" s="60"/>
      <c r="AJ44" s="60"/>
      <c r="AK44" s="287"/>
    </row>
    <row r="45" spans="9:37" ht="15.95" customHeight="1" x14ac:dyDescent="0.25">
      <c r="I45" s="286"/>
      <c r="J45" s="1511" t="s">
        <v>553</v>
      </c>
      <c r="K45" s="1511"/>
      <c r="L45" s="1511"/>
      <c r="M45" s="1511"/>
      <c r="N45" s="1511"/>
      <c r="O45" s="1511"/>
      <c r="P45" s="1511"/>
      <c r="Q45" s="1511"/>
      <c r="R45" s="288"/>
      <c r="S45" s="1511" t="s">
        <v>523</v>
      </c>
      <c r="T45" s="1511"/>
      <c r="U45" s="1511"/>
      <c r="V45" s="1511"/>
      <c r="W45" s="1511"/>
      <c r="X45" s="1511"/>
      <c r="Y45" s="1511"/>
      <c r="Z45" s="1511"/>
      <c r="AA45" s="288"/>
      <c r="AB45" s="1511" t="s">
        <v>556</v>
      </c>
      <c r="AC45" s="1511"/>
      <c r="AD45" s="1511"/>
      <c r="AE45" s="1511"/>
      <c r="AF45" s="1511"/>
      <c r="AG45" s="1511"/>
      <c r="AH45" s="60"/>
      <c r="AI45" s="60"/>
      <c r="AJ45" s="60"/>
      <c r="AK45" s="287"/>
    </row>
    <row r="46" spans="9:37" ht="15.95" customHeight="1" x14ac:dyDescent="0.25">
      <c r="I46" s="286"/>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287"/>
    </row>
    <row r="47" spans="9:37" ht="15.95" customHeight="1" x14ac:dyDescent="0.25">
      <c r="I47" s="286"/>
      <c r="J47" s="1496" t="s">
        <v>551</v>
      </c>
      <c r="K47" s="1496"/>
      <c r="L47" s="1496"/>
      <c r="M47" s="1496"/>
      <c r="N47" s="1496"/>
      <c r="O47" s="1496"/>
      <c r="P47" s="1496"/>
      <c r="Q47" s="1496"/>
      <c r="R47" s="1496"/>
      <c r="S47" s="1496"/>
      <c r="T47" s="1496"/>
      <c r="U47" s="1496"/>
      <c r="V47" s="1496"/>
      <c r="W47" s="1496"/>
      <c r="X47" s="1496"/>
      <c r="Y47" s="1496"/>
      <c r="Z47" s="1496"/>
      <c r="AA47" s="1496"/>
      <c r="AB47" s="1496"/>
      <c r="AC47" s="1496"/>
      <c r="AD47" s="1496"/>
      <c r="AE47" s="1496"/>
      <c r="AF47" s="1496"/>
      <c r="AG47" s="1496"/>
      <c r="AH47" s="1496"/>
      <c r="AI47" s="1496"/>
      <c r="AJ47" s="1496"/>
      <c r="AK47" s="287"/>
    </row>
    <row r="48" spans="9:37" ht="15.95" customHeight="1" x14ac:dyDescent="0.25">
      <c r="I48" s="286"/>
      <c r="J48" s="100" t="s">
        <v>554</v>
      </c>
      <c r="K48" s="27"/>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287"/>
    </row>
    <row r="49" spans="9:37" ht="15.95" customHeight="1" x14ac:dyDescent="0.25">
      <c r="I49" s="286"/>
      <c r="J49" s="27"/>
      <c r="K49" s="99"/>
      <c r="L49" s="98" t="s">
        <v>561</v>
      </c>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287"/>
    </row>
    <row r="50" spans="9:37" ht="15.95" customHeight="1" x14ac:dyDescent="0.25">
      <c r="I50" s="286"/>
      <c r="J50" s="27"/>
      <c r="K50" s="99"/>
      <c r="L50" s="98" t="s">
        <v>562</v>
      </c>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287"/>
    </row>
    <row r="51" spans="9:37" ht="15.95" customHeight="1" x14ac:dyDescent="0.25">
      <c r="I51" s="286"/>
      <c r="J51" s="266"/>
      <c r="K51" s="99"/>
      <c r="L51" s="98" t="s">
        <v>557</v>
      </c>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287"/>
    </row>
    <row r="52" spans="9:37" ht="15.95" customHeight="1" x14ac:dyDescent="0.25">
      <c r="I52" s="286"/>
      <c r="J52" s="266"/>
      <c r="K52" s="99"/>
      <c r="L52" s="98" t="s">
        <v>560</v>
      </c>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287"/>
    </row>
    <row r="53" spans="9:37" ht="15.95" customHeight="1" x14ac:dyDescent="0.25">
      <c r="I53" s="286"/>
      <c r="J53" s="26" t="s">
        <v>558</v>
      </c>
      <c r="K53" s="27"/>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287"/>
    </row>
    <row r="54" spans="9:37" ht="15.95" customHeight="1" x14ac:dyDescent="0.25">
      <c r="I54" s="286"/>
      <c r="J54" s="27"/>
      <c r="K54" s="99"/>
      <c r="L54" s="98" t="s">
        <v>559</v>
      </c>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287"/>
    </row>
    <row r="55" spans="9:37" ht="15.95" customHeight="1" x14ac:dyDescent="0.25">
      <c r="I55" s="286"/>
      <c r="J55" s="27"/>
      <c r="K55" s="99"/>
      <c r="L55" s="98" t="s">
        <v>563</v>
      </c>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287"/>
    </row>
    <row r="56" spans="9:37" ht="15.95" customHeight="1" x14ac:dyDescent="0.25">
      <c r="I56" s="286"/>
      <c r="J56" s="266"/>
      <c r="K56" s="99"/>
      <c r="L56" s="98" t="s">
        <v>564</v>
      </c>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287"/>
    </row>
    <row r="57" spans="9:37" ht="15.95" customHeight="1" x14ac:dyDescent="0.25">
      <c r="I57" s="286"/>
      <c r="J57" s="266"/>
      <c r="K57" s="99"/>
      <c r="L57" s="98" t="s">
        <v>586</v>
      </c>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287"/>
    </row>
    <row r="58" spans="9:37" ht="15.95" customHeight="1" x14ac:dyDescent="0.25">
      <c r="I58" s="286"/>
      <c r="J58" s="266"/>
      <c r="K58" s="266"/>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287"/>
    </row>
    <row r="59" spans="9:37" ht="15.95" customHeight="1" x14ac:dyDescent="0.25">
      <c r="I59" s="286"/>
      <c r="J59" s="1496" t="s">
        <v>565</v>
      </c>
      <c r="K59" s="1496"/>
      <c r="L59" s="1496"/>
      <c r="M59" s="1496"/>
      <c r="N59" s="1496"/>
      <c r="O59" s="1496"/>
      <c r="P59" s="1496"/>
      <c r="Q59" s="1496"/>
      <c r="R59" s="1496"/>
      <c r="S59" s="1496"/>
      <c r="T59" s="1496"/>
      <c r="U59" s="1496"/>
      <c r="V59" s="1496"/>
      <c r="W59" s="1496"/>
      <c r="X59" s="1496"/>
      <c r="Y59" s="1496"/>
      <c r="Z59" s="1496"/>
      <c r="AA59" s="1496"/>
      <c r="AB59" s="1496"/>
      <c r="AC59" s="1496"/>
      <c r="AD59" s="1496"/>
      <c r="AE59" s="1496"/>
      <c r="AF59" s="1496"/>
      <c r="AG59" s="1496"/>
      <c r="AH59" s="1496"/>
      <c r="AI59" s="1496"/>
      <c r="AJ59" s="1496"/>
      <c r="AK59" s="287"/>
    </row>
    <row r="60" spans="9:37" ht="15.95" customHeight="1" thickBot="1" x14ac:dyDescent="0.3">
      <c r="I60" s="286"/>
      <c r="J60" s="290" t="s">
        <v>566</v>
      </c>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287"/>
    </row>
    <row r="61" spans="9:37" ht="15.95" customHeight="1" x14ac:dyDescent="0.25">
      <c r="I61" s="286"/>
      <c r="J61" s="60"/>
      <c r="K61" s="1502"/>
      <c r="L61" s="1503"/>
      <c r="M61" s="1503"/>
      <c r="N61" s="1503"/>
      <c r="O61" s="1503"/>
      <c r="P61" s="1503"/>
      <c r="Q61" s="1503"/>
      <c r="R61" s="1503"/>
      <c r="S61" s="1503"/>
      <c r="T61" s="1503"/>
      <c r="U61" s="1503"/>
      <c r="V61" s="1503"/>
      <c r="W61" s="1503"/>
      <c r="X61" s="1503"/>
      <c r="Y61" s="1503"/>
      <c r="Z61" s="1503"/>
      <c r="AA61" s="1503"/>
      <c r="AB61" s="1503"/>
      <c r="AC61" s="1503"/>
      <c r="AD61" s="1503"/>
      <c r="AE61" s="1503"/>
      <c r="AF61" s="1503"/>
      <c r="AG61" s="1503"/>
      <c r="AH61" s="1503"/>
      <c r="AI61" s="1504"/>
      <c r="AJ61" s="60"/>
      <c r="AK61" s="287"/>
    </row>
    <row r="62" spans="9:37" ht="15.95" customHeight="1" x14ac:dyDescent="0.25">
      <c r="I62" s="286"/>
      <c r="J62" s="60"/>
      <c r="K62" s="1508"/>
      <c r="L62" s="1029"/>
      <c r="M62" s="1029"/>
      <c r="N62" s="1029"/>
      <c r="O62" s="1029"/>
      <c r="P62" s="1029"/>
      <c r="Q62" s="1029"/>
      <c r="R62" s="1029"/>
      <c r="S62" s="1029"/>
      <c r="T62" s="1029"/>
      <c r="U62" s="1029"/>
      <c r="V62" s="1029"/>
      <c r="W62" s="1029"/>
      <c r="X62" s="1029"/>
      <c r="Y62" s="1029"/>
      <c r="Z62" s="1029"/>
      <c r="AA62" s="1029"/>
      <c r="AB62" s="1029"/>
      <c r="AC62" s="1029"/>
      <c r="AD62" s="1029"/>
      <c r="AE62" s="1029"/>
      <c r="AF62" s="1029"/>
      <c r="AG62" s="1029"/>
      <c r="AH62" s="1029"/>
      <c r="AI62" s="1509"/>
      <c r="AJ62" s="60"/>
      <c r="AK62" s="287"/>
    </row>
    <row r="63" spans="9:37" ht="15.95" customHeight="1" x14ac:dyDescent="0.25">
      <c r="I63" s="286"/>
      <c r="J63" s="60"/>
      <c r="K63" s="1508"/>
      <c r="L63" s="1029"/>
      <c r="M63" s="1029"/>
      <c r="N63" s="1029"/>
      <c r="O63" s="1029"/>
      <c r="P63" s="1029"/>
      <c r="Q63" s="1029"/>
      <c r="R63" s="1029"/>
      <c r="S63" s="1029"/>
      <c r="T63" s="1029"/>
      <c r="U63" s="1029"/>
      <c r="V63" s="1029"/>
      <c r="W63" s="1029"/>
      <c r="X63" s="1029"/>
      <c r="Y63" s="1029"/>
      <c r="Z63" s="1029"/>
      <c r="AA63" s="1029"/>
      <c r="AB63" s="1029"/>
      <c r="AC63" s="1029"/>
      <c r="AD63" s="1029"/>
      <c r="AE63" s="1029"/>
      <c r="AF63" s="1029"/>
      <c r="AG63" s="1029"/>
      <c r="AH63" s="1029"/>
      <c r="AI63" s="1509"/>
      <c r="AJ63" s="60"/>
      <c r="AK63" s="287"/>
    </row>
    <row r="64" spans="9:37" ht="15.95" customHeight="1" x14ac:dyDescent="0.25">
      <c r="I64" s="286"/>
      <c r="J64" s="60"/>
      <c r="K64" s="1508"/>
      <c r="L64" s="1029"/>
      <c r="M64" s="1029"/>
      <c r="N64" s="1029"/>
      <c r="O64" s="1029"/>
      <c r="P64" s="1029"/>
      <c r="Q64" s="1029"/>
      <c r="R64" s="1029"/>
      <c r="S64" s="1029"/>
      <c r="T64" s="1029"/>
      <c r="U64" s="1029"/>
      <c r="V64" s="1029"/>
      <c r="W64" s="1029"/>
      <c r="X64" s="1029"/>
      <c r="Y64" s="1029"/>
      <c r="Z64" s="1029"/>
      <c r="AA64" s="1029"/>
      <c r="AB64" s="1029"/>
      <c r="AC64" s="1029"/>
      <c r="AD64" s="1029"/>
      <c r="AE64" s="1029"/>
      <c r="AF64" s="1029"/>
      <c r="AG64" s="1029"/>
      <c r="AH64" s="1029"/>
      <c r="AI64" s="1509"/>
      <c r="AJ64" s="60"/>
      <c r="AK64" s="287"/>
    </row>
    <row r="65" spans="9:37" ht="15.95" customHeight="1" thickBot="1" x14ac:dyDescent="0.3">
      <c r="I65" s="286"/>
      <c r="J65" s="60"/>
      <c r="K65" s="1505"/>
      <c r="L65" s="1506"/>
      <c r="M65" s="1506"/>
      <c r="N65" s="1506"/>
      <c r="O65" s="1506"/>
      <c r="P65" s="1506"/>
      <c r="Q65" s="1506"/>
      <c r="R65" s="1506"/>
      <c r="S65" s="1506"/>
      <c r="T65" s="1506"/>
      <c r="U65" s="1506"/>
      <c r="V65" s="1506"/>
      <c r="W65" s="1506"/>
      <c r="X65" s="1506"/>
      <c r="Y65" s="1506"/>
      <c r="Z65" s="1506"/>
      <c r="AA65" s="1506"/>
      <c r="AB65" s="1506"/>
      <c r="AC65" s="1506"/>
      <c r="AD65" s="1506"/>
      <c r="AE65" s="1506"/>
      <c r="AF65" s="1506"/>
      <c r="AG65" s="1506"/>
      <c r="AH65" s="1506"/>
      <c r="AI65" s="1507"/>
      <c r="AJ65" s="60"/>
      <c r="AK65" s="287"/>
    </row>
    <row r="66" spans="9:37" ht="15.95" customHeight="1" thickBot="1" x14ac:dyDescent="0.3">
      <c r="I66" s="286"/>
      <c r="J66" s="290" t="s">
        <v>567</v>
      </c>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287"/>
    </row>
    <row r="67" spans="9:37" ht="15.95" customHeight="1" x14ac:dyDescent="0.25">
      <c r="I67" s="286"/>
      <c r="J67" s="60"/>
      <c r="K67" s="1502"/>
      <c r="L67" s="1503"/>
      <c r="M67" s="1503"/>
      <c r="N67" s="1503"/>
      <c r="O67" s="1503"/>
      <c r="P67" s="1503"/>
      <c r="Q67" s="1503"/>
      <c r="R67" s="1503"/>
      <c r="S67" s="1503"/>
      <c r="T67" s="1503"/>
      <c r="U67" s="1503"/>
      <c r="V67" s="1503"/>
      <c r="W67" s="1503"/>
      <c r="X67" s="1503"/>
      <c r="Y67" s="1503"/>
      <c r="Z67" s="1503"/>
      <c r="AA67" s="1503"/>
      <c r="AB67" s="1503"/>
      <c r="AC67" s="1503"/>
      <c r="AD67" s="1503"/>
      <c r="AE67" s="1503"/>
      <c r="AF67" s="1503"/>
      <c r="AG67" s="1503"/>
      <c r="AH67" s="1503"/>
      <c r="AI67" s="1504"/>
      <c r="AJ67" s="60"/>
      <c r="AK67" s="287"/>
    </row>
    <row r="68" spans="9:37" ht="15.95" customHeight="1" thickBot="1" x14ac:dyDescent="0.3">
      <c r="I68" s="286"/>
      <c r="J68" s="60"/>
      <c r="K68" s="1505"/>
      <c r="L68" s="1506"/>
      <c r="M68" s="1506"/>
      <c r="N68" s="1506"/>
      <c r="O68" s="1506"/>
      <c r="P68" s="1506"/>
      <c r="Q68" s="1506"/>
      <c r="R68" s="1506"/>
      <c r="S68" s="1506"/>
      <c r="T68" s="1506"/>
      <c r="U68" s="1506"/>
      <c r="V68" s="1506"/>
      <c r="W68" s="1506"/>
      <c r="X68" s="1506"/>
      <c r="Y68" s="1506"/>
      <c r="Z68" s="1506"/>
      <c r="AA68" s="1506"/>
      <c r="AB68" s="1506"/>
      <c r="AC68" s="1506"/>
      <c r="AD68" s="1506"/>
      <c r="AE68" s="1506"/>
      <c r="AF68" s="1506"/>
      <c r="AG68" s="1506"/>
      <c r="AH68" s="1506"/>
      <c r="AI68" s="1507"/>
      <c r="AJ68" s="60"/>
      <c r="AK68" s="287"/>
    </row>
    <row r="69" spans="9:37" ht="15.95" customHeight="1" x14ac:dyDescent="0.25">
      <c r="I69" s="286"/>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287"/>
    </row>
    <row r="70" spans="9:37" ht="15.95" customHeight="1" x14ac:dyDescent="0.25">
      <c r="I70" s="286"/>
      <c r="J70" s="1496" t="s">
        <v>120</v>
      </c>
      <c r="K70" s="1496"/>
      <c r="L70" s="1496"/>
      <c r="M70" s="1496"/>
      <c r="N70" s="1496"/>
      <c r="O70" s="1496"/>
      <c r="P70" s="1496"/>
      <c r="Q70" s="1496"/>
      <c r="R70" s="1496"/>
      <c r="S70" s="1496"/>
      <c r="T70" s="1496"/>
      <c r="U70" s="1496"/>
      <c r="V70" s="1496"/>
      <c r="W70" s="1496"/>
      <c r="X70" s="1496"/>
      <c r="Y70" s="1496"/>
      <c r="Z70" s="1496"/>
      <c r="AA70" s="1496"/>
      <c r="AB70" s="1496"/>
      <c r="AC70" s="1496"/>
      <c r="AD70" s="1496"/>
      <c r="AE70" s="1496"/>
      <c r="AF70" s="1496"/>
      <c r="AG70" s="1496"/>
      <c r="AH70" s="1496"/>
      <c r="AI70" s="1496"/>
      <c r="AJ70" s="1496"/>
      <c r="AK70" s="287"/>
    </row>
    <row r="71" spans="9:37" ht="15.95" customHeight="1" x14ac:dyDescent="0.25">
      <c r="I71" s="286"/>
      <c r="J71" s="1500"/>
      <c r="K71" s="1500"/>
      <c r="L71" s="1500"/>
      <c r="M71" s="1500"/>
      <c r="N71" s="1500"/>
      <c r="O71" s="1500"/>
      <c r="P71" s="1500"/>
      <c r="Q71" s="1500"/>
      <c r="R71" s="1500"/>
      <c r="S71" s="1500"/>
      <c r="T71" s="1500"/>
      <c r="U71" s="1500"/>
      <c r="V71" s="1500"/>
      <c r="W71" s="1500"/>
      <c r="X71" s="1500"/>
      <c r="Y71" s="1500"/>
      <c r="Z71" s="1500"/>
      <c r="AA71" s="1500"/>
      <c r="AB71" s="1500"/>
      <c r="AC71" s="1500"/>
      <c r="AD71" s="1500"/>
      <c r="AE71" s="1500"/>
      <c r="AF71" s="1500"/>
      <c r="AG71" s="1500"/>
      <c r="AH71" s="1500"/>
      <c r="AI71" s="1500"/>
      <c r="AJ71" s="1500"/>
      <c r="AK71" s="287"/>
    </row>
    <row r="72" spans="9:37" ht="15.95" customHeight="1" x14ac:dyDescent="0.25">
      <c r="I72" s="286"/>
      <c r="J72" s="1499" t="s">
        <v>550</v>
      </c>
      <c r="K72" s="1499"/>
      <c r="L72" s="1499"/>
      <c r="M72" s="1499"/>
      <c r="N72" s="1499"/>
      <c r="O72" s="1499"/>
      <c r="P72" s="1499"/>
      <c r="Q72" s="1499"/>
      <c r="R72" s="1499"/>
      <c r="S72" s="1499"/>
      <c r="T72" s="1499"/>
      <c r="U72" s="1499"/>
      <c r="V72" s="1499"/>
      <c r="W72" s="1499" t="s">
        <v>82</v>
      </c>
      <c r="X72" s="1499"/>
      <c r="Y72" s="1499"/>
      <c r="Z72" s="1499"/>
      <c r="AA72" s="1499"/>
      <c r="AB72" s="1499"/>
      <c r="AC72" s="1499"/>
      <c r="AD72" s="1499"/>
      <c r="AE72" s="1499" t="s">
        <v>568</v>
      </c>
      <c r="AF72" s="1499"/>
      <c r="AG72" s="1499"/>
      <c r="AH72" s="1499"/>
      <c r="AI72" s="1499"/>
      <c r="AJ72" s="1499"/>
      <c r="AK72" s="287"/>
    </row>
    <row r="73" spans="9:37" ht="15.95" customHeight="1" x14ac:dyDescent="0.25">
      <c r="I73" s="286"/>
      <c r="J73" s="1501" t="str">
        <f>IF(J71="","",J71)</f>
        <v/>
      </c>
      <c r="K73" s="1501"/>
      <c r="L73" s="1501"/>
      <c r="M73" s="1501"/>
      <c r="N73" s="1501"/>
      <c r="O73" s="1501"/>
      <c r="P73" s="1501"/>
      <c r="Q73" s="1501"/>
      <c r="R73" s="1501"/>
      <c r="S73" s="1501"/>
      <c r="T73" s="1501"/>
      <c r="U73" s="1501"/>
      <c r="V73" s="1501"/>
      <c r="W73" s="1501"/>
      <c r="X73" s="1501"/>
      <c r="Y73" s="1501"/>
      <c r="Z73" s="1501"/>
      <c r="AA73" s="1501"/>
      <c r="AB73" s="1501"/>
      <c r="AC73" s="1501"/>
      <c r="AD73" s="1501"/>
      <c r="AE73" s="1501"/>
      <c r="AF73" s="1501"/>
      <c r="AG73" s="1501"/>
      <c r="AH73" s="1501"/>
      <c r="AI73" s="1501"/>
      <c r="AJ73" s="1501"/>
      <c r="AK73" s="287"/>
    </row>
    <row r="74" spans="9:37" ht="15.95" customHeight="1" x14ac:dyDescent="0.25">
      <c r="I74" s="286"/>
      <c r="J74" s="1499" t="s">
        <v>120</v>
      </c>
      <c r="K74" s="1499"/>
      <c r="L74" s="1499"/>
      <c r="M74" s="1499"/>
      <c r="N74" s="1499"/>
      <c r="O74" s="1499"/>
      <c r="P74" s="1499"/>
      <c r="Q74" s="1499"/>
      <c r="R74" s="1499"/>
      <c r="S74" s="1499"/>
      <c r="T74" s="1499"/>
      <c r="U74" s="1499"/>
      <c r="V74" s="1499"/>
      <c r="W74" s="1499"/>
      <c r="X74" s="1499"/>
      <c r="Y74" s="1499"/>
      <c r="Z74" s="1499"/>
      <c r="AA74" s="1499"/>
      <c r="AB74" s="1499"/>
      <c r="AC74" s="1499"/>
      <c r="AD74" s="1499"/>
      <c r="AE74" s="1499"/>
      <c r="AF74" s="1499"/>
      <c r="AG74" s="1499"/>
      <c r="AH74" s="1499"/>
      <c r="AI74" s="1499"/>
      <c r="AJ74" s="1499"/>
      <c r="AK74" s="287"/>
    </row>
    <row r="75" spans="9:37" ht="15.95" customHeight="1" x14ac:dyDescent="0.25">
      <c r="I75" s="286"/>
      <c r="J75" s="96"/>
      <c r="K75" s="97"/>
      <c r="L75" s="266"/>
      <c r="M75" s="266"/>
      <c r="N75" s="266"/>
      <c r="O75" s="266"/>
      <c r="P75" s="266"/>
      <c r="Q75" s="266"/>
      <c r="R75" s="266"/>
      <c r="S75" s="266"/>
      <c r="T75" s="266"/>
      <c r="U75" s="266"/>
      <c r="V75" s="266"/>
      <c r="W75" s="266"/>
      <c r="X75" s="266"/>
      <c r="Y75" s="266"/>
      <c r="Z75" s="266"/>
      <c r="AA75" s="266"/>
      <c r="AB75" s="266"/>
      <c r="AC75" s="266"/>
      <c r="AD75" s="266"/>
      <c r="AE75" s="266"/>
      <c r="AF75" s="266"/>
      <c r="AG75" s="266"/>
      <c r="AH75" s="266"/>
      <c r="AI75" s="97"/>
      <c r="AJ75" s="97"/>
      <c r="AK75" s="287"/>
    </row>
    <row r="76" spans="9:37" ht="15.95" customHeight="1" x14ac:dyDescent="0.25">
      <c r="I76" s="286"/>
      <c r="J76" s="57"/>
      <c r="K76" s="58"/>
      <c r="L76" s="266"/>
      <c r="M76" s="266"/>
      <c r="N76" s="266"/>
      <c r="O76" s="266"/>
      <c r="P76" s="266"/>
      <c r="Q76" s="266"/>
      <c r="R76" s="266"/>
      <c r="S76" s="266"/>
      <c r="T76" s="266"/>
      <c r="U76" s="266"/>
      <c r="V76" s="266"/>
      <c r="W76" s="266"/>
      <c r="X76" s="266"/>
      <c r="Y76" s="266"/>
      <c r="Z76" s="266"/>
      <c r="AA76" s="266"/>
      <c r="AB76" s="266"/>
      <c r="AC76" s="266"/>
      <c r="AD76" s="266"/>
      <c r="AE76" s="266"/>
      <c r="AF76" s="266"/>
      <c r="AG76" s="266"/>
      <c r="AH76" s="266"/>
      <c r="AI76" s="56"/>
      <c r="AJ76" s="59" t="s">
        <v>136</v>
      </c>
      <c r="AK76" s="287"/>
    </row>
    <row r="77" spans="9:37" ht="15.95" customHeight="1" x14ac:dyDescent="0.25">
      <c r="I77" s="291"/>
      <c r="J77" s="271"/>
      <c r="K77" s="271"/>
      <c r="L77" s="271"/>
      <c r="M77" s="271"/>
      <c r="N77" s="271"/>
      <c r="O77" s="271"/>
      <c r="P77" s="271"/>
      <c r="Q77" s="271"/>
      <c r="R77" s="271"/>
      <c r="S77" s="271"/>
      <c r="T77" s="271"/>
      <c r="U77" s="271"/>
      <c r="V77" s="271"/>
      <c r="W77" s="271"/>
      <c r="X77" s="271"/>
      <c r="Y77" s="271"/>
      <c r="Z77" s="271"/>
      <c r="AA77" s="271"/>
      <c r="AB77" s="271"/>
      <c r="AC77" s="271"/>
      <c r="AD77" s="271"/>
      <c r="AE77" s="271"/>
      <c r="AF77" s="271"/>
      <c r="AG77" s="271"/>
      <c r="AH77" s="271"/>
      <c r="AI77" s="271"/>
      <c r="AJ77" s="271"/>
      <c r="AK77" s="292"/>
    </row>
    <row r="78" spans="9:37" ht="15.95" customHeight="1" x14ac:dyDescent="0.25"/>
    <row r="79" spans="9:37" ht="15.95" customHeight="1" x14ac:dyDescent="0.25"/>
    <row r="80" spans="9:37" ht="15.95" customHeight="1" x14ac:dyDescent="0.25"/>
    <row r="81" ht="15.95" hidden="1" customHeight="1" x14ac:dyDescent="0.25"/>
    <row r="82" ht="15.95" hidden="1" customHeight="1" x14ac:dyDescent="0.25"/>
    <row r="83" s="63" customFormat="1" ht="15.95" hidden="1" customHeight="1" x14ac:dyDescent="0.25"/>
    <row r="84" ht="15.95" hidden="1" customHeight="1" x14ac:dyDescent="0.25"/>
    <row r="85" ht="15.95" hidden="1" customHeight="1" x14ac:dyDescent="0.25"/>
    <row r="86" ht="15.95" hidden="1" customHeight="1" x14ac:dyDescent="0.25"/>
    <row r="87" ht="15.95" hidden="1" customHeight="1" x14ac:dyDescent="0.25"/>
    <row r="88" ht="15.95" hidden="1" customHeight="1" x14ac:dyDescent="0.25"/>
    <row r="89" ht="15.95" hidden="1" customHeight="1" x14ac:dyDescent="0.25"/>
    <row r="90" ht="15.95" hidden="1" customHeight="1" x14ac:dyDescent="0.25"/>
    <row r="91" ht="15.95" hidden="1" customHeight="1" x14ac:dyDescent="0.25"/>
    <row r="92" ht="15.95" hidden="1" customHeight="1" x14ac:dyDescent="0.25"/>
    <row r="93" ht="15.95" hidden="1" customHeight="1" x14ac:dyDescent="0.25"/>
    <row r="94" ht="15.95" hidden="1" customHeight="1" x14ac:dyDescent="0.25"/>
    <row r="95" ht="15.95" hidden="1" customHeight="1" x14ac:dyDescent="0.25"/>
    <row r="96" ht="15.95" hidden="1" customHeight="1" x14ac:dyDescent="0.25"/>
    <row r="97" ht="15.95" hidden="1" customHeight="1" x14ac:dyDescent="0.25"/>
    <row r="98" ht="15.95" hidden="1" customHeight="1" x14ac:dyDescent="0.25"/>
    <row r="99" ht="15.95" hidden="1" customHeight="1" x14ac:dyDescent="0.25"/>
    <row r="100" ht="15.95" hidden="1" customHeight="1" x14ac:dyDescent="0.25"/>
    <row r="101" ht="15.95" hidden="1" customHeight="1" x14ac:dyDescent="0.25"/>
    <row r="102" ht="15.95" hidden="1" customHeight="1" x14ac:dyDescent="0.25"/>
    <row r="103" ht="15.95" hidden="1" customHeight="1" x14ac:dyDescent="0.25"/>
    <row r="104" ht="15.95" hidden="1" customHeight="1" x14ac:dyDescent="0.25"/>
    <row r="105" ht="15.95" hidden="1" customHeight="1" x14ac:dyDescent="0.25"/>
    <row r="106" ht="15.95" hidden="1" customHeight="1" x14ac:dyDescent="0.25"/>
    <row r="107" ht="15.95" hidden="1" customHeight="1" x14ac:dyDescent="0.25"/>
    <row r="108" ht="15.95" hidden="1" customHeight="1" x14ac:dyDescent="0.25"/>
    <row r="109" ht="15.95" hidden="1" customHeight="1" x14ac:dyDescent="0.25"/>
    <row r="110" ht="15.95" hidden="1" customHeight="1" x14ac:dyDescent="0.25"/>
    <row r="111" ht="15.95" hidden="1" customHeight="1" x14ac:dyDescent="0.25"/>
    <row r="112" ht="15.95" hidden="1" customHeight="1" x14ac:dyDescent="0.25"/>
    <row r="113" ht="15.95" hidden="1" customHeight="1" x14ac:dyDescent="0.25"/>
    <row r="114" ht="15.95" hidden="1" customHeight="1" x14ac:dyDescent="0.25"/>
    <row r="115" ht="15.95" hidden="1" customHeight="1" x14ac:dyDescent="0.25"/>
    <row r="116" ht="15.95" hidden="1" customHeight="1" x14ac:dyDescent="0.25"/>
    <row r="117" ht="15.95" hidden="1" customHeight="1" x14ac:dyDescent="0.25"/>
    <row r="118" ht="15.95" hidden="1" customHeight="1" x14ac:dyDescent="0.25"/>
    <row r="119" ht="15.95" hidden="1" customHeight="1" x14ac:dyDescent="0.25"/>
    <row r="120" ht="15.95" hidden="1" customHeight="1" x14ac:dyDescent="0.25"/>
    <row r="121" ht="15.95" hidden="1" customHeight="1" x14ac:dyDescent="0.25"/>
    <row r="122" ht="15.95" hidden="1" customHeight="1" x14ac:dyDescent="0.25"/>
    <row r="123" ht="15.95" hidden="1" customHeight="1" x14ac:dyDescent="0.25"/>
    <row r="124" ht="15.95" hidden="1" customHeight="1" x14ac:dyDescent="0.25"/>
    <row r="125" ht="15.95" hidden="1" customHeight="1" x14ac:dyDescent="0.25"/>
    <row r="126" ht="15.95" hidden="1" customHeight="1" x14ac:dyDescent="0.25"/>
    <row r="127" ht="15.95" hidden="1" customHeight="1" x14ac:dyDescent="0.25"/>
    <row r="128" ht="15.95" hidden="1" customHeight="1" x14ac:dyDescent="0.25"/>
    <row r="129" ht="15.95" hidden="1" customHeight="1" x14ac:dyDescent="0.25"/>
    <row r="130" ht="15.95" hidden="1" customHeight="1" x14ac:dyDescent="0.25"/>
    <row r="131" ht="15.95" hidden="1" customHeight="1" x14ac:dyDescent="0.25"/>
    <row r="132" ht="15.95" hidden="1" customHeight="1" x14ac:dyDescent="0.25"/>
    <row r="133" ht="15.95" hidden="1" customHeight="1" x14ac:dyDescent="0.25"/>
    <row r="134" ht="15.95" hidden="1" customHeight="1" x14ac:dyDescent="0.25"/>
    <row r="135" ht="15.95" hidden="1" customHeight="1" x14ac:dyDescent="0.25"/>
    <row r="136" ht="15.95" hidden="1" customHeight="1" x14ac:dyDescent="0.25"/>
    <row r="137" ht="15.95" hidden="1" customHeight="1" x14ac:dyDescent="0.25"/>
    <row r="138" ht="15.95" hidden="1" customHeight="1" x14ac:dyDescent="0.25"/>
    <row r="139" ht="15.95" hidden="1" customHeight="1" x14ac:dyDescent="0.25"/>
    <row r="140" ht="15.95" hidden="1" customHeight="1" x14ac:dyDescent="0.25"/>
    <row r="141" ht="15.95" hidden="1" customHeight="1" x14ac:dyDescent="0.25"/>
    <row r="142" ht="15.95" hidden="1" customHeight="1" x14ac:dyDescent="0.25"/>
    <row r="143" ht="15.95" hidden="1" customHeight="1" x14ac:dyDescent="0.25"/>
    <row r="144" ht="15.95" hidden="1" customHeight="1" x14ac:dyDescent="0.25"/>
    <row r="145" ht="15.95" hidden="1" customHeight="1" x14ac:dyDescent="0.25"/>
    <row r="146" ht="15.95" hidden="1" customHeight="1" x14ac:dyDescent="0.25"/>
    <row r="147" ht="15.95" hidden="1" customHeight="1" x14ac:dyDescent="0.25"/>
    <row r="148" ht="15.95" hidden="1" customHeight="1" x14ac:dyDescent="0.25"/>
    <row r="149" ht="15.95" hidden="1" customHeight="1" x14ac:dyDescent="0.25"/>
    <row r="150" ht="15.95" hidden="1" customHeight="1" x14ac:dyDescent="0.25"/>
    <row r="151" ht="15.95" hidden="1" customHeight="1" x14ac:dyDescent="0.25"/>
    <row r="152" ht="15.95" hidden="1" customHeight="1" x14ac:dyDescent="0.25"/>
    <row r="153" ht="15.95" hidden="1" customHeight="1" x14ac:dyDescent="0.25"/>
    <row r="154" ht="15.95" hidden="1" customHeight="1" x14ac:dyDescent="0.25"/>
    <row r="155" ht="15.95" hidden="1" customHeight="1" x14ac:dyDescent="0.25"/>
    <row r="156" ht="15.95" hidden="1" customHeight="1" x14ac:dyDescent="0.25"/>
    <row r="157" ht="15.95" hidden="1" customHeight="1" x14ac:dyDescent="0.25"/>
    <row r="158" ht="15.95" hidden="1" customHeight="1" x14ac:dyDescent="0.25"/>
    <row r="159" ht="15.95" hidden="1" customHeight="1" x14ac:dyDescent="0.25"/>
    <row r="160" ht="15.95" hidden="1" customHeight="1" x14ac:dyDescent="0.25"/>
    <row r="161" ht="15.95" hidden="1" customHeight="1" x14ac:dyDescent="0.25"/>
    <row r="162" ht="15.95" hidden="1" customHeight="1" x14ac:dyDescent="0.25"/>
    <row r="163" ht="15.95" hidden="1" customHeight="1" x14ac:dyDescent="0.25"/>
    <row r="164" ht="15.95" hidden="1" customHeight="1" x14ac:dyDescent="0.25"/>
    <row r="165" ht="15.95" hidden="1" customHeight="1" x14ac:dyDescent="0.25"/>
    <row r="166" ht="15.95" hidden="1" customHeight="1" x14ac:dyDescent="0.25"/>
    <row r="167" ht="15.95" hidden="1" customHeight="1" x14ac:dyDescent="0.25"/>
    <row r="168" ht="15.95" hidden="1" customHeight="1" x14ac:dyDescent="0.25"/>
    <row r="169" ht="15.95" hidden="1" customHeight="1" x14ac:dyDescent="0.25"/>
    <row r="170" ht="15.95" hidden="1" customHeight="1" x14ac:dyDescent="0.25"/>
    <row r="171" ht="15.95" hidden="1" customHeight="1" x14ac:dyDescent="0.25"/>
    <row r="172" ht="15.95" hidden="1" customHeight="1" x14ac:dyDescent="0.25"/>
    <row r="173" ht="15.95" hidden="1" customHeight="1" x14ac:dyDescent="0.25"/>
    <row r="174" ht="15.95" hidden="1" customHeight="1" x14ac:dyDescent="0.25"/>
    <row r="175" ht="15.95" hidden="1" customHeight="1" x14ac:dyDescent="0.25"/>
    <row r="176" ht="15.95" hidden="1" customHeight="1" x14ac:dyDescent="0.25"/>
    <row r="177" ht="15.95" hidden="1" customHeight="1" x14ac:dyDescent="0.25"/>
    <row r="178" ht="15.95" hidden="1" customHeight="1" x14ac:dyDescent="0.25"/>
    <row r="179" ht="15.95" hidden="1" customHeight="1" x14ac:dyDescent="0.25"/>
    <row r="180" ht="15.95" hidden="1" customHeight="1" x14ac:dyDescent="0.25"/>
    <row r="181" ht="15.95" hidden="1" customHeight="1" x14ac:dyDescent="0.25"/>
    <row r="182" ht="15.95" hidden="1" customHeight="1" x14ac:dyDescent="0.25"/>
    <row r="183" ht="15.95" hidden="1" customHeight="1" x14ac:dyDescent="0.25"/>
    <row r="184" ht="15.95" hidden="1" customHeight="1" x14ac:dyDescent="0.25"/>
    <row r="185" ht="15.95" hidden="1" customHeight="1" x14ac:dyDescent="0.25"/>
    <row r="186" ht="15.95" hidden="1" customHeight="1" x14ac:dyDescent="0.25"/>
    <row r="187" ht="15.95" hidden="1" customHeight="1" x14ac:dyDescent="0.25"/>
    <row r="188" ht="15.95" hidden="1" customHeight="1" x14ac:dyDescent="0.25"/>
    <row r="189" ht="15.95" hidden="1" customHeight="1" x14ac:dyDescent="0.25"/>
    <row r="190" ht="15.95" hidden="1" customHeight="1" x14ac:dyDescent="0.25"/>
    <row r="191" ht="15.95" hidden="1" customHeight="1" x14ac:dyDescent="0.25"/>
    <row r="192" ht="15.95" hidden="1" customHeight="1" x14ac:dyDescent="0.25"/>
    <row r="193" spans="2:44" ht="15.95" hidden="1" customHeight="1" x14ac:dyDescent="0.25"/>
    <row r="194" spans="2:44" ht="15.95" hidden="1" customHeight="1" x14ac:dyDescent="0.25"/>
    <row r="195" spans="2:44" ht="15.95" hidden="1" customHeight="1" x14ac:dyDescent="0.25"/>
    <row r="196" spans="2:44" s="63" customFormat="1" ht="15.95" hidden="1" customHeight="1" x14ac:dyDescent="0.25"/>
    <row r="197" spans="2:44" ht="15.95" hidden="1" customHeight="1" x14ac:dyDescent="0.25"/>
    <row r="198" spans="2:44" ht="15.95" hidden="1" customHeight="1" x14ac:dyDescent="0.25"/>
    <row r="199" spans="2:44" ht="15.95" hidden="1" customHeight="1" x14ac:dyDescent="0.25"/>
    <row r="200" spans="2:44" ht="15.95" customHeight="1" x14ac:dyDescent="0.25">
      <c r="B200" s="136" t="str">
        <f>FOOT1</f>
        <v>Ameren Missouri BizSavers program</v>
      </c>
      <c r="C200" s="136"/>
      <c r="D200" s="136"/>
      <c r="E200" s="136"/>
      <c r="F200" s="136"/>
      <c r="G200" s="136"/>
      <c r="H200" s="136"/>
      <c r="I200" s="136"/>
      <c r="J200" s="136"/>
      <c r="K200" s="136"/>
      <c r="L200" s="136"/>
      <c r="M200" s="729" t="str">
        <f>FOOTDISCLAIM</f>
        <v/>
      </c>
      <c r="N200" s="729"/>
      <c r="O200" s="729"/>
      <c r="P200" s="729"/>
      <c r="Q200" s="729"/>
      <c r="R200" s="729"/>
      <c r="S200" s="729"/>
      <c r="T200" s="729"/>
      <c r="U200" s="729"/>
      <c r="V200" s="729"/>
      <c r="W200" s="729"/>
      <c r="X200" s="729"/>
      <c r="Y200" s="729"/>
      <c r="Z200" s="729"/>
      <c r="AA200" s="729"/>
      <c r="AB200" s="729"/>
      <c r="AC200" s="729"/>
      <c r="AD200" s="729"/>
      <c r="AE200" s="729"/>
      <c r="AF200" s="729"/>
      <c r="AG200" s="729"/>
      <c r="AH200" s="136"/>
      <c r="AI200" s="136"/>
      <c r="AJ200" s="136"/>
      <c r="AK200" s="136"/>
      <c r="AL200" s="136"/>
      <c r="AM200" s="136"/>
      <c r="AN200" s="136"/>
      <c r="AO200" s="136"/>
      <c r="AP200" s="136"/>
      <c r="AQ200" s="136"/>
      <c r="AR200" s="300" t="str">
        <f>FOOT4</f>
        <v/>
      </c>
    </row>
    <row r="201" spans="2:44" ht="15.95" customHeight="1" x14ac:dyDescent="0.25">
      <c r="B201" s="136" t="str">
        <f>FOOT2</f>
        <v>Toll-Free 866-941-7299</v>
      </c>
      <c r="C201" s="136"/>
      <c r="D201" s="136"/>
      <c r="E201" s="136"/>
      <c r="F201" s="136"/>
      <c r="G201" s="136"/>
      <c r="H201" s="136"/>
      <c r="I201" s="136"/>
      <c r="J201" s="136"/>
      <c r="K201" s="136"/>
      <c r="L201" s="136"/>
      <c r="M201" s="729"/>
      <c r="N201" s="729"/>
      <c r="O201" s="729"/>
      <c r="P201" s="729"/>
      <c r="Q201" s="729"/>
      <c r="R201" s="729"/>
      <c r="S201" s="729"/>
      <c r="T201" s="729"/>
      <c r="U201" s="729"/>
      <c r="V201" s="729"/>
      <c r="W201" s="729"/>
      <c r="X201" s="729"/>
      <c r="Y201" s="729"/>
      <c r="Z201" s="729"/>
      <c r="AA201" s="729"/>
      <c r="AB201" s="729"/>
      <c r="AC201" s="729"/>
      <c r="AD201" s="729"/>
      <c r="AE201" s="729"/>
      <c r="AF201" s="729"/>
      <c r="AG201" s="729"/>
      <c r="AH201" s="136"/>
      <c r="AI201" s="136"/>
      <c r="AJ201" s="136"/>
      <c r="AK201" s="136"/>
      <c r="AL201" s="136"/>
      <c r="AM201" s="136"/>
      <c r="AN201" s="136"/>
      <c r="AO201" s="136"/>
      <c r="AP201" s="136"/>
      <c r="AQ201" s="136"/>
      <c r="AR201" s="300" t="str">
        <f>FOOT5</f>
        <v/>
      </c>
    </row>
    <row r="202" spans="2:44" ht="15.95" customHeight="1" x14ac:dyDescent="0.25">
      <c r="B202" s="138" t="str">
        <f>FOOT3</f>
        <v>BizSavers@ameren.com</v>
      </c>
      <c r="C202" s="136"/>
      <c r="D202" s="136"/>
      <c r="E202" s="136"/>
      <c r="F202" s="136"/>
      <c r="G202" s="136"/>
      <c r="H202" s="136"/>
      <c r="I202" s="136"/>
      <c r="J202" s="136"/>
      <c r="K202" s="136"/>
      <c r="L202" s="136"/>
      <c r="M202" s="139"/>
      <c r="N202" s="136"/>
      <c r="O202" s="136"/>
      <c r="P202" s="139"/>
      <c r="Q202" s="139"/>
      <c r="R202" s="139"/>
      <c r="S202" s="139"/>
      <c r="T202" s="139"/>
      <c r="U202" s="139"/>
      <c r="V202" s="139"/>
      <c r="W202" s="140" t="str">
        <f>VERSION</f>
        <v>New Construction v3.8.0</v>
      </c>
      <c r="X202" s="139"/>
      <c r="Y202" s="139"/>
      <c r="Z202" s="139"/>
      <c r="AA202" s="139"/>
      <c r="AB202" s="139"/>
      <c r="AC202" s="139"/>
      <c r="AD202" s="139"/>
      <c r="AE202" s="136"/>
      <c r="AF202" s="136"/>
      <c r="AG202" s="136"/>
      <c r="AH202" s="136"/>
      <c r="AI202" s="136"/>
      <c r="AJ202" s="136"/>
      <c r="AK202" s="136"/>
      <c r="AL202" s="136"/>
      <c r="AM202" s="136"/>
      <c r="AN202" s="136"/>
      <c r="AO202" s="136"/>
      <c r="AP202" s="136"/>
      <c r="AQ202" s="136"/>
      <c r="AR202" s="300" t="str">
        <f>FOOT6</f>
        <v>Product of TRC Companies</v>
      </c>
    </row>
    <row r="203" spans="2:44" ht="15" hidden="1" customHeight="1" x14ac:dyDescent="0.25"/>
  </sheetData>
  <sheetProtection algorithmName="SHA-512" hashValue="gTb1rZQI4Vlh+SgZ0G1D5RJDlnFXIgP4iuFZSOHRYQMAIfhX+nrgh63ZJotbiUDPGpFd3Udx3ugz9WCShVdYNw==" saltValue="BwCSx+L8tTs/iM+UaWBUCA==" spinCount="100000" sheet="1" objects="1" scenarios="1" selectLockedCells="1"/>
  <mergeCells count="89">
    <mergeCell ref="J44:Q44"/>
    <mergeCell ref="J45:Q45"/>
    <mergeCell ref="S44:Z44"/>
    <mergeCell ref="S45:Z45"/>
    <mergeCell ref="AB44:AG44"/>
    <mergeCell ref="AB45:AG45"/>
    <mergeCell ref="J18:AJ18"/>
    <mergeCell ref="J72:V72"/>
    <mergeCell ref="W72:AD72"/>
    <mergeCell ref="AE72:AJ72"/>
    <mergeCell ref="J73:AJ73"/>
    <mergeCell ref="K67:AI68"/>
    <mergeCell ref="K61:AI65"/>
    <mergeCell ref="J59:AJ59"/>
    <mergeCell ref="J47:AJ47"/>
    <mergeCell ref="J40:U40"/>
    <mergeCell ref="V40:AD40"/>
    <mergeCell ref="AE40:AG40"/>
    <mergeCell ref="AH40:AJ40"/>
    <mergeCell ref="J42:AJ42"/>
    <mergeCell ref="J38:R38"/>
    <mergeCell ref="S38:AA38"/>
    <mergeCell ref="J74:AJ74"/>
    <mergeCell ref="J71:V71"/>
    <mergeCell ref="W71:AD71"/>
    <mergeCell ref="AE71:AJ71"/>
    <mergeCell ref="J70:AJ70"/>
    <mergeCell ref="AB38:AJ38"/>
    <mergeCell ref="J39:U39"/>
    <mergeCell ref="V39:AD39"/>
    <mergeCell ref="AE39:AG39"/>
    <mergeCell ref="AH39:AJ39"/>
    <mergeCell ref="J36:V36"/>
    <mergeCell ref="W36:AC36"/>
    <mergeCell ref="AD36:AJ36"/>
    <mergeCell ref="J37:R37"/>
    <mergeCell ref="S37:AA37"/>
    <mergeCell ref="AB37:AJ37"/>
    <mergeCell ref="J32:U32"/>
    <mergeCell ref="V32:AD32"/>
    <mergeCell ref="AE32:AG32"/>
    <mergeCell ref="AH32:AJ32"/>
    <mergeCell ref="J35:V35"/>
    <mergeCell ref="W35:AC35"/>
    <mergeCell ref="AD35:AJ35"/>
    <mergeCell ref="J34:AJ34"/>
    <mergeCell ref="J30:R30"/>
    <mergeCell ref="S30:AA30"/>
    <mergeCell ref="AB30:AJ30"/>
    <mergeCell ref="J31:U31"/>
    <mergeCell ref="V31:AD31"/>
    <mergeCell ref="AE31:AG31"/>
    <mergeCell ref="AH31:AJ31"/>
    <mergeCell ref="J26:U26"/>
    <mergeCell ref="V26:AD26"/>
    <mergeCell ref="AE26:AG26"/>
    <mergeCell ref="AH26:AJ26"/>
    <mergeCell ref="J29:R29"/>
    <mergeCell ref="S29:AA29"/>
    <mergeCell ref="AB29:AJ29"/>
    <mergeCell ref="J28:AJ28"/>
    <mergeCell ref="S24:AA24"/>
    <mergeCell ref="AB24:AJ24"/>
    <mergeCell ref="J25:U25"/>
    <mergeCell ref="V25:AD25"/>
    <mergeCell ref="AE25:AG25"/>
    <mergeCell ref="AH25:AJ25"/>
    <mergeCell ref="M200:AG201"/>
    <mergeCell ref="F10:AN10"/>
    <mergeCell ref="F11:AN11"/>
    <mergeCell ref="N17:P17"/>
    <mergeCell ref="J19:AJ19"/>
    <mergeCell ref="J20:AJ20"/>
    <mergeCell ref="J21:V21"/>
    <mergeCell ref="W21:AC21"/>
    <mergeCell ref="AD21:AJ21"/>
    <mergeCell ref="J22:V22"/>
    <mergeCell ref="W22:AC22"/>
    <mergeCell ref="AD22:AJ22"/>
    <mergeCell ref="J23:R23"/>
    <mergeCell ref="S23:AA23"/>
    <mergeCell ref="AB23:AJ23"/>
    <mergeCell ref="J24:R24"/>
    <mergeCell ref="AQ1:AR1"/>
    <mergeCell ref="AQ2:AR3"/>
    <mergeCell ref="AH1:AK1"/>
    <mergeCell ref="AL1:AP1"/>
    <mergeCell ref="AH2:AK3"/>
    <mergeCell ref="AL2:AP3"/>
  </mergeCells>
  <conditionalFormatting sqref="J44:Q44 S44:Z44 AB44:AG44 K61:AI65 K67:AI68 J71:AJ71">
    <cfRule type="containsBlanks" dxfId="17" priority="68">
      <formula>LEN(TRIM(J44))=0</formula>
    </cfRule>
  </conditionalFormatting>
  <conditionalFormatting sqref="AQ2:AR3">
    <cfRule type="cellIs" dxfId="16" priority="3" operator="equal">
      <formula>1</formula>
    </cfRule>
    <cfRule type="cellIs" dxfId="15" priority="4" operator="between">
      <formula>0.51</formula>
      <formula>0.99</formula>
    </cfRule>
    <cfRule type="cellIs" dxfId="14" priority="5" operator="lessThanOrEqual">
      <formula>0.5</formula>
    </cfRule>
  </conditionalFormatting>
  <conditionalFormatting sqref="AH2 AL2">
    <cfRule type="expression" dxfId="13" priority="1">
      <formula>OR(PROJSTATUS=PROJSTATELI,PROJSTATUS=PROJSTATEXP,PROJSTATUS=PROJSTATUNDER)</formula>
    </cfRule>
    <cfRule type="expression" dxfId="12" priority="2">
      <formula>PROJSTATUS=PROJSTATFILLINITIAL</formula>
    </cfRule>
    <cfRule type="expression" dxfId="11" priority="6">
      <formula>PROJSTATUS=PROJSTATPREAPPROVE</formula>
    </cfRule>
    <cfRule type="expression" dxfId="10" priority="7">
      <formula>OR(PROJSTATUS=PROJSTATSSUBMITINITIAL,PROJSTATUS=PROJSTATREVIEW)</formula>
    </cfRule>
  </conditionalFormatting>
  <dataValidations count="2">
    <dataValidation type="list" allowBlank="1" showInputMessage="1" showErrorMessage="1" sqref="J44" xr:uid="{00000000-0002-0000-2B00-000000000000}">
      <formula1>"Pre-Installation Inspection,Post-Installation Inspection,Random Inspection,""For Cause"" Inspection,Failed Inspection Follow Up"</formula1>
    </dataValidation>
    <dataValidation type="list" allowBlank="1" showInputMessage="1" showErrorMessage="1" sqref="AB44" xr:uid="{00000000-0002-0000-2B00-000001000000}">
      <formula1>"PASS,FAIL"</formula1>
    </dataValidation>
  </dataValidations>
  <hyperlinks>
    <hyperlink ref="B202" r:id="rId1" display="NIPSCO.Savings@LMCO.com" xr:uid="{00000000-0004-0000-2B00-000000000000}"/>
  </hyperlinks>
  <printOptions horizontalCentered="1" verticalCentered="1"/>
  <pageMargins left="0.3" right="0.3" top="0.3" bottom="0.3" header="0.25" footer="0.25"/>
  <pageSetup scale="76"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41986" r:id="rId5" name="Check Box 2">
              <controlPr defaultSize="0" autoFill="0" autoLine="0" autoPict="0">
                <anchor moveWithCells="1">
                  <from>
                    <xdr:col>10</xdr:col>
                    <xdr:colOff>9525</xdr:colOff>
                    <xdr:row>48</xdr:row>
                    <xdr:rowOff>0</xdr:rowOff>
                  </from>
                  <to>
                    <xdr:col>11</xdr:col>
                    <xdr:colOff>0</xdr:colOff>
                    <xdr:row>48</xdr:row>
                    <xdr:rowOff>190500</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10</xdr:col>
                    <xdr:colOff>9525</xdr:colOff>
                    <xdr:row>49</xdr:row>
                    <xdr:rowOff>0</xdr:rowOff>
                  </from>
                  <to>
                    <xdr:col>11</xdr:col>
                    <xdr:colOff>0</xdr:colOff>
                    <xdr:row>49</xdr:row>
                    <xdr:rowOff>190500</xdr:rowOff>
                  </to>
                </anchor>
              </controlPr>
            </control>
          </mc:Choice>
        </mc:AlternateContent>
        <mc:AlternateContent xmlns:mc="http://schemas.openxmlformats.org/markup-compatibility/2006">
          <mc:Choice Requires="x14">
            <control shapeId="41991" r:id="rId7" name="Check Box 7">
              <controlPr defaultSize="0" autoFill="0" autoLine="0" autoPict="0">
                <anchor moveWithCells="1">
                  <from>
                    <xdr:col>10</xdr:col>
                    <xdr:colOff>9525</xdr:colOff>
                    <xdr:row>53</xdr:row>
                    <xdr:rowOff>0</xdr:rowOff>
                  </from>
                  <to>
                    <xdr:col>11</xdr:col>
                    <xdr:colOff>0</xdr:colOff>
                    <xdr:row>53</xdr:row>
                    <xdr:rowOff>190500</xdr:rowOff>
                  </to>
                </anchor>
              </controlPr>
            </control>
          </mc:Choice>
        </mc:AlternateContent>
        <mc:AlternateContent xmlns:mc="http://schemas.openxmlformats.org/markup-compatibility/2006">
          <mc:Choice Requires="x14">
            <control shapeId="41992" r:id="rId8" name="Check Box 8">
              <controlPr defaultSize="0" autoFill="0" autoLine="0" autoPict="0">
                <anchor moveWithCells="1">
                  <from>
                    <xdr:col>10</xdr:col>
                    <xdr:colOff>9525</xdr:colOff>
                    <xdr:row>54</xdr:row>
                    <xdr:rowOff>0</xdr:rowOff>
                  </from>
                  <to>
                    <xdr:col>11</xdr:col>
                    <xdr:colOff>0</xdr:colOff>
                    <xdr:row>54</xdr:row>
                    <xdr:rowOff>190500</xdr:rowOff>
                  </to>
                </anchor>
              </controlPr>
            </control>
          </mc:Choice>
        </mc:AlternateContent>
        <mc:AlternateContent xmlns:mc="http://schemas.openxmlformats.org/markup-compatibility/2006">
          <mc:Choice Requires="x14">
            <control shapeId="41993" r:id="rId9" name="Check Box 9">
              <controlPr defaultSize="0" autoFill="0" autoLine="0" autoPict="0">
                <anchor moveWithCells="1">
                  <from>
                    <xdr:col>10</xdr:col>
                    <xdr:colOff>9525</xdr:colOff>
                    <xdr:row>50</xdr:row>
                    <xdr:rowOff>0</xdr:rowOff>
                  </from>
                  <to>
                    <xdr:col>11</xdr:col>
                    <xdr:colOff>0</xdr:colOff>
                    <xdr:row>50</xdr:row>
                    <xdr:rowOff>190500</xdr:rowOff>
                  </to>
                </anchor>
              </controlPr>
            </control>
          </mc:Choice>
        </mc:AlternateContent>
        <mc:AlternateContent xmlns:mc="http://schemas.openxmlformats.org/markup-compatibility/2006">
          <mc:Choice Requires="x14">
            <control shapeId="41994" r:id="rId10" name="Check Box 10">
              <controlPr defaultSize="0" autoFill="0" autoLine="0" autoPict="0">
                <anchor moveWithCells="1">
                  <from>
                    <xdr:col>10</xdr:col>
                    <xdr:colOff>9525</xdr:colOff>
                    <xdr:row>51</xdr:row>
                    <xdr:rowOff>0</xdr:rowOff>
                  </from>
                  <to>
                    <xdr:col>11</xdr:col>
                    <xdr:colOff>0</xdr:colOff>
                    <xdr:row>51</xdr:row>
                    <xdr:rowOff>190500</xdr:rowOff>
                  </to>
                </anchor>
              </controlPr>
            </control>
          </mc:Choice>
        </mc:AlternateContent>
        <mc:AlternateContent xmlns:mc="http://schemas.openxmlformats.org/markup-compatibility/2006">
          <mc:Choice Requires="x14">
            <control shapeId="41995" r:id="rId11" name="Check Box 11">
              <controlPr defaultSize="0" autoFill="0" autoLine="0" autoPict="0">
                <anchor moveWithCells="1">
                  <from>
                    <xdr:col>10</xdr:col>
                    <xdr:colOff>9525</xdr:colOff>
                    <xdr:row>55</xdr:row>
                    <xdr:rowOff>0</xdr:rowOff>
                  </from>
                  <to>
                    <xdr:col>11</xdr:col>
                    <xdr:colOff>0</xdr:colOff>
                    <xdr:row>55</xdr:row>
                    <xdr:rowOff>190500</xdr:rowOff>
                  </to>
                </anchor>
              </controlPr>
            </control>
          </mc:Choice>
        </mc:AlternateContent>
        <mc:AlternateContent xmlns:mc="http://schemas.openxmlformats.org/markup-compatibility/2006">
          <mc:Choice Requires="x14">
            <control shapeId="41996" r:id="rId12" name="Check Box 12">
              <controlPr defaultSize="0" autoFill="0" autoLine="0" autoPict="0">
                <anchor moveWithCells="1">
                  <from>
                    <xdr:col>10</xdr:col>
                    <xdr:colOff>9525</xdr:colOff>
                    <xdr:row>56</xdr:row>
                    <xdr:rowOff>0</xdr:rowOff>
                  </from>
                  <to>
                    <xdr:col>11</xdr:col>
                    <xdr:colOff>0</xdr:colOff>
                    <xdr:row>56</xdr:row>
                    <xdr:rowOff>190500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pageSetUpPr fitToPage="1"/>
  </sheetPr>
  <dimension ref="A1:AS222"/>
  <sheetViews>
    <sheetView showGridLines="0" showRowColHeaders="0" zoomScale="85" zoomScaleNormal="85" workbookViewId="0">
      <selection activeCell="G14" sqref="G14:O14"/>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2:44" ht="15.95" customHeight="1" x14ac:dyDescent="0.3">
      <c r="AH1" s="711" t="s">
        <v>494</v>
      </c>
      <c r="AI1" s="712"/>
      <c r="AJ1" s="712"/>
      <c r="AK1" s="712"/>
      <c r="AL1" s="723" t="s">
        <v>911</v>
      </c>
      <c r="AM1" s="723"/>
      <c r="AN1" s="723"/>
      <c r="AO1" s="723"/>
      <c r="AP1" s="723"/>
      <c r="AQ1" s="717" t="s">
        <v>499</v>
      </c>
      <c r="AR1" s="718"/>
    </row>
    <row r="2" spans="2:44" ht="15.95" customHeight="1" x14ac:dyDescent="0.25">
      <c r="AH2" s="713" t="str">
        <f ca="1">INCENSTATUS</f>
        <v>---</v>
      </c>
      <c r="AI2" s="714"/>
      <c r="AJ2" s="714"/>
      <c r="AK2" s="714"/>
      <c r="AL2" s="724" t="str">
        <f ca="1">PROJSTATUS</f>
        <v>Please Complete Initial Application</v>
      </c>
      <c r="AM2" s="724"/>
      <c r="AN2" s="724"/>
      <c r="AO2" s="724"/>
      <c r="AP2" s="724"/>
      <c r="AQ2" s="719">
        <f ca="1">PROGRESSSTATUS</f>
        <v>0</v>
      </c>
      <c r="AR2" s="720"/>
    </row>
    <row r="3" spans="2:44" ht="15.95" customHeight="1" x14ac:dyDescent="0.25">
      <c r="AH3" s="715"/>
      <c r="AI3" s="716"/>
      <c r="AJ3" s="716"/>
      <c r="AK3" s="716"/>
      <c r="AL3" s="725"/>
      <c r="AM3" s="725"/>
      <c r="AN3" s="725"/>
      <c r="AO3" s="725"/>
      <c r="AP3" s="725"/>
      <c r="AQ3" s="721"/>
      <c r="AR3" s="722"/>
    </row>
    <row r="4" spans="2:44" ht="15.95" customHeight="1" x14ac:dyDescent="0.25">
      <c r="AG4" s="63"/>
    </row>
    <row r="5" spans="2:44" ht="15.95" customHeight="1" x14ac:dyDescent="0.25"/>
    <row r="6" spans="2:44" ht="15.95" customHeight="1" x14ac:dyDescent="0.25"/>
    <row r="7" spans="2:44" ht="15.95" customHeight="1" x14ac:dyDescent="0.25"/>
    <row r="8" spans="2:44" ht="15.95" customHeight="1" x14ac:dyDescent="0.25"/>
    <row r="9" spans="2:44" ht="15.95" customHeight="1" x14ac:dyDescent="0.25">
      <c r="B9" s="145"/>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row>
    <row r="10" spans="2:44" ht="15.95" customHeight="1" x14ac:dyDescent="0.3">
      <c r="B10" s="145"/>
      <c r="C10" s="145"/>
      <c r="D10" s="145"/>
      <c r="E10" s="145"/>
      <c r="F10" s="1461" t="s">
        <v>1301</v>
      </c>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c r="AG10" s="1461"/>
      <c r="AH10" s="1461"/>
      <c r="AI10" s="1461"/>
      <c r="AJ10" s="1461"/>
      <c r="AK10" s="1461"/>
      <c r="AL10" s="1461"/>
      <c r="AM10" s="1461"/>
      <c r="AN10" s="1461"/>
      <c r="AO10" s="145"/>
      <c r="AP10" s="145"/>
      <c r="AQ10" s="145"/>
      <c r="AR10" s="145"/>
    </row>
    <row r="11" spans="2:44" ht="15.95" customHeight="1" x14ac:dyDescent="0.25">
      <c r="B11" s="145"/>
      <c r="C11" s="145"/>
      <c r="D11" s="145"/>
      <c r="E11" s="145"/>
      <c r="F11" s="1592"/>
      <c r="G11" s="1592"/>
      <c r="H11" s="1592"/>
      <c r="I11" s="1592"/>
      <c r="J11" s="1592"/>
      <c r="K11" s="1592"/>
      <c r="L11" s="1592"/>
      <c r="M11" s="1592"/>
      <c r="N11" s="1592"/>
      <c r="O11" s="1592"/>
      <c r="P11" s="1592"/>
      <c r="Q11" s="1592"/>
      <c r="R11" s="1592"/>
      <c r="S11" s="1592"/>
      <c r="T11" s="1592"/>
      <c r="U11" s="1592"/>
      <c r="V11" s="1592"/>
      <c r="W11" s="1592"/>
      <c r="X11" s="1592"/>
      <c r="Y11" s="1592"/>
      <c r="Z11" s="1592"/>
      <c r="AA11" s="1592"/>
      <c r="AB11" s="1592"/>
      <c r="AC11" s="1592"/>
      <c r="AD11" s="1592"/>
      <c r="AE11" s="1592"/>
      <c r="AF11" s="1592"/>
      <c r="AG11" s="1592"/>
      <c r="AH11" s="1592"/>
      <c r="AI11" s="1592"/>
      <c r="AJ11" s="1592"/>
      <c r="AK11" s="1592"/>
      <c r="AL11" s="1592"/>
      <c r="AM11" s="1592"/>
      <c r="AN11" s="1592"/>
      <c r="AO11" s="145"/>
      <c r="AP11" s="145"/>
      <c r="AQ11" s="145"/>
      <c r="AR11" s="145"/>
    </row>
    <row r="12" spans="2:44" ht="15.95" customHeight="1" thickBot="1" x14ac:dyDescent="0.3">
      <c r="B12" s="145"/>
      <c r="C12" s="145"/>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row>
    <row r="13" spans="2:44" ht="15.95" customHeight="1" thickBot="1" x14ac:dyDescent="0.3">
      <c r="B13" s="145"/>
      <c r="C13" s="1552" t="s">
        <v>79</v>
      </c>
      <c r="D13" s="1552"/>
      <c r="E13" s="1552"/>
      <c r="F13" s="1552"/>
      <c r="G13" s="1552"/>
      <c r="H13" s="1552"/>
      <c r="I13" s="1552"/>
      <c r="J13" s="1552"/>
      <c r="K13" s="1552"/>
      <c r="L13" s="1552"/>
      <c r="M13" s="1552"/>
      <c r="N13" s="1552"/>
      <c r="O13" s="1552"/>
      <c r="P13" s="149"/>
      <c r="Q13" s="1552" t="s">
        <v>1313</v>
      </c>
      <c r="R13" s="1552"/>
      <c r="S13" s="1552"/>
      <c r="T13" s="1552"/>
      <c r="U13" s="1552"/>
      <c r="V13" s="1552"/>
      <c r="W13" s="1552"/>
      <c r="X13" s="1552"/>
      <c r="Y13" s="1552"/>
      <c r="Z13" s="1552"/>
      <c r="AA13" s="1552"/>
      <c r="AB13" s="1552"/>
      <c r="AC13" s="1552"/>
      <c r="AD13" s="149"/>
      <c r="AE13" s="1552" t="s">
        <v>528</v>
      </c>
      <c r="AF13" s="1552"/>
      <c r="AG13" s="1552"/>
      <c r="AH13" s="1552"/>
      <c r="AI13" s="1552"/>
      <c r="AJ13" s="1552"/>
      <c r="AK13" s="1552"/>
      <c r="AL13" s="1552"/>
      <c r="AM13" s="1552"/>
      <c r="AN13" s="1552"/>
      <c r="AO13" s="1552"/>
      <c r="AP13" s="1552"/>
      <c r="AQ13" s="1552"/>
      <c r="AR13" s="145"/>
    </row>
    <row r="14" spans="2:44" ht="15.95" customHeight="1" thickBot="1" x14ac:dyDescent="0.3">
      <c r="B14" s="145"/>
      <c r="C14" s="1553" t="s">
        <v>545</v>
      </c>
      <c r="D14" s="1553"/>
      <c r="E14" s="1553"/>
      <c r="F14" s="1553"/>
      <c r="G14" s="1591">
        <f>M02S02F34</f>
        <v>0</v>
      </c>
      <c r="H14" s="1591"/>
      <c r="I14" s="1591"/>
      <c r="J14" s="1591"/>
      <c r="K14" s="1591"/>
      <c r="L14" s="1591"/>
      <c r="M14" s="1591"/>
      <c r="N14" s="1591"/>
      <c r="O14" s="1591"/>
      <c r="P14" s="149"/>
      <c r="Q14" s="1529" t="s">
        <v>1316</v>
      </c>
      <c r="R14" s="1529"/>
      <c r="S14" s="1529"/>
      <c r="T14" s="1529"/>
      <c r="U14" s="1525" t="str">
        <f ca="1">IF(TEMPLATE!A72/TEMPLATE!D72=1,"Completed",IF(TEMPLATE!A72/TEMPLATE!D72&gt;0.7,"Almost!","Incomplete"))</f>
        <v>Incomplete</v>
      </c>
      <c r="V14" s="1526"/>
      <c r="W14" s="1526"/>
      <c r="X14" s="1526"/>
      <c r="Y14" s="1527"/>
      <c r="Z14" s="1522">
        <f>M02S01F01</f>
        <v>0</v>
      </c>
      <c r="AA14" s="1523"/>
      <c r="AB14" s="1523"/>
      <c r="AC14" s="1524"/>
      <c r="AD14" s="149"/>
      <c r="AE14" s="1553" t="s">
        <v>1787</v>
      </c>
      <c r="AF14" s="1553"/>
      <c r="AG14" s="1553"/>
      <c r="AH14" s="1553"/>
      <c r="AI14" s="1566"/>
      <c r="AJ14" s="1567"/>
      <c r="AK14" s="1567"/>
      <c r="AL14" s="1567"/>
      <c r="AM14" s="1568"/>
      <c r="AN14" s="1569"/>
      <c r="AO14" s="1570"/>
      <c r="AP14" s="1570"/>
      <c r="AQ14" s="1571"/>
      <c r="AR14" s="145"/>
    </row>
    <row r="15" spans="2:44" ht="15.95" customHeight="1" thickBot="1" x14ac:dyDescent="0.3">
      <c r="B15" s="145"/>
      <c r="C15" s="1553" t="s">
        <v>587</v>
      </c>
      <c r="D15" s="1553"/>
      <c r="E15" s="1553"/>
      <c r="F15" s="1553"/>
      <c r="G15" s="1591">
        <f>M02S02F37</f>
        <v>0</v>
      </c>
      <c r="H15" s="1591"/>
      <c r="I15" s="1591"/>
      <c r="J15" s="1591"/>
      <c r="K15" s="1591"/>
      <c r="L15" s="1591">
        <f>M02S02F38</f>
        <v>0</v>
      </c>
      <c r="M15" s="1591"/>
      <c r="N15" s="1591"/>
      <c r="O15" s="1591"/>
      <c r="P15" s="149"/>
      <c r="Q15" s="1529" t="s">
        <v>1314</v>
      </c>
      <c r="R15" s="1529"/>
      <c r="S15" s="1529"/>
      <c r="T15" s="1529"/>
      <c r="U15" s="1560" t="str">
        <f ca="1">IF(TEMPLATE!A81/TEMPLATE!D81=1,"Completed",IF(TEMPLATE!A81/TEMPLATE!D81&gt;0.7,"Almost!","Incomplete"))</f>
        <v>Incomplete</v>
      </c>
      <c r="V15" s="1560"/>
      <c r="W15" s="1560"/>
      <c r="X15" s="1560"/>
      <c r="Y15" s="1560"/>
      <c r="Z15" s="1560"/>
      <c r="AA15" s="1560"/>
      <c r="AB15" s="1560"/>
      <c r="AC15" s="1560"/>
      <c r="AD15" s="149"/>
      <c r="AE15" s="1565" t="s">
        <v>2356</v>
      </c>
      <c r="AF15" s="1553"/>
      <c r="AG15" s="1553"/>
      <c r="AH15" s="1553"/>
      <c r="AI15" s="1572"/>
      <c r="AJ15" s="1573"/>
      <c r="AK15" s="1573"/>
      <c r="AL15" s="1573"/>
      <c r="AM15" s="1574"/>
      <c r="AN15" s="1572"/>
      <c r="AO15" s="1573"/>
      <c r="AP15" s="1573"/>
      <c r="AQ15" s="1574"/>
      <c r="AR15" s="145"/>
    </row>
    <row r="16" spans="2:44" ht="15.95" customHeight="1" thickBot="1" x14ac:dyDescent="0.3">
      <c r="B16" s="145"/>
      <c r="C16" s="1553"/>
      <c r="D16" s="1553"/>
      <c r="E16" s="1553"/>
      <c r="F16" s="1553"/>
      <c r="G16" s="1591">
        <f>M02S02F39</f>
        <v>0</v>
      </c>
      <c r="H16" s="1591"/>
      <c r="I16" s="1591"/>
      <c r="J16" s="1591"/>
      <c r="K16" s="1591"/>
      <c r="L16" s="1591">
        <f>M02S02F40</f>
        <v>0</v>
      </c>
      <c r="M16" s="1591"/>
      <c r="N16" s="1591"/>
      <c r="O16" s="1591"/>
      <c r="P16" s="149"/>
      <c r="Q16" s="1529" t="s">
        <v>1315</v>
      </c>
      <c r="R16" s="1529"/>
      <c r="S16" s="1529"/>
      <c r="T16" s="1529"/>
      <c r="U16" s="1564" t="str">
        <f ca="1">IF(TEMPLATE!A135/TEMPLATE!D135=1,"Completed",IF(TEMPLATE!A135/TEMPLATE!D135&gt;0.7,"Almost!","Incomplete"))</f>
        <v>Incomplete</v>
      </c>
      <c r="V16" s="1564"/>
      <c r="W16" s="1564"/>
      <c r="X16" s="1564"/>
      <c r="Y16" s="1564"/>
      <c r="Z16" s="1564"/>
      <c r="AA16" s="1564"/>
      <c r="AB16" s="1564"/>
      <c r="AC16" s="1564"/>
      <c r="AD16" s="149"/>
      <c r="AE16" s="1553" t="s">
        <v>520</v>
      </c>
      <c r="AF16" s="1553"/>
      <c r="AG16" s="1553"/>
      <c r="AH16" s="1553"/>
      <c r="AI16" s="1583"/>
      <c r="AJ16" s="1583"/>
      <c r="AK16" s="1583"/>
      <c r="AL16" s="1583"/>
      <c r="AM16" s="1583"/>
      <c r="AN16" s="1583"/>
      <c r="AO16" s="1583"/>
      <c r="AP16" s="1583"/>
      <c r="AQ16" s="1583"/>
      <c r="AR16" s="145"/>
    </row>
    <row r="17" spans="2:44" ht="15.95" customHeight="1" thickBot="1" x14ac:dyDescent="0.3">
      <c r="B17" s="145"/>
      <c r="C17" s="1553" t="s">
        <v>466</v>
      </c>
      <c r="D17" s="1553"/>
      <c r="E17" s="1553"/>
      <c r="F17" s="1553"/>
      <c r="G17" s="1591">
        <f>M02S03F01</f>
        <v>0</v>
      </c>
      <c r="H17" s="1591"/>
      <c r="I17" s="1591"/>
      <c r="J17" s="1591"/>
      <c r="K17" s="1591"/>
      <c r="L17" s="1591"/>
      <c r="M17" s="1591"/>
      <c r="N17" s="1591"/>
      <c r="O17" s="1591"/>
      <c r="P17" s="149"/>
      <c r="Q17" s="1529" t="s">
        <v>1317</v>
      </c>
      <c r="R17" s="1529"/>
      <c r="S17" s="1529"/>
      <c r="T17" s="1529"/>
      <c r="U17" s="1559" t="str">
        <f ca="1">IF(TEMPLATE!A155/TEMPLATE!C155=1,"Completed",IF(TEMPLATE!A155/TEMPLATE!C155&gt;0.7,"Almost!","Incomplete"))</f>
        <v>Incomplete</v>
      </c>
      <c r="V17" s="1559"/>
      <c r="W17" s="1559"/>
      <c r="X17" s="1559"/>
      <c r="Y17" s="1559"/>
      <c r="Z17" s="1559"/>
      <c r="AA17" s="1559"/>
      <c r="AB17" s="1559"/>
      <c r="AC17" s="1559"/>
      <c r="AD17" s="149"/>
      <c r="AE17" s="1553" t="s">
        <v>521</v>
      </c>
      <c r="AF17" s="1553"/>
      <c r="AG17" s="1553"/>
      <c r="AH17" s="1553"/>
      <c r="AI17" s="1583"/>
      <c r="AJ17" s="1583"/>
      <c r="AK17" s="1583"/>
      <c r="AL17" s="1583"/>
      <c r="AM17" s="1583"/>
      <c r="AN17" s="1583"/>
      <c r="AO17" s="1583"/>
      <c r="AP17" s="1583"/>
      <c r="AQ17" s="1583"/>
      <c r="AR17" s="145"/>
    </row>
    <row r="18" spans="2:44" ht="15.95" customHeight="1" thickBot="1" x14ac:dyDescent="0.3">
      <c r="B18" s="145"/>
      <c r="C18" s="1553" t="s">
        <v>0</v>
      </c>
      <c r="D18" s="1553"/>
      <c r="E18" s="1553"/>
      <c r="F18" s="1553"/>
      <c r="G18" s="1591" t="str">
        <f>M02S02F12</f>
        <v>New Construction</v>
      </c>
      <c r="H18" s="1591"/>
      <c r="I18" s="1591"/>
      <c r="J18" s="1591"/>
      <c r="K18" s="1591"/>
      <c r="L18" s="1591"/>
      <c r="M18" s="1591"/>
      <c r="N18" s="1591"/>
      <c r="O18" s="1591"/>
      <c r="P18" s="149"/>
      <c r="Q18" s="1529" t="s">
        <v>269</v>
      </c>
      <c r="R18" s="1529"/>
      <c r="S18" s="1529"/>
      <c r="T18" s="1529"/>
      <c r="U18" s="1561" t="str">
        <f>IF(TEMPLATE!A174/TEMPLATE!D174=1,"Completed",IF(TEMPLATE!A174/TEMPLATE!D174&gt;0.7,"Almost!","Incomplete"))</f>
        <v>Incomplete</v>
      </c>
      <c r="V18" s="1561"/>
      <c r="W18" s="1561"/>
      <c r="X18" s="1561"/>
      <c r="Y18" s="1561"/>
      <c r="Z18" s="1561"/>
      <c r="AA18" s="1561"/>
      <c r="AB18" s="1561"/>
      <c r="AC18" s="1561"/>
      <c r="AD18" s="149"/>
      <c r="AE18" s="1553" t="s">
        <v>522</v>
      </c>
      <c r="AF18" s="1553"/>
      <c r="AG18" s="1553"/>
      <c r="AH18" s="1553"/>
      <c r="AI18" s="1584"/>
      <c r="AJ18" s="1584"/>
      <c r="AK18" s="1584"/>
      <c r="AL18" s="1584"/>
      <c r="AM18" s="1584"/>
      <c r="AN18" s="1584"/>
      <c r="AO18" s="1584"/>
      <c r="AP18" s="1584"/>
      <c r="AQ18" s="1584"/>
      <c r="AR18" s="145"/>
    </row>
    <row r="19" spans="2:44" ht="15.95" customHeight="1" thickBot="1" x14ac:dyDescent="0.3">
      <c r="B19" s="145"/>
      <c r="C19" s="1553" t="s">
        <v>518</v>
      </c>
      <c r="D19" s="1553"/>
      <c r="E19" s="1553"/>
      <c r="F19" s="1553"/>
      <c r="G19" s="1591" t="str">
        <f>VERSION</f>
        <v>New Construction v3.8.0</v>
      </c>
      <c r="H19" s="1591"/>
      <c r="I19" s="1591"/>
      <c r="J19" s="1591"/>
      <c r="K19" s="1591"/>
      <c r="L19" s="1591"/>
      <c r="M19" s="1591"/>
      <c r="N19" s="1591"/>
      <c r="O19" s="1591"/>
      <c r="P19" s="149"/>
      <c r="Q19" s="1529"/>
      <c r="R19" s="1529"/>
      <c r="S19" s="1529"/>
      <c r="T19" s="1529"/>
      <c r="U19" s="1561"/>
      <c r="V19" s="1561"/>
      <c r="W19" s="1561"/>
      <c r="X19" s="1561"/>
      <c r="Y19" s="1561"/>
      <c r="Z19" s="1561"/>
      <c r="AA19" s="1561"/>
      <c r="AB19" s="1561"/>
      <c r="AC19" s="1561"/>
      <c r="AD19" s="149"/>
      <c r="AE19" s="1553" t="s">
        <v>1905</v>
      </c>
      <c r="AF19" s="1553"/>
      <c r="AG19" s="1553"/>
      <c r="AH19" s="1553"/>
      <c r="AI19" s="1585"/>
      <c r="AJ19" s="1585"/>
      <c r="AK19" s="1585"/>
      <c r="AL19" s="1585"/>
      <c r="AM19" s="1585"/>
      <c r="AN19" s="1585"/>
      <c r="AO19" s="1585"/>
      <c r="AP19" s="1585"/>
      <c r="AQ19" s="1585"/>
      <c r="AR19" s="145"/>
    </row>
    <row r="20" spans="2:44" ht="15.95" customHeight="1" thickBot="1" x14ac:dyDescent="0.3">
      <c r="B20" s="145"/>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5"/>
    </row>
    <row r="21" spans="2:44" ht="15.95" customHeight="1" thickBot="1" x14ac:dyDescent="0.3">
      <c r="B21" s="145"/>
      <c r="C21" s="1552" t="s">
        <v>526</v>
      </c>
      <c r="D21" s="1552"/>
      <c r="E21" s="1552"/>
      <c r="F21" s="1552"/>
      <c r="G21" s="1552"/>
      <c r="H21" s="1552"/>
      <c r="I21" s="1552"/>
      <c r="J21" s="1552"/>
      <c r="K21" s="1552"/>
      <c r="L21" s="1552"/>
      <c r="M21" s="1552"/>
      <c r="N21" s="1552"/>
      <c r="O21" s="1552"/>
      <c r="P21" s="149"/>
      <c r="Q21" s="1552" t="s">
        <v>525</v>
      </c>
      <c r="R21" s="1552"/>
      <c r="S21" s="1552"/>
      <c r="T21" s="1552"/>
      <c r="U21" s="1552"/>
      <c r="V21" s="1552"/>
      <c r="W21" s="1552"/>
      <c r="X21" s="1552"/>
      <c r="Y21" s="1552"/>
      <c r="Z21" s="1552"/>
      <c r="AA21" s="1552"/>
      <c r="AB21" s="1552"/>
      <c r="AC21" s="1552"/>
      <c r="AD21" s="149"/>
      <c r="AE21" s="1552" t="s">
        <v>527</v>
      </c>
      <c r="AF21" s="1552"/>
      <c r="AG21" s="1552"/>
      <c r="AH21" s="1552"/>
      <c r="AI21" s="1552"/>
      <c r="AJ21" s="1552"/>
      <c r="AK21" s="1552"/>
      <c r="AL21" s="1552"/>
      <c r="AM21" s="1552"/>
      <c r="AN21" s="1552"/>
      <c r="AO21" s="1552"/>
      <c r="AP21" s="1552"/>
      <c r="AQ21" s="1552"/>
      <c r="AR21" s="145"/>
    </row>
    <row r="22" spans="2:44" ht="15.95" customHeight="1" thickBot="1" x14ac:dyDescent="0.3">
      <c r="B22" s="145"/>
      <c r="C22" s="1581" t="s">
        <v>110</v>
      </c>
      <c r="D22" s="1581"/>
      <c r="E22" s="1581"/>
      <c r="F22" s="1581"/>
      <c r="G22" s="1582" t="str">
        <f>PROPER(M02S02F01)</f>
        <v/>
      </c>
      <c r="H22" s="1582"/>
      <c r="I22" s="1582"/>
      <c r="J22" s="1582"/>
      <c r="K22" s="1582"/>
      <c r="L22" s="1582"/>
      <c r="M22" s="1582"/>
      <c r="N22" s="1582"/>
      <c r="O22" s="1582"/>
      <c r="P22" s="149"/>
      <c r="Q22" s="1575" t="s">
        <v>529</v>
      </c>
      <c r="R22" s="1575"/>
      <c r="S22" s="1575"/>
      <c r="T22" s="1575"/>
      <c r="U22" s="1594" t="str">
        <f>G23</f>
        <v/>
      </c>
      <c r="V22" s="1594"/>
      <c r="W22" s="1594"/>
      <c r="X22" s="1594"/>
      <c r="Y22" s="1594"/>
      <c r="Z22" s="1594" t="str">
        <f>L23</f>
        <v/>
      </c>
      <c r="AA22" s="1594"/>
      <c r="AB22" s="1594"/>
      <c r="AC22" s="1594"/>
      <c r="AD22" s="149"/>
      <c r="AE22" s="1576" t="s">
        <v>110</v>
      </c>
      <c r="AF22" s="1576"/>
      <c r="AG22" s="1576"/>
      <c r="AH22" s="1576"/>
      <c r="AI22" s="1580" t="str">
        <f>PROPER(M02S03F02)</f>
        <v/>
      </c>
      <c r="AJ22" s="1580"/>
      <c r="AK22" s="1580"/>
      <c r="AL22" s="1580"/>
      <c r="AM22" s="1580"/>
      <c r="AN22" s="1580"/>
      <c r="AO22" s="1580"/>
      <c r="AP22" s="1580"/>
      <c r="AQ22" s="1580"/>
      <c r="AR22" s="145"/>
    </row>
    <row r="23" spans="2:44" ht="15.95" customHeight="1" thickBot="1" x14ac:dyDescent="0.3">
      <c r="B23" s="145"/>
      <c r="C23" s="1581" t="s">
        <v>539</v>
      </c>
      <c r="D23" s="1581"/>
      <c r="E23" s="1581"/>
      <c r="F23" s="1581"/>
      <c r="G23" s="1582" t="str">
        <f>PROPER(M02S02F02)</f>
        <v/>
      </c>
      <c r="H23" s="1582"/>
      <c r="I23" s="1582"/>
      <c r="J23" s="1582"/>
      <c r="K23" s="1582"/>
      <c r="L23" s="1582" t="str">
        <f>PROPER(M02S02F03)</f>
        <v/>
      </c>
      <c r="M23" s="1582"/>
      <c r="N23" s="1582"/>
      <c r="O23" s="1582"/>
      <c r="P23" s="149"/>
      <c r="Q23" s="1575" t="s">
        <v>82</v>
      </c>
      <c r="R23" s="1575"/>
      <c r="S23" s="1575"/>
      <c r="T23" s="1575"/>
      <c r="U23" s="1594" t="str">
        <f>G24</f>
        <v/>
      </c>
      <c r="V23" s="1594"/>
      <c r="W23" s="1594"/>
      <c r="X23" s="1594"/>
      <c r="Y23" s="1594"/>
      <c r="Z23" s="1594"/>
      <c r="AA23" s="1594"/>
      <c r="AB23" s="1594"/>
      <c r="AC23" s="1594"/>
      <c r="AD23" s="149"/>
      <c r="AE23" s="1576" t="s">
        <v>539</v>
      </c>
      <c r="AF23" s="1576"/>
      <c r="AG23" s="1576"/>
      <c r="AH23" s="1576"/>
      <c r="AI23" s="1580" t="str">
        <f>PROPER(M02S03F03)</f>
        <v/>
      </c>
      <c r="AJ23" s="1580"/>
      <c r="AK23" s="1580"/>
      <c r="AL23" s="1580"/>
      <c r="AM23" s="1580"/>
      <c r="AN23" s="1580" t="str">
        <f>PROPER(M02S03F04)</f>
        <v/>
      </c>
      <c r="AO23" s="1580"/>
      <c r="AP23" s="1580"/>
      <c r="AQ23" s="1580"/>
      <c r="AR23" s="145"/>
    </row>
    <row r="24" spans="2:44" ht="15.95" customHeight="1" thickBot="1" x14ac:dyDescent="0.3">
      <c r="B24" s="145"/>
      <c r="C24" s="1581" t="s">
        <v>82</v>
      </c>
      <c r="D24" s="1581"/>
      <c r="E24" s="1581"/>
      <c r="F24" s="1581"/>
      <c r="G24" s="1582" t="str">
        <f>PROPER(M02S02F04)</f>
        <v/>
      </c>
      <c r="H24" s="1582"/>
      <c r="I24" s="1582"/>
      <c r="J24" s="1582"/>
      <c r="K24" s="1582"/>
      <c r="L24" s="1582"/>
      <c r="M24" s="1582"/>
      <c r="N24" s="1582"/>
      <c r="O24" s="1582"/>
      <c r="P24" s="149"/>
      <c r="Q24" s="1575" t="s">
        <v>532</v>
      </c>
      <c r="R24" s="1575"/>
      <c r="S24" s="1575"/>
      <c r="T24" s="1575"/>
      <c r="U24" s="1596">
        <f>G25</f>
        <v>0</v>
      </c>
      <c r="V24" s="1596"/>
      <c r="W24" s="1596"/>
      <c r="X24" s="1596"/>
      <c r="Y24" s="1596"/>
      <c r="Z24" s="1596">
        <f>L25</f>
        <v>0</v>
      </c>
      <c r="AA24" s="1596"/>
      <c r="AB24" s="1596"/>
      <c r="AC24" s="1596"/>
      <c r="AD24" s="149"/>
      <c r="AE24" s="1576" t="s">
        <v>82</v>
      </c>
      <c r="AF24" s="1576"/>
      <c r="AG24" s="1576"/>
      <c r="AH24" s="1576"/>
      <c r="AI24" s="1580" t="str">
        <f>PROPER(M02S03F05)</f>
        <v/>
      </c>
      <c r="AJ24" s="1580"/>
      <c r="AK24" s="1580"/>
      <c r="AL24" s="1580"/>
      <c r="AM24" s="1580"/>
      <c r="AN24" s="1580"/>
      <c r="AO24" s="1580"/>
      <c r="AP24" s="1580"/>
      <c r="AQ24" s="1580"/>
      <c r="AR24" s="145"/>
    </row>
    <row r="25" spans="2:44" ht="15.95" customHeight="1" thickBot="1" x14ac:dyDescent="0.3">
      <c r="B25" s="145"/>
      <c r="C25" s="1581" t="s">
        <v>532</v>
      </c>
      <c r="D25" s="1581"/>
      <c r="E25" s="1581"/>
      <c r="F25" s="1581"/>
      <c r="G25" s="1590">
        <f>M02S02F05</f>
        <v>0</v>
      </c>
      <c r="H25" s="1590"/>
      <c r="I25" s="1590"/>
      <c r="J25" s="1590"/>
      <c r="K25" s="1590"/>
      <c r="L25" s="1590">
        <f>M02S02F06</f>
        <v>0</v>
      </c>
      <c r="M25" s="1590"/>
      <c r="N25" s="1590"/>
      <c r="O25" s="1590"/>
      <c r="P25" s="149"/>
      <c r="Q25" s="1575" t="s">
        <v>254</v>
      </c>
      <c r="R25" s="1575"/>
      <c r="S25" s="1575"/>
      <c r="T25" s="1575"/>
      <c r="U25" s="1594">
        <f>G26</f>
        <v>0</v>
      </c>
      <c r="V25" s="1594"/>
      <c r="W25" s="1594"/>
      <c r="X25" s="1594"/>
      <c r="Y25" s="1594"/>
      <c r="Z25" s="1594"/>
      <c r="AA25" s="1594"/>
      <c r="AB25" s="1594"/>
      <c r="AC25" s="1594"/>
      <c r="AD25" s="149"/>
      <c r="AE25" s="1576" t="s">
        <v>532</v>
      </c>
      <c r="AF25" s="1576"/>
      <c r="AG25" s="1576"/>
      <c r="AH25" s="1576"/>
      <c r="AI25" s="1586">
        <f>M02S03F06</f>
        <v>0</v>
      </c>
      <c r="AJ25" s="1586"/>
      <c r="AK25" s="1586"/>
      <c r="AL25" s="1586"/>
      <c r="AM25" s="1586"/>
      <c r="AN25" s="1586">
        <f>M02S03F07</f>
        <v>0</v>
      </c>
      <c r="AO25" s="1586"/>
      <c r="AP25" s="1586"/>
      <c r="AQ25" s="1586"/>
      <c r="AR25" s="145"/>
    </row>
    <row r="26" spans="2:44" ht="15.95" customHeight="1" thickBot="1" x14ac:dyDescent="0.3">
      <c r="B26" s="145"/>
      <c r="C26" s="1581" t="s">
        <v>254</v>
      </c>
      <c r="D26" s="1581"/>
      <c r="E26" s="1581"/>
      <c r="F26" s="1581"/>
      <c r="G26" s="1582">
        <f>M02S02F07</f>
        <v>0</v>
      </c>
      <c r="H26" s="1582"/>
      <c r="I26" s="1582"/>
      <c r="J26" s="1582"/>
      <c r="K26" s="1582"/>
      <c r="L26" s="1582"/>
      <c r="M26" s="1582"/>
      <c r="N26" s="1582"/>
      <c r="O26" s="1582"/>
      <c r="P26" s="149"/>
      <c r="Q26" s="1575"/>
      <c r="R26" s="1575"/>
      <c r="S26" s="1575"/>
      <c r="T26" s="1575"/>
      <c r="U26" s="1519"/>
      <c r="V26" s="1520"/>
      <c r="W26" s="1520"/>
      <c r="X26" s="1520"/>
      <c r="Y26" s="1520"/>
      <c r="Z26" s="1520"/>
      <c r="AA26" s="1520"/>
      <c r="AB26" s="1520"/>
      <c r="AC26" s="1521"/>
      <c r="AD26" s="149"/>
      <c r="AE26" s="1576" t="s">
        <v>254</v>
      </c>
      <c r="AF26" s="1576"/>
      <c r="AG26" s="1576"/>
      <c r="AH26" s="1576"/>
      <c r="AI26" s="1580">
        <f>M02S03F08</f>
        <v>0</v>
      </c>
      <c r="AJ26" s="1580"/>
      <c r="AK26" s="1580"/>
      <c r="AL26" s="1580"/>
      <c r="AM26" s="1580"/>
      <c r="AN26" s="1580"/>
      <c r="AO26" s="1580"/>
      <c r="AP26" s="1580"/>
      <c r="AQ26" s="1580"/>
      <c r="AR26" s="145"/>
    </row>
    <row r="27" spans="2:44" ht="15.95" customHeight="1" thickBot="1" x14ac:dyDescent="0.3">
      <c r="B27" s="145"/>
      <c r="C27" s="1581" t="s">
        <v>255</v>
      </c>
      <c r="D27" s="1581"/>
      <c r="E27" s="1581"/>
      <c r="F27" s="1581"/>
      <c r="G27" s="1582" t="str">
        <f>PROPER(M02S02F08)</f>
        <v/>
      </c>
      <c r="H27" s="1582"/>
      <c r="I27" s="1582"/>
      <c r="J27" s="1582"/>
      <c r="K27" s="1582"/>
      <c r="L27" s="1582"/>
      <c r="M27" s="1582"/>
      <c r="N27" s="1582"/>
      <c r="O27" s="1582"/>
      <c r="P27" s="149"/>
      <c r="Q27" s="1575" t="s">
        <v>1347</v>
      </c>
      <c r="R27" s="1575"/>
      <c r="S27" s="1575"/>
      <c r="T27" s="1575"/>
      <c r="U27" s="1595">
        <f>M05S02F01</f>
        <v>0</v>
      </c>
      <c r="V27" s="1595"/>
      <c r="W27" s="1595"/>
      <c r="X27" s="1595"/>
      <c r="Y27" s="1595"/>
      <c r="Z27" s="1595"/>
      <c r="AA27" s="1595"/>
      <c r="AB27" s="1595"/>
      <c r="AC27" s="1595"/>
      <c r="AD27" s="149"/>
      <c r="AE27" s="1576" t="s">
        <v>255</v>
      </c>
      <c r="AF27" s="1576"/>
      <c r="AG27" s="1576"/>
      <c r="AH27" s="1576"/>
      <c r="AI27" s="1580" t="str">
        <f>PROPER(M02S03F09)</f>
        <v/>
      </c>
      <c r="AJ27" s="1580"/>
      <c r="AK27" s="1580"/>
      <c r="AL27" s="1580"/>
      <c r="AM27" s="1580"/>
      <c r="AN27" s="1580"/>
      <c r="AO27" s="1580"/>
      <c r="AP27" s="1580"/>
      <c r="AQ27" s="1580"/>
      <c r="AR27" s="145"/>
    </row>
    <row r="28" spans="2:44" ht="15.95" customHeight="1" thickBot="1" x14ac:dyDescent="0.3">
      <c r="B28" s="145"/>
      <c r="C28" s="1581" t="s">
        <v>531</v>
      </c>
      <c r="D28" s="1581"/>
      <c r="E28" s="1581"/>
      <c r="F28" s="1581"/>
      <c r="G28" s="1582" t="str">
        <f>PROPER(M02S02F09)</f>
        <v/>
      </c>
      <c r="H28" s="1582"/>
      <c r="I28" s="1582"/>
      <c r="J28" s="1582"/>
      <c r="K28" s="1582"/>
      <c r="L28" s="1582" t="str">
        <f>UPPER(M02S02F10)</f>
        <v/>
      </c>
      <c r="M28" s="1582"/>
      <c r="N28" s="1587">
        <f>M02S02F11</f>
        <v>0</v>
      </c>
      <c r="O28" s="1587"/>
      <c r="P28" s="149"/>
      <c r="Q28" s="1575" t="s">
        <v>1348</v>
      </c>
      <c r="R28" s="1575"/>
      <c r="S28" s="1575"/>
      <c r="T28" s="1575"/>
      <c r="U28" s="1595">
        <f>M05S02F02</f>
        <v>0</v>
      </c>
      <c r="V28" s="1595"/>
      <c r="W28" s="1595"/>
      <c r="X28" s="1595"/>
      <c r="Y28" s="1595"/>
      <c r="Z28" s="1595"/>
      <c r="AA28" s="1595"/>
      <c r="AB28" s="1595"/>
      <c r="AC28" s="1595"/>
      <c r="AD28" s="149"/>
      <c r="AE28" s="1576" t="s">
        <v>531</v>
      </c>
      <c r="AF28" s="1576"/>
      <c r="AG28" s="1576"/>
      <c r="AH28" s="1576"/>
      <c r="AI28" s="1580" t="str">
        <f>PROPER(M02S03F10)</f>
        <v/>
      </c>
      <c r="AJ28" s="1580"/>
      <c r="AK28" s="1580"/>
      <c r="AL28" s="1580"/>
      <c r="AM28" s="1580"/>
      <c r="AN28" s="1580" t="str">
        <f>UPPER(M02S03F11)</f>
        <v/>
      </c>
      <c r="AO28" s="1580"/>
      <c r="AP28" s="1593">
        <f>M02S03F12</f>
        <v>0</v>
      </c>
      <c r="AQ28" s="1593"/>
      <c r="AR28" s="145"/>
    </row>
    <row r="29" spans="2:44" s="63" customFormat="1" ht="15.95" customHeight="1" thickBot="1" x14ac:dyDescent="0.3">
      <c r="B29" s="145"/>
      <c r="C29" s="1581" t="s">
        <v>1341</v>
      </c>
      <c r="D29" s="1581"/>
      <c r="E29" s="1581"/>
      <c r="F29" s="1581"/>
      <c r="G29" s="1582">
        <f>M02S02F11.1</f>
        <v>0</v>
      </c>
      <c r="H29" s="1582"/>
      <c r="I29" s="1582"/>
      <c r="J29" s="1582"/>
      <c r="K29" s="1582"/>
      <c r="L29" s="1582"/>
      <c r="M29" s="1582"/>
      <c r="N29" s="1582"/>
      <c r="O29" s="1582"/>
      <c r="P29" s="149"/>
      <c r="Q29" s="1578" t="s">
        <v>1907</v>
      </c>
      <c r="R29" s="1578"/>
      <c r="S29" s="1578"/>
      <c r="T29" s="1578"/>
      <c r="U29" s="1579">
        <f>M02S02F17</f>
        <v>0</v>
      </c>
      <c r="V29" s="1579"/>
      <c r="W29" s="1579"/>
      <c r="X29" s="1579"/>
      <c r="Y29" s="1579"/>
      <c r="Z29" s="1579"/>
      <c r="AA29" s="1579"/>
      <c r="AB29" s="1579"/>
      <c r="AC29" s="1579"/>
      <c r="AD29" s="149"/>
      <c r="AE29" s="1576" t="s">
        <v>1341</v>
      </c>
      <c r="AF29" s="1576"/>
      <c r="AG29" s="1576"/>
      <c r="AH29" s="1576"/>
      <c r="AI29" s="1580">
        <f>M02S03F13</f>
        <v>0</v>
      </c>
      <c r="AJ29" s="1580"/>
      <c r="AK29" s="1580"/>
      <c r="AL29" s="1580"/>
      <c r="AM29" s="1580"/>
      <c r="AN29" s="1580"/>
      <c r="AO29" s="1580"/>
      <c r="AP29" s="1580"/>
      <c r="AQ29" s="1580"/>
      <c r="AR29" s="145"/>
    </row>
    <row r="30" spans="2:44" s="63" customFormat="1" ht="15.95" customHeight="1" thickBot="1" x14ac:dyDescent="0.3">
      <c r="B30" s="145"/>
      <c r="C30" s="1581" t="s">
        <v>1342</v>
      </c>
      <c r="D30" s="1581"/>
      <c r="E30" s="1581"/>
      <c r="F30" s="1581"/>
      <c r="G30" s="1582">
        <f>M02S02F11.2</f>
        <v>0</v>
      </c>
      <c r="H30" s="1582"/>
      <c r="I30" s="1582"/>
      <c r="J30" s="1582"/>
      <c r="K30" s="1582"/>
      <c r="L30" s="1582"/>
      <c r="M30" s="1582"/>
      <c r="N30" s="1582"/>
      <c r="O30" s="1582"/>
      <c r="P30" s="149"/>
      <c r="Q30" s="1578" t="s">
        <v>1908</v>
      </c>
      <c r="R30" s="1578"/>
      <c r="S30" s="1578"/>
      <c r="T30" s="1578"/>
      <c r="U30" s="1579">
        <f>M02S02F18</f>
        <v>0</v>
      </c>
      <c r="V30" s="1579"/>
      <c r="W30" s="1579"/>
      <c r="X30" s="1579"/>
      <c r="Y30" s="1579"/>
      <c r="Z30" s="1579"/>
      <c r="AA30" s="1579"/>
      <c r="AB30" s="1579"/>
      <c r="AC30" s="1579"/>
      <c r="AD30" s="149"/>
      <c r="AE30" s="1576" t="s">
        <v>1342</v>
      </c>
      <c r="AF30" s="1576"/>
      <c r="AG30" s="1576"/>
      <c r="AH30" s="1576"/>
      <c r="AI30" s="1580">
        <f>M02S03F14</f>
        <v>0</v>
      </c>
      <c r="AJ30" s="1580"/>
      <c r="AK30" s="1580"/>
      <c r="AL30" s="1580"/>
      <c r="AM30" s="1580"/>
      <c r="AN30" s="1580"/>
      <c r="AO30" s="1580"/>
      <c r="AP30" s="1580"/>
      <c r="AQ30" s="1580"/>
      <c r="AR30" s="145"/>
    </row>
    <row r="31" spans="2:44" s="63" customFormat="1" ht="15.95" customHeight="1" thickBot="1" x14ac:dyDescent="0.3">
      <c r="B31" s="145"/>
      <c r="C31" s="1581" t="s">
        <v>1343</v>
      </c>
      <c r="D31" s="1581"/>
      <c r="E31" s="1581"/>
      <c r="F31" s="1581"/>
      <c r="G31" s="1582">
        <f>M02S02F11.3</f>
        <v>0</v>
      </c>
      <c r="H31" s="1582"/>
      <c r="I31" s="1582"/>
      <c r="J31" s="1582"/>
      <c r="K31" s="1582"/>
      <c r="L31" s="1582"/>
      <c r="M31" s="1582"/>
      <c r="N31" s="1582"/>
      <c r="O31" s="1582"/>
      <c r="P31" s="149"/>
      <c r="Q31" s="1578" t="s">
        <v>1909</v>
      </c>
      <c r="R31" s="1578"/>
      <c r="S31" s="1578"/>
      <c r="T31" s="1578"/>
      <c r="U31" s="1579">
        <f>M02S02F19</f>
        <v>0</v>
      </c>
      <c r="V31" s="1579"/>
      <c r="W31" s="1579"/>
      <c r="X31" s="1579"/>
      <c r="Y31" s="1579"/>
      <c r="Z31" s="1579"/>
      <c r="AA31" s="1579"/>
      <c r="AB31" s="1579"/>
      <c r="AC31" s="1579"/>
      <c r="AD31" s="149"/>
      <c r="AE31" s="1576" t="s">
        <v>1343</v>
      </c>
      <c r="AF31" s="1576"/>
      <c r="AG31" s="1576"/>
      <c r="AH31" s="1576"/>
      <c r="AI31" s="1580">
        <f>M02S03F15</f>
        <v>0</v>
      </c>
      <c r="AJ31" s="1580"/>
      <c r="AK31" s="1580"/>
      <c r="AL31" s="1580"/>
      <c r="AM31" s="1580"/>
      <c r="AN31" s="1580"/>
      <c r="AO31" s="1580"/>
      <c r="AP31" s="1580"/>
      <c r="AQ31" s="1580"/>
      <c r="AR31" s="145"/>
    </row>
    <row r="32" spans="2:44" s="63" customFormat="1" ht="15.95" customHeight="1" thickBot="1" x14ac:dyDescent="0.3">
      <c r="B32" s="145"/>
      <c r="C32" s="1581" t="s">
        <v>1344</v>
      </c>
      <c r="D32" s="1581"/>
      <c r="E32" s="1581"/>
      <c r="F32" s="1581"/>
      <c r="G32" s="1597">
        <f>M02S02F11.4</f>
        <v>0</v>
      </c>
      <c r="H32" s="1597"/>
      <c r="I32" s="1597"/>
      <c r="J32" s="1597"/>
      <c r="K32" s="1597"/>
      <c r="L32" s="1597">
        <f>M02S02F11.5</f>
        <v>0</v>
      </c>
      <c r="M32" s="1597"/>
      <c r="N32" s="1597"/>
      <c r="O32" s="1597"/>
      <c r="P32" s="149"/>
      <c r="Q32" s="1578" t="s">
        <v>1910</v>
      </c>
      <c r="R32" s="1578"/>
      <c r="S32" s="1578"/>
      <c r="T32" s="1578"/>
      <c r="U32" s="1579">
        <f>M02S02F20</f>
        <v>0</v>
      </c>
      <c r="V32" s="1579"/>
      <c r="W32" s="1579"/>
      <c r="X32" s="1579"/>
      <c r="Y32" s="1579"/>
      <c r="Z32" s="1579"/>
      <c r="AA32" s="1579"/>
      <c r="AB32" s="1579"/>
      <c r="AC32" s="1579"/>
      <c r="AD32" s="149"/>
      <c r="AE32" s="1576" t="s">
        <v>1344</v>
      </c>
      <c r="AF32" s="1576"/>
      <c r="AG32" s="1576"/>
      <c r="AH32" s="1576"/>
      <c r="AI32" s="1577">
        <f>M02S03F16</f>
        <v>0</v>
      </c>
      <c r="AJ32" s="1577"/>
      <c r="AK32" s="1577"/>
      <c r="AL32" s="1577"/>
      <c r="AM32" s="1577"/>
      <c r="AN32" s="1577">
        <f>M02S03F17</f>
        <v>0</v>
      </c>
      <c r="AO32" s="1577"/>
      <c r="AP32" s="1577"/>
      <c r="AQ32" s="1577"/>
      <c r="AR32" s="145"/>
    </row>
    <row r="33" spans="2:44" ht="15.95" customHeight="1" thickBot="1" x14ac:dyDescent="0.3">
      <c r="B33" s="145"/>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149"/>
      <c r="AJ33" s="149"/>
      <c r="AK33" s="149"/>
      <c r="AL33" s="149"/>
      <c r="AM33" s="149"/>
      <c r="AN33" s="149"/>
      <c r="AO33" s="149"/>
      <c r="AP33" s="149"/>
      <c r="AQ33" s="149"/>
      <c r="AR33" s="145"/>
    </row>
    <row r="34" spans="2:44" ht="15.95" customHeight="1" thickBot="1" x14ac:dyDescent="0.3">
      <c r="B34" s="145"/>
      <c r="C34" s="1552" t="s">
        <v>129</v>
      </c>
      <c r="D34" s="1552"/>
      <c r="E34" s="1552"/>
      <c r="F34" s="1552"/>
      <c r="G34" s="1552"/>
      <c r="H34" s="1552"/>
      <c r="I34" s="1552"/>
      <c r="J34" s="1552"/>
      <c r="K34" s="1552"/>
      <c r="L34" s="1552"/>
      <c r="M34" s="1552"/>
      <c r="N34" s="1552"/>
      <c r="O34" s="1552"/>
      <c r="P34" s="149"/>
      <c r="Q34" s="1552" t="s">
        <v>541</v>
      </c>
      <c r="R34" s="1552"/>
      <c r="S34" s="1552"/>
      <c r="T34" s="1552"/>
      <c r="U34" s="1552"/>
      <c r="V34" s="1552"/>
      <c r="W34" s="1552"/>
      <c r="X34" s="1552"/>
      <c r="Y34" s="1552"/>
      <c r="Z34" s="1552"/>
      <c r="AA34" s="1552"/>
      <c r="AB34" s="1552"/>
      <c r="AC34" s="1552"/>
      <c r="AD34" s="149"/>
      <c r="AE34" s="1552" t="s">
        <v>547</v>
      </c>
      <c r="AF34" s="1552"/>
      <c r="AG34" s="1552"/>
      <c r="AH34" s="1552"/>
      <c r="AI34" s="1552"/>
      <c r="AJ34" s="1552"/>
      <c r="AK34" s="1552"/>
      <c r="AL34" s="1552"/>
      <c r="AM34" s="1552"/>
      <c r="AN34" s="1552"/>
      <c r="AO34" s="1552"/>
      <c r="AP34" s="1552"/>
      <c r="AQ34" s="1552"/>
      <c r="AR34" s="145"/>
    </row>
    <row r="35" spans="2:44" ht="15.95" customHeight="1" thickBot="1" x14ac:dyDescent="0.3">
      <c r="B35" s="145"/>
      <c r="C35" s="1545" t="s">
        <v>1323</v>
      </c>
      <c r="D35" s="1545"/>
      <c r="E35" s="1545"/>
      <c r="F35" s="1545"/>
      <c r="G35" s="1513">
        <f>M02S02F13</f>
        <v>0</v>
      </c>
      <c r="H35" s="1514"/>
      <c r="I35" s="1514"/>
      <c r="J35" s="1514"/>
      <c r="K35" s="1515"/>
      <c r="L35" s="1513">
        <f>M02S02F34</f>
        <v>0</v>
      </c>
      <c r="M35" s="1514"/>
      <c r="N35" s="1514"/>
      <c r="O35" s="1515"/>
      <c r="P35" s="149"/>
      <c r="Q35" s="1534" t="s">
        <v>90</v>
      </c>
      <c r="R35" s="1534"/>
      <c r="S35" s="1534"/>
      <c r="T35" s="1534"/>
      <c r="U35" s="1528" t="str">
        <f>PROPER(M02S04F02)</f>
        <v/>
      </c>
      <c r="V35" s="1528"/>
      <c r="W35" s="1528"/>
      <c r="X35" s="1528"/>
      <c r="Y35" s="1528"/>
      <c r="Z35" s="1528"/>
      <c r="AA35" s="1528"/>
      <c r="AB35" s="1528"/>
      <c r="AC35" s="1528"/>
      <c r="AD35" s="149"/>
      <c r="AE35" s="1529" t="s">
        <v>519</v>
      </c>
      <c r="AF35" s="1529"/>
      <c r="AG35" s="1529"/>
      <c r="AH35" s="1529"/>
      <c r="AI35" s="1561">
        <f>INCENTOTAL</f>
        <v>0</v>
      </c>
      <c r="AJ35" s="1561"/>
      <c r="AK35" s="1561"/>
      <c r="AL35" s="1561"/>
      <c r="AM35" s="1561"/>
      <c r="AN35" s="1561"/>
      <c r="AO35" s="1561"/>
      <c r="AP35" s="1561"/>
      <c r="AQ35" s="1561"/>
      <c r="AR35" s="145"/>
    </row>
    <row r="36" spans="2:44" ht="15.95" customHeight="1" thickBot="1" x14ac:dyDescent="0.3">
      <c r="B36" s="145"/>
      <c r="C36" s="1545" t="s">
        <v>530</v>
      </c>
      <c r="D36" s="1545"/>
      <c r="E36" s="1545"/>
      <c r="F36" s="1545"/>
      <c r="G36" s="1588" t="str">
        <f>PROPER(M02S02F22)</f>
        <v/>
      </c>
      <c r="H36" s="1588"/>
      <c r="I36" s="1588"/>
      <c r="J36" s="1588"/>
      <c r="K36" s="1588"/>
      <c r="L36" s="1588"/>
      <c r="M36" s="1588"/>
      <c r="N36" s="1588"/>
      <c r="O36" s="1588"/>
      <c r="P36" s="149"/>
      <c r="Q36" s="1534" t="s">
        <v>542</v>
      </c>
      <c r="R36" s="1534"/>
      <c r="S36" s="1534"/>
      <c r="T36" s="1534"/>
      <c r="U36" s="1528" t="str">
        <f>PROPER(M02S04F03)</f>
        <v/>
      </c>
      <c r="V36" s="1528"/>
      <c r="W36" s="1528"/>
      <c r="X36" s="1528"/>
      <c r="Y36" s="1528"/>
      <c r="Z36" s="1528" t="str">
        <f>PROPER(M02S04F04)</f>
        <v/>
      </c>
      <c r="AA36" s="1528"/>
      <c r="AB36" s="1528"/>
      <c r="AC36" s="1528"/>
      <c r="AD36" s="149"/>
      <c r="AE36" s="1529" t="s">
        <v>524</v>
      </c>
      <c r="AF36" s="1529"/>
      <c r="AG36" s="1529"/>
      <c r="AH36" s="1529"/>
      <c r="AI36" s="1560">
        <f>SUM(EXPORT!M3:M218)</f>
        <v>0</v>
      </c>
      <c r="AJ36" s="1560"/>
      <c r="AK36" s="1560"/>
      <c r="AL36" s="1560"/>
      <c r="AM36" s="1560"/>
      <c r="AN36" s="1560"/>
      <c r="AO36" s="1560"/>
      <c r="AP36" s="1560"/>
      <c r="AQ36" s="1560"/>
      <c r="AR36" s="145"/>
    </row>
    <row r="37" spans="2:44" ht="15.95" customHeight="1" thickBot="1" x14ac:dyDescent="0.3">
      <c r="B37" s="145"/>
      <c r="C37" s="1545" t="s">
        <v>531</v>
      </c>
      <c r="D37" s="1545"/>
      <c r="E37" s="1545"/>
      <c r="F37" s="1545"/>
      <c r="G37" s="1588" t="str">
        <f>PROPER(M02S02F23)</f>
        <v/>
      </c>
      <c r="H37" s="1588"/>
      <c r="I37" s="1588"/>
      <c r="J37" s="1588"/>
      <c r="K37" s="1588"/>
      <c r="L37" s="1588" t="str">
        <f>UPPER(M02S02F24)</f>
        <v>MO</v>
      </c>
      <c r="M37" s="1588"/>
      <c r="N37" s="1589">
        <f>M02S02F25</f>
        <v>0</v>
      </c>
      <c r="O37" s="1589"/>
      <c r="P37" s="149"/>
      <c r="Q37" s="1534" t="s">
        <v>543</v>
      </c>
      <c r="R37" s="1534"/>
      <c r="S37" s="1534"/>
      <c r="T37" s="1534"/>
      <c r="U37" s="1528" t="str">
        <f>PROPER(M02S04F07)</f>
        <v/>
      </c>
      <c r="V37" s="1528"/>
      <c r="W37" s="1528"/>
      <c r="X37" s="1528"/>
      <c r="Y37" s="1528"/>
      <c r="Z37" s="1528"/>
      <c r="AA37" s="1528"/>
      <c r="AB37" s="1528"/>
      <c r="AC37" s="1528"/>
      <c r="AD37" s="149"/>
      <c r="AE37" s="1529" t="s">
        <v>546</v>
      </c>
      <c r="AF37" s="1529"/>
      <c r="AG37" s="1529"/>
      <c r="AH37" s="1529"/>
      <c r="AI37" s="1557">
        <f>SUM(EXPORT!N3:N218)</f>
        <v>0</v>
      </c>
      <c r="AJ37" s="1557"/>
      <c r="AK37" s="1557"/>
      <c r="AL37" s="1557"/>
      <c r="AM37" s="1557"/>
      <c r="AN37" s="1557"/>
      <c r="AO37" s="1557"/>
      <c r="AP37" s="1557"/>
      <c r="AQ37" s="1557"/>
      <c r="AR37" s="145"/>
    </row>
    <row r="38" spans="2:44" ht="15.95" customHeight="1" thickBot="1" x14ac:dyDescent="0.3">
      <c r="B38" s="145"/>
      <c r="C38" s="1545" t="s">
        <v>338</v>
      </c>
      <c r="D38" s="1545"/>
      <c r="E38" s="1545"/>
      <c r="F38" s="1545"/>
      <c r="G38" s="1588">
        <f>M02S02F26</f>
        <v>0</v>
      </c>
      <c r="H38" s="1588"/>
      <c r="I38" s="1588"/>
      <c r="J38" s="1588"/>
      <c r="K38" s="1588"/>
      <c r="L38" s="1588"/>
      <c r="M38" s="1588"/>
      <c r="N38" s="1588"/>
      <c r="O38" s="1588"/>
      <c r="P38" s="149"/>
      <c r="Q38" s="1534" t="s">
        <v>531</v>
      </c>
      <c r="R38" s="1534"/>
      <c r="S38" s="1534"/>
      <c r="T38" s="1534"/>
      <c r="U38" s="1528" t="str">
        <f>PROPER(M02S04F08)</f>
        <v/>
      </c>
      <c r="V38" s="1528"/>
      <c r="W38" s="1528"/>
      <c r="X38" s="1528"/>
      <c r="Y38" s="1528"/>
      <c r="Z38" s="1528" t="str">
        <f>UPPER(M02S04F09)</f>
        <v/>
      </c>
      <c r="AA38" s="1528"/>
      <c r="AB38" s="1535" t="str">
        <f>M02S04F10</f>
        <v/>
      </c>
      <c r="AC38" s="1535"/>
      <c r="AD38" s="149"/>
      <c r="AE38" s="1529" t="s">
        <v>800</v>
      </c>
      <c r="AF38" s="1529"/>
      <c r="AG38" s="1529"/>
      <c r="AH38" s="1529"/>
      <c r="AI38" s="1558">
        <f>SUM(EXPORT!L3:L218)</f>
        <v>1</v>
      </c>
      <c r="AJ38" s="1559"/>
      <c r="AK38" s="1559"/>
      <c r="AL38" s="1559"/>
      <c r="AM38" s="1559"/>
      <c r="AN38" s="1559"/>
      <c r="AO38" s="1559"/>
      <c r="AP38" s="1559"/>
      <c r="AQ38" s="1559"/>
      <c r="AR38" s="145"/>
    </row>
    <row r="39" spans="2:44" ht="15.95" customHeight="1" thickBot="1" x14ac:dyDescent="0.3">
      <c r="B39" s="145"/>
      <c r="C39" s="1545" t="s">
        <v>179</v>
      </c>
      <c r="D39" s="1545"/>
      <c r="E39" s="1545"/>
      <c r="F39" s="1545"/>
      <c r="G39" s="1588">
        <f>M02S02F29</f>
        <v>0</v>
      </c>
      <c r="H39" s="1588"/>
      <c r="I39" s="1588"/>
      <c r="J39" s="1588"/>
      <c r="K39" s="1588"/>
      <c r="L39" s="1588"/>
      <c r="M39" s="1588"/>
      <c r="N39" s="1588"/>
      <c r="O39" s="1588"/>
      <c r="P39" s="149"/>
      <c r="Q39" s="1534" t="s">
        <v>139</v>
      </c>
      <c r="R39" s="1534"/>
      <c r="S39" s="1534"/>
      <c r="T39" s="1534"/>
      <c r="U39" s="1533" t="str">
        <f>M02S04F05</f>
        <v/>
      </c>
      <c r="V39" s="1533"/>
      <c r="W39" s="1533"/>
      <c r="X39" s="1533"/>
      <c r="Y39" s="1533"/>
      <c r="Z39" s="1533"/>
      <c r="AA39" s="1533"/>
      <c r="AB39" s="1533"/>
      <c r="AC39" s="1533"/>
      <c r="AD39" s="149"/>
      <c r="AE39" s="1529" t="s">
        <v>1318</v>
      </c>
      <c r="AF39" s="1529"/>
      <c r="AG39" s="1529"/>
      <c r="AH39" s="1529"/>
      <c r="AI39" s="1560">
        <f>SUM(EXPORT!P3:P218)</f>
        <v>0</v>
      </c>
      <c r="AJ39" s="1560"/>
      <c r="AK39" s="1560"/>
      <c r="AL39" s="1560"/>
      <c r="AM39" s="1560"/>
      <c r="AN39" s="1560"/>
      <c r="AO39" s="1560"/>
      <c r="AP39" s="1560"/>
      <c r="AQ39" s="1560"/>
      <c r="AR39" s="145"/>
    </row>
    <row r="40" spans="2:44" ht="15.95" customHeight="1" thickBot="1" x14ac:dyDescent="0.3">
      <c r="B40" s="145"/>
      <c r="C40" s="1545" t="s">
        <v>537</v>
      </c>
      <c r="D40" s="1545"/>
      <c r="E40" s="1545"/>
      <c r="F40" s="1545"/>
      <c r="G40" s="1588">
        <f>M02S02F27</f>
        <v>0</v>
      </c>
      <c r="H40" s="1588"/>
      <c r="I40" s="1588"/>
      <c r="J40" s="1588"/>
      <c r="K40" s="1588"/>
      <c r="L40" s="1588"/>
      <c r="M40" s="1588"/>
      <c r="N40" s="1588"/>
      <c r="O40" s="1588"/>
      <c r="P40" s="149"/>
      <c r="Q40" s="1534" t="s">
        <v>138</v>
      </c>
      <c r="R40" s="1534"/>
      <c r="S40" s="1534"/>
      <c r="T40" s="1534"/>
      <c r="U40" s="1528" t="str">
        <f>M02S04F06</f>
        <v/>
      </c>
      <c r="V40" s="1528"/>
      <c r="W40" s="1528"/>
      <c r="X40" s="1528"/>
      <c r="Y40" s="1528"/>
      <c r="Z40" s="1528"/>
      <c r="AA40" s="1528"/>
      <c r="AB40" s="1528"/>
      <c r="AC40" s="1528"/>
      <c r="AD40" s="149"/>
      <c r="AE40" s="1529" t="s">
        <v>1319</v>
      </c>
      <c r="AF40" s="1529"/>
      <c r="AG40" s="1529"/>
      <c r="AH40" s="1529"/>
      <c r="AI40" s="1557">
        <f>SUM(EXPORT!Q3:Q218)</f>
        <v>0</v>
      </c>
      <c r="AJ40" s="1557"/>
      <c r="AK40" s="1557"/>
      <c r="AL40" s="1557"/>
      <c r="AM40" s="1557"/>
      <c r="AN40" s="1557"/>
      <c r="AO40" s="1557"/>
      <c r="AP40" s="1557"/>
      <c r="AQ40" s="1557"/>
      <c r="AR40" s="145"/>
    </row>
    <row r="41" spans="2:44" ht="15.95" customHeight="1" thickBot="1" x14ac:dyDescent="0.3">
      <c r="B41" s="145"/>
      <c r="C41" s="1545" t="s">
        <v>538</v>
      </c>
      <c r="D41" s="1545"/>
      <c r="E41" s="1545"/>
      <c r="F41" s="1545"/>
      <c r="G41" s="1588">
        <f>M02S02F28</f>
        <v>0</v>
      </c>
      <c r="H41" s="1588"/>
      <c r="I41" s="1588"/>
      <c r="J41" s="1588"/>
      <c r="K41" s="1588"/>
      <c r="L41" s="1588"/>
      <c r="M41" s="1588"/>
      <c r="N41" s="1588"/>
      <c r="O41" s="1588"/>
      <c r="P41" s="149"/>
      <c r="Q41" s="1534" t="s">
        <v>473</v>
      </c>
      <c r="R41" s="1534"/>
      <c r="S41" s="1534"/>
      <c r="T41" s="1534"/>
      <c r="U41" s="1528">
        <f>M02S04F11</f>
        <v>0</v>
      </c>
      <c r="V41" s="1528"/>
      <c r="W41" s="1528"/>
      <c r="X41" s="1528"/>
      <c r="Y41" s="1528"/>
      <c r="Z41" s="1528"/>
      <c r="AA41" s="1528"/>
      <c r="AB41" s="1528"/>
      <c r="AC41" s="1528"/>
      <c r="AD41" s="149"/>
      <c r="AE41" s="1529" t="s">
        <v>1320</v>
      </c>
      <c r="AF41" s="1529"/>
      <c r="AG41" s="1529"/>
      <c r="AH41" s="1529"/>
      <c r="AI41" s="1561">
        <f>SUM(EXPORT!H3:H218)</f>
        <v>0</v>
      </c>
      <c r="AJ41" s="1561"/>
      <c r="AK41" s="1561"/>
      <c r="AL41" s="1561"/>
      <c r="AM41" s="1561"/>
      <c r="AN41" s="1561"/>
      <c r="AO41" s="1561"/>
      <c r="AP41" s="1561"/>
      <c r="AQ41" s="1561"/>
      <c r="AR41" s="145"/>
    </row>
    <row r="42" spans="2:44" ht="15.95" customHeight="1" thickBot="1" x14ac:dyDescent="0.3">
      <c r="B42" s="145"/>
      <c r="C42" s="1545"/>
      <c r="D42" s="1545"/>
      <c r="E42" s="1545"/>
      <c r="F42" s="1545"/>
      <c r="G42" s="1588"/>
      <c r="H42" s="1588"/>
      <c r="I42" s="1588"/>
      <c r="J42" s="1588"/>
      <c r="K42" s="1588"/>
      <c r="L42" s="1588"/>
      <c r="M42" s="1588"/>
      <c r="N42" s="1588"/>
      <c r="O42" s="1588"/>
      <c r="P42" s="149"/>
      <c r="Q42" s="1534" t="s">
        <v>544</v>
      </c>
      <c r="R42" s="1534"/>
      <c r="S42" s="1534"/>
      <c r="T42" s="1534"/>
      <c r="U42" s="1528" t="str">
        <f>CONCATENATE(M02S04F12,"-",M02S04F12.1)</f>
        <v>-</v>
      </c>
      <c r="V42" s="1528"/>
      <c r="W42" s="1528"/>
      <c r="X42" s="1528"/>
      <c r="Y42" s="1528"/>
      <c r="Z42" s="1528"/>
      <c r="AA42" s="1528"/>
      <c r="AB42" s="1528"/>
      <c r="AC42" s="1528"/>
      <c r="AD42" s="149"/>
      <c r="AE42" s="1529" t="s">
        <v>1321</v>
      </c>
      <c r="AF42" s="1529"/>
      <c r="AG42" s="1529"/>
      <c r="AH42" s="1529"/>
      <c r="AI42" s="1561">
        <f>SUM(EXPORT!I3:I218)</f>
        <v>0</v>
      </c>
      <c r="AJ42" s="1561"/>
      <c r="AK42" s="1561"/>
      <c r="AL42" s="1561"/>
      <c r="AM42" s="1561"/>
      <c r="AN42" s="1561"/>
      <c r="AO42" s="1561"/>
      <c r="AP42" s="1561"/>
      <c r="AQ42" s="1561"/>
      <c r="AR42" s="145"/>
    </row>
    <row r="43" spans="2:44" ht="15.95" customHeight="1" thickBot="1" x14ac:dyDescent="0.3">
      <c r="B43" s="145"/>
      <c r="C43" s="1545" t="s">
        <v>88</v>
      </c>
      <c r="D43" s="1545"/>
      <c r="E43" s="1545"/>
      <c r="F43" s="1545"/>
      <c r="G43" s="1588">
        <f>M02S02F30</f>
        <v>0</v>
      </c>
      <c r="H43" s="1588"/>
      <c r="I43" s="1588"/>
      <c r="J43" s="1588"/>
      <c r="K43" s="1588"/>
      <c r="L43" s="1588"/>
      <c r="M43" s="1588"/>
      <c r="N43" s="1588"/>
      <c r="O43" s="1588"/>
      <c r="P43" s="149"/>
      <c r="Q43" s="1534" t="s">
        <v>1340</v>
      </c>
      <c r="R43" s="1534"/>
      <c r="S43" s="1534"/>
      <c r="T43" s="1534"/>
      <c r="U43" s="1528" t="str">
        <f>M02S04F06.1</f>
        <v/>
      </c>
      <c r="V43" s="1528"/>
      <c r="W43" s="1528"/>
      <c r="X43" s="1528"/>
      <c r="Y43" s="1528"/>
      <c r="Z43" s="1528"/>
      <c r="AA43" s="1528"/>
      <c r="AB43" s="1528"/>
      <c r="AC43" s="1528"/>
      <c r="AD43" s="149"/>
      <c r="AE43" s="1529" t="s">
        <v>548</v>
      </c>
      <c r="AF43" s="1529"/>
      <c r="AG43" s="1529"/>
      <c r="AH43" s="1529"/>
      <c r="AI43" s="1561">
        <f>COSTTOTALALL</f>
        <v>0</v>
      </c>
      <c r="AJ43" s="1561"/>
      <c r="AK43" s="1561"/>
      <c r="AL43" s="1561"/>
      <c r="AM43" s="1561"/>
      <c r="AN43" s="1561"/>
      <c r="AO43" s="1561"/>
      <c r="AP43" s="1561"/>
      <c r="AQ43" s="1561"/>
      <c r="AR43" s="145"/>
    </row>
    <row r="44" spans="2:44" ht="15.95" customHeight="1" thickBot="1" x14ac:dyDescent="0.3">
      <c r="B44" s="145"/>
      <c r="C44" s="1545" t="s">
        <v>535</v>
      </c>
      <c r="D44" s="1545"/>
      <c r="E44" s="1545"/>
      <c r="F44" s="1545"/>
      <c r="G44" s="1588">
        <f>M02S02F32</f>
        <v>0</v>
      </c>
      <c r="H44" s="1588"/>
      <c r="I44" s="1588"/>
      <c r="J44" s="1588"/>
      <c r="K44" s="1588"/>
      <c r="L44" s="1588"/>
      <c r="M44" s="1588"/>
      <c r="N44" s="1588"/>
      <c r="O44" s="1588"/>
      <c r="P44" s="149"/>
      <c r="Q44" s="1534" t="s">
        <v>1382</v>
      </c>
      <c r="R44" s="1534"/>
      <c r="S44" s="1534"/>
      <c r="T44" s="1534"/>
      <c r="U44" s="1528">
        <f>M02S04F01</f>
        <v>0</v>
      </c>
      <c r="V44" s="1528"/>
      <c r="W44" s="1528"/>
      <c r="X44" s="1528"/>
      <c r="Y44" s="1528"/>
      <c r="Z44" s="1528"/>
      <c r="AA44" s="1528"/>
      <c r="AB44" s="1528"/>
      <c r="AC44" s="1528"/>
      <c r="AD44" s="149"/>
      <c r="AE44" s="1529"/>
      <c r="AF44" s="1529"/>
      <c r="AG44" s="1529"/>
      <c r="AH44" s="1529"/>
      <c r="AI44" s="1561"/>
      <c r="AJ44" s="1561"/>
      <c r="AK44" s="1561"/>
      <c r="AL44" s="1561"/>
      <c r="AM44" s="1561"/>
      <c r="AN44" s="1561"/>
      <c r="AO44" s="1561"/>
      <c r="AP44" s="1561"/>
      <c r="AQ44" s="1561"/>
      <c r="AR44" s="145"/>
    </row>
    <row r="45" spans="2:44" ht="15.95" customHeight="1" thickBot="1" x14ac:dyDescent="0.3">
      <c r="B45" s="145"/>
      <c r="C45" s="1545" t="s">
        <v>536</v>
      </c>
      <c r="D45" s="1545"/>
      <c r="E45" s="1545"/>
      <c r="F45" s="1545"/>
      <c r="G45" s="1588">
        <f>M02S02F33</f>
        <v>0</v>
      </c>
      <c r="H45" s="1588"/>
      <c r="I45" s="1588"/>
      <c r="J45" s="1588"/>
      <c r="K45" s="1588"/>
      <c r="L45" s="1588"/>
      <c r="M45" s="1588"/>
      <c r="N45" s="1588"/>
      <c r="O45" s="1588"/>
      <c r="P45" s="149"/>
      <c r="Q45" s="1534"/>
      <c r="R45" s="1534"/>
      <c r="S45" s="1534"/>
      <c r="T45" s="1534"/>
      <c r="U45" s="1528"/>
      <c r="V45" s="1528"/>
      <c r="W45" s="1528"/>
      <c r="X45" s="1528"/>
      <c r="Y45" s="1528"/>
      <c r="Z45" s="1528"/>
      <c r="AA45" s="1528"/>
      <c r="AB45" s="1528"/>
      <c r="AC45" s="1528"/>
      <c r="AD45" s="149"/>
      <c r="AE45" s="1529" t="s">
        <v>1782</v>
      </c>
      <c r="AF45" s="1529"/>
      <c r="AG45" s="1529"/>
      <c r="AH45" s="1529"/>
      <c r="AI45" s="1562" t="str">
        <f>'M03-S01'!AW18</f>
        <v>Building Shell</v>
      </c>
      <c r="AJ45" s="1562"/>
      <c r="AK45" s="1562"/>
      <c r="AL45" s="1562"/>
      <c r="AM45" s="1562"/>
      <c r="AN45" s="1563">
        <f>IFERROR(MAX(M03S01F15-SUM(AI46,AI48,AI47,AN49,AN50,AN51,AN52,AN53),0),0)</f>
        <v>0</v>
      </c>
      <c r="AO45" s="1563"/>
      <c r="AP45" s="1563"/>
      <c r="AQ45" s="1563"/>
      <c r="AR45" s="145"/>
    </row>
    <row r="46" spans="2:44" s="63" customFormat="1" ht="15.95" customHeight="1" thickBot="1" x14ac:dyDescent="0.3">
      <c r="B46" s="145"/>
      <c r="C46" s="1545" t="s">
        <v>1930</v>
      </c>
      <c r="D46" s="1545"/>
      <c r="E46" s="1545"/>
      <c r="F46" s="1545"/>
      <c r="G46" s="1513">
        <f>M02S02F36</f>
        <v>0</v>
      </c>
      <c r="H46" s="1514"/>
      <c r="I46" s="1514"/>
      <c r="J46" s="1514"/>
      <c r="K46" s="1515"/>
      <c r="L46" s="1516" t="str">
        <f>M02S02F35</f>
        <v/>
      </c>
      <c r="M46" s="1517"/>
      <c r="N46" s="1517"/>
      <c r="O46" s="1518"/>
      <c r="P46" s="149"/>
      <c r="Q46" s="1534" t="s">
        <v>1774</v>
      </c>
      <c r="R46" s="1534"/>
      <c r="S46" s="1534"/>
      <c r="T46" s="1534"/>
      <c r="U46" s="1528" t="str">
        <f>M05S03F02</f>
        <v/>
      </c>
      <c r="V46" s="1528"/>
      <c r="W46" s="1528"/>
      <c r="X46" s="1528"/>
      <c r="Y46" s="1528"/>
      <c r="Z46" s="1528"/>
      <c r="AA46" s="1528"/>
      <c r="AB46" s="1528"/>
      <c r="AC46" s="1528"/>
      <c r="AD46" s="149"/>
      <c r="AE46" s="1529" t="s">
        <v>1783</v>
      </c>
      <c r="AF46" s="1529"/>
      <c r="AG46" s="1529"/>
      <c r="AH46" s="1529"/>
      <c r="AI46" s="1530">
        <f>'M03-S02'!Z12</f>
        <v>0</v>
      </c>
      <c r="AJ46" s="1530"/>
      <c r="AK46" s="1530"/>
      <c r="AL46" s="1530"/>
      <c r="AM46" s="1530"/>
      <c r="AN46" s="1530"/>
      <c r="AO46" s="1530"/>
      <c r="AP46" s="1530"/>
      <c r="AQ46" s="1530"/>
      <c r="AR46" s="145"/>
    </row>
    <row r="47" spans="2:44" s="63" customFormat="1" ht="15.95" customHeight="1" thickBot="1" x14ac:dyDescent="0.3">
      <c r="B47" s="145"/>
      <c r="C47"/>
      <c r="D47"/>
      <c r="E47"/>
      <c r="F47"/>
      <c r="G47"/>
      <c r="H47"/>
      <c r="I47"/>
      <c r="J47"/>
      <c r="K47"/>
      <c r="L47"/>
      <c r="M47"/>
      <c r="N47"/>
      <c r="O47"/>
      <c r="P47" s="149"/>
      <c r="Q47" s="1534" t="s">
        <v>1775</v>
      </c>
      <c r="R47" s="1534"/>
      <c r="S47" s="1534"/>
      <c r="T47" s="1534"/>
      <c r="U47" s="1528" t="str">
        <f>M05S03F03</f>
        <v/>
      </c>
      <c r="V47" s="1528"/>
      <c r="W47" s="1528"/>
      <c r="X47" s="1528"/>
      <c r="Y47" s="1528"/>
      <c r="Z47" s="1528" t="str">
        <f>M05S03F04</f>
        <v/>
      </c>
      <c r="AA47" s="1528"/>
      <c r="AB47" s="1528"/>
      <c r="AC47" s="1528"/>
      <c r="AD47" s="149"/>
      <c r="AE47" s="1529" t="s">
        <v>2272</v>
      </c>
      <c r="AF47" s="1529"/>
      <c r="AG47" s="1529"/>
      <c r="AH47" s="1529"/>
      <c r="AI47" s="1530">
        <f>KWHTOTALCUSE</f>
        <v>0</v>
      </c>
      <c r="AJ47" s="1530"/>
      <c r="AK47" s="1530"/>
      <c r="AL47" s="1530"/>
      <c r="AM47" s="1530"/>
      <c r="AN47" s="1530"/>
      <c r="AO47" s="1530"/>
      <c r="AP47" s="1530"/>
      <c r="AQ47" s="1530"/>
      <c r="AR47" s="145"/>
    </row>
    <row r="48" spans="2:44" s="63" customFormat="1" ht="15.95" customHeight="1" thickBot="1" x14ac:dyDescent="0.3">
      <c r="B48" s="145"/>
      <c r="C48" s="1536"/>
      <c r="D48" s="1536"/>
      <c r="E48" s="1536"/>
      <c r="F48" s="1536"/>
      <c r="G48" s="1537" t="s">
        <v>1897</v>
      </c>
      <c r="H48" s="1537"/>
      <c r="I48" s="1537"/>
      <c r="J48" s="1537"/>
      <c r="K48" s="1537"/>
      <c r="L48" s="1537"/>
      <c r="M48" s="1537"/>
      <c r="N48" s="1537"/>
      <c r="O48" s="1537"/>
      <c r="P48" s="149"/>
      <c r="Q48" s="1534" t="s">
        <v>1776</v>
      </c>
      <c r="R48" s="1534"/>
      <c r="S48" s="1534"/>
      <c r="T48" s="1534"/>
      <c r="U48" s="1528" t="str">
        <f>M05S03F07</f>
        <v/>
      </c>
      <c r="V48" s="1528"/>
      <c r="W48" s="1528"/>
      <c r="X48" s="1528"/>
      <c r="Y48" s="1528"/>
      <c r="Z48" s="1528"/>
      <c r="AA48" s="1528"/>
      <c r="AB48" s="1528"/>
      <c r="AC48" s="1528"/>
      <c r="AD48" s="149"/>
      <c r="AE48" s="1529"/>
      <c r="AF48" s="1529"/>
      <c r="AG48" s="1529"/>
      <c r="AH48" s="1529"/>
      <c r="AI48" s="1530"/>
      <c r="AJ48" s="1530"/>
      <c r="AK48" s="1530"/>
      <c r="AL48" s="1530"/>
      <c r="AM48" s="1530"/>
      <c r="AN48" s="1530"/>
      <c r="AO48" s="1530"/>
      <c r="AP48" s="1530"/>
      <c r="AQ48" s="1530"/>
      <c r="AR48" s="145"/>
    </row>
    <row r="49" spans="2:44" s="63" customFormat="1" ht="15.95" customHeight="1" thickBot="1" x14ac:dyDescent="0.3">
      <c r="B49" s="145"/>
      <c r="C49" s="1536" t="s">
        <v>1168</v>
      </c>
      <c r="D49" s="1536"/>
      <c r="E49" s="1536"/>
      <c r="F49" s="1536"/>
      <c r="G49" s="1538" t="s">
        <v>2135</v>
      </c>
      <c r="H49" s="1539"/>
      <c r="I49" s="1539"/>
      <c r="J49" s="1539"/>
      <c r="K49" s="1539"/>
      <c r="L49" s="1539"/>
      <c r="M49" s="1539"/>
      <c r="N49" s="1539"/>
      <c r="O49" s="1539"/>
      <c r="P49" s="149"/>
      <c r="Q49" s="1534" t="s">
        <v>1777</v>
      </c>
      <c r="R49" s="1534"/>
      <c r="S49" s="1534"/>
      <c r="T49" s="1534"/>
      <c r="U49" s="1528" t="str">
        <f>M05S03F08</f>
        <v/>
      </c>
      <c r="V49" s="1528"/>
      <c r="W49" s="1528"/>
      <c r="X49" s="1528"/>
      <c r="Y49" s="1528"/>
      <c r="Z49" s="1528" t="str">
        <f>M05S03F09</f>
        <v/>
      </c>
      <c r="AA49" s="1528"/>
      <c r="AB49" s="1535" t="str">
        <f>M05S03F10</f>
        <v/>
      </c>
      <c r="AC49" s="1535"/>
      <c r="AD49" s="149"/>
      <c r="AE49" s="1529" t="s">
        <v>1784</v>
      </c>
      <c r="AF49" s="1529"/>
      <c r="AG49" s="1529"/>
      <c r="AH49" s="1529"/>
      <c r="AI49" s="1531"/>
      <c r="AJ49" s="1531"/>
      <c r="AK49" s="1531"/>
      <c r="AL49" s="1531"/>
      <c r="AM49" s="1531"/>
      <c r="AN49" s="1532"/>
      <c r="AO49" s="1532"/>
      <c r="AP49" s="1532"/>
      <c r="AQ49" s="1532"/>
      <c r="AR49" s="145"/>
    </row>
    <row r="50" spans="2:44" s="63" customFormat="1" ht="15.95" customHeight="1" thickBot="1" x14ac:dyDescent="0.3">
      <c r="B50" s="145"/>
      <c r="C50" s="1536" t="s">
        <v>1898</v>
      </c>
      <c r="D50" s="1536"/>
      <c r="E50" s="1536"/>
      <c r="F50" s="1536"/>
      <c r="G50" s="1540">
        <f>IF(G52="Yes",0,MAX((M02S02F29*1.8*0.6)-SUM(AN45,AI46,AI47,AN49,AN50,AN51,AN52,AN53,AI48),0))</f>
        <v>0</v>
      </c>
      <c r="H50" s="1540"/>
      <c r="I50" s="1540"/>
      <c r="J50" s="1540"/>
      <c r="K50" s="1540"/>
      <c r="L50" s="1540"/>
      <c r="M50" s="1540"/>
      <c r="N50" s="1540"/>
      <c r="O50" s="1540"/>
      <c r="P50" s="149"/>
      <c r="Q50" s="1534" t="s">
        <v>1778</v>
      </c>
      <c r="R50" s="1534"/>
      <c r="S50" s="1534"/>
      <c r="T50" s="1534"/>
      <c r="U50" s="1533" t="str">
        <f>M05S03F05</f>
        <v/>
      </c>
      <c r="V50" s="1533"/>
      <c r="W50" s="1533"/>
      <c r="X50" s="1533"/>
      <c r="Y50" s="1533"/>
      <c r="Z50" s="1533"/>
      <c r="AA50" s="1533"/>
      <c r="AB50" s="1533"/>
      <c r="AC50" s="1533"/>
      <c r="AD50" s="149"/>
      <c r="AE50" s="1529" t="s">
        <v>1784</v>
      </c>
      <c r="AF50" s="1529"/>
      <c r="AG50" s="1529"/>
      <c r="AH50" s="1529"/>
      <c r="AI50" s="1531"/>
      <c r="AJ50" s="1531"/>
      <c r="AK50" s="1531"/>
      <c r="AL50" s="1531"/>
      <c r="AM50" s="1531"/>
      <c r="AN50" s="1532"/>
      <c r="AO50" s="1532"/>
      <c r="AP50" s="1532"/>
      <c r="AQ50" s="1532"/>
      <c r="AR50" s="145"/>
    </row>
    <row r="51" spans="2:44" s="63" customFormat="1" ht="15.95" customHeight="1" thickBot="1" x14ac:dyDescent="0.3">
      <c r="B51" s="145"/>
      <c r="C51" s="1536" t="s">
        <v>1899</v>
      </c>
      <c r="D51" s="1536"/>
      <c r="E51" s="1536"/>
      <c r="F51" s="1536"/>
      <c r="G51" s="1541">
        <f>IF(G52="Yes",0,G50*0.075)</f>
        <v>0</v>
      </c>
      <c r="H51" s="1542"/>
      <c r="I51" s="1542"/>
      <c r="J51" s="1542"/>
      <c r="K51" s="1542"/>
      <c r="L51" s="1542"/>
      <c r="M51" s="1542"/>
      <c r="N51" s="1542"/>
      <c r="O51" s="1543"/>
      <c r="P51" s="149"/>
      <c r="Q51" s="1534" t="s">
        <v>1779</v>
      </c>
      <c r="R51" s="1534"/>
      <c r="S51" s="1534"/>
      <c r="T51" s="1534"/>
      <c r="U51" s="1528" t="str">
        <f>M05S03F06</f>
        <v/>
      </c>
      <c r="V51" s="1528"/>
      <c r="W51" s="1528"/>
      <c r="X51" s="1528"/>
      <c r="Y51" s="1528"/>
      <c r="Z51" s="1528"/>
      <c r="AA51" s="1528"/>
      <c r="AB51" s="1528"/>
      <c r="AC51" s="1528"/>
      <c r="AD51" s="149"/>
      <c r="AE51" s="1529" t="s">
        <v>1784</v>
      </c>
      <c r="AF51" s="1529"/>
      <c r="AG51" s="1529"/>
      <c r="AH51" s="1529"/>
      <c r="AI51" s="1531"/>
      <c r="AJ51" s="1531"/>
      <c r="AK51" s="1531"/>
      <c r="AL51" s="1531"/>
      <c r="AM51" s="1531"/>
      <c r="AN51" s="1532"/>
      <c r="AO51" s="1532"/>
      <c r="AP51" s="1532"/>
      <c r="AQ51" s="1532"/>
      <c r="AR51" s="145"/>
    </row>
    <row r="52" spans="2:44" s="63" customFormat="1" ht="15.95" customHeight="1" thickBot="1" x14ac:dyDescent="0.3">
      <c r="B52" s="145"/>
      <c r="C52" s="1536" t="s">
        <v>1900</v>
      </c>
      <c r="D52" s="1536"/>
      <c r="E52" s="1536"/>
      <c r="F52" s="1536"/>
      <c r="G52" s="1544"/>
      <c r="H52" s="1544"/>
      <c r="I52" s="1544"/>
      <c r="J52" s="1544"/>
      <c r="K52" s="1544"/>
      <c r="L52" s="1544"/>
      <c r="M52" s="1544"/>
      <c r="N52" s="1544"/>
      <c r="O52" s="1544"/>
      <c r="P52" s="149"/>
      <c r="Q52" s="1534" t="s">
        <v>1780</v>
      </c>
      <c r="R52" s="1534"/>
      <c r="S52" s="1534"/>
      <c r="T52" s="1534"/>
      <c r="U52" s="1528" t="str">
        <f>M05S03F11</f>
        <v/>
      </c>
      <c r="V52" s="1528"/>
      <c r="W52" s="1528"/>
      <c r="X52" s="1528"/>
      <c r="Y52" s="1528"/>
      <c r="Z52" s="1528"/>
      <c r="AA52" s="1528"/>
      <c r="AB52" s="1528"/>
      <c r="AC52" s="1528"/>
      <c r="AD52" s="149"/>
      <c r="AE52" s="1529" t="s">
        <v>1784</v>
      </c>
      <c r="AF52" s="1529"/>
      <c r="AG52" s="1529"/>
      <c r="AH52" s="1529"/>
      <c r="AI52" s="1531"/>
      <c r="AJ52" s="1531"/>
      <c r="AK52" s="1531"/>
      <c r="AL52" s="1531"/>
      <c r="AM52" s="1531"/>
      <c r="AN52" s="1532"/>
      <c r="AO52" s="1532"/>
      <c r="AP52" s="1532"/>
      <c r="AQ52" s="1532"/>
      <c r="AR52" s="145"/>
    </row>
    <row r="53" spans="2:44" s="63" customFormat="1" ht="15.95" customHeight="1" thickBot="1" x14ac:dyDescent="0.3">
      <c r="B53" s="145"/>
      <c r="C53" s="1536"/>
      <c r="D53" s="1536"/>
      <c r="E53" s="1536"/>
      <c r="F53" s="1536"/>
      <c r="G53" s="1537"/>
      <c r="H53" s="1537"/>
      <c r="I53" s="1537"/>
      <c r="J53" s="1537"/>
      <c r="K53" s="1537"/>
      <c r="L53" s="1537"/>
      <c r="M53" s="1537"/>
      <c r="N53" s="1537"/>
      <c r="O53" s="1537"/>
      <c r="P53" s="149"/>
      <c r="Q53" s="1534" t="s">
        <v>1781</v>
      </c>
      <c r="R53" s="1534"/>
      <c r="S53" s="1534"/>
      <c r="T53" s="1534"/>
      <c r="U53" s="1528" t="str">
        <f>CONCATENATE(M05S03F12,"-",M05S03F12.1)</f>
        <v>-</v>
      </c>
      <c r="V53" s="1528"/>
      <c r="W53" s="1528"/>
      <c r="X53" s="1528"/>
      <c r="Y53" s="1528"/>
      <c r="Z53" s="1528"/>
      <c r="AA53" s="1528"/>
      <c r="AB53" s="1528"/>
      <c r="AC53" s="1528"/>
      <c r="AD53" s="149"/>
      <c r="AE53" s="1529" t="s">
        <v>1784</v>
      </c>
      <c r="AF53" s="1529"/>
      <c r="AG53" s="1529"/>
      <c r="AH53" s="1529"/>
      <c r="AI53" s="1531"/>
      <c r="AJ53" s="1531"/>
      <c r="AK53" s="1531"/>
      <c r="AL53" s="1531"/>
      <c r="AM53" s="1531"/>
      <c r="AN53" s="1532"/>
      <c r="AO53" s="1532"/>
      <c r="AP53" s="1532"/>
      <c r="AQ53" s="1532"/>
      <c r="AR53" s="145"/>
    </row>
    <row r="54" spans="2:44" ht="15.95" customHeight="1" thickBot="1" x14ac:dyDescent="0.3">
      <c r="B54" s="145"/>
      <c r="C54" s="145"/>
      <c r="D54" s="145"/>
      <c r="E54" s="145"/>
      <c r="F54" s="145"/>
      <c r="G54" s="145"/>
      <c r="H54" s="145"/>
      <c r="I54" s="145"/>
      <c r="J54" s="145"/>
      <c r="K54" s="145"/>
      <c r="L54" s="145"/>
      <c r="M54" s="145"/>
      <c r="N54" s="145"/>
      <c r="O54" s="145"/>
      <c r="P54" s="145"/>
      <c r="AD54" s="145"/>
      <c r="AR54" s="145"/>
    </row>
    <row r="55" spans="2:44" ht="15.95" customHeight="1" thickBot="1" x14ac:dyDescent="0.3">
      <c r="B55" s="135"/>
      <c r="C55" s="1555" t="s">
        <v>540</v>
      </c>
      <c r="D55" s="1556"/>
      <c r="E55" s="1556"/>
      <c r="F55" s="1556"/>
      <c r="G55" s="1556"/>
      <c r="H55" s="1556"/>
      <c r="I55" s="1556"/>
      <c r="J55" s="1556"/>
      <c r="K55" s="1556"/>
      <c r="L55" s="1556"/>
      <c r="M55" s="1556"/>
      <c r="N55" s="1556"/>
      <c r="O55" s="1556"/>
      <c r="P55" s="1556"/>
      <c r="Q55" s="1556"/>
      <c r="R55" s="1556"/>
      <c r="S55" s="1556"/>
      <c r="T55" s="1556"/>
      <c r="U55" s="1556"/>
      <c r="V55" s="1556"/>
      <c r="W55" s="1556"/>
      <c r="X55" s="1556"/>
      <c r="Y55" s="1556"/>
      <c r="Z55" s="1556"/>
      <c r="AA55" s="1556"/>
      <c r="AB55" s="1556"/>
      <c r="AC55" s="1556"/>
      <c r="AE55" s="1552" t="s">
        <v>1360</v>
      </c>
      <c r="AF55" s="1552"/>
      <c r="AG55" s="1552"/>
      <c r="AH55" s="1552"/>
      <c r="AI55" s="1552"/>
      <c r="AJ55" s="1552"/>
      <c r="AK55" s="1552"/>
      <c r="AL55" s="1552"/>
      <c r="AM55" s="1552"/>
      <c r="AN55" s="1552"/>
      <c r="AO55" s="1552"/>
      <c r="AP55" s="1552"/>
      <c r="AQ55" s="1552"/>
      <c r="AR55" s="135"/>
    </row>
    <row r="56" spans="2:44" ht="15.95" customHeight="1" thickBot="1" x14ac:dyDescent="0.3">
      <c r="B56" s="135"/>
      <c r="C56" s="1546">
        <f>M02S02F45</f>
        <v>0</v>
      </c>
      <c r="D56" s="1547"/>
      <c r="E56" s="1547"/>
      <c r="F56" s="1547"/>
      <c r="G56" s="1547"/>
      <c r="H56" s="1547"/>
      <c r="I56" s="1547"/>
      <c r="J56" s="1547"/>
      <c r="K56" s="1547"/>
      <c r="L56" s="1547"/>
      <c r="M56" s="1547"/>
      <c r="N56" s="1547"/>
      <c r="O56" s="1547"/>
      <c r="P56" s="1547"/>
      <c r="Q56" s="1547"/>
      <c r="R56" s="1547"/>
      <c r="S56" s="1547"/>
      <c r="T56" s="1547"/>
      <c r="U56" s="1547"/>
      <c r="V56" s="1547"/>
      <c r="W56" s="1547"/>
      <c r="X56" s="1547"/>
      <c r="Y56" s="1547"/>
      <c r="Z56" s="1547"/>
      <c r="AA56" s="1547"/>
      <c r="AB56" s="1547"/>
      <c r="AC56" s="1547"/>
      <c r="AE56" s="1553" t="s">
        <v>1352</v>
      </c>
      <c r="AF56" s="1553"/>
      <c r="AG56" s="1553"/>
      <c r="AH56" s="1553"/>
      <c r="AI56" s="1554" t="s">
        <v>1358</v>
      </c>
      <c r="AJ56" s="1554"/>
      <c r="AK56" s="1554"/>
      <c r="AL56" s="1554"/>
      <c r="AM56" s="1554"/>
      <c r="AN56" s="1554"/>
      <c r="AO56" s="1554"/>
      <c r="AP56" s="1554"/>
      <c r="AQ56" s="1554"/>
      <c r="AR56" s="135"/>
    </row>
    <row r="57" spans="2:44" ht="15.95" customHeight="1" thickBot="1" x14ac:dyDescent="0.3">
      <c r="B57" s="135"/>
      <c r="C57" s="1548"/>
      <c r="D57" s="1549"/>
      <c r="E57" s="1549"/>
      <c r="F57" s="1549"/>
      <c r="G57" s="1549"/>
      <c r="H57" s="1549"/>
      <c r="I57" s="1549"/>
      <c r="J57" s="1549"/>
      <c r="K57" s="1549"/>
      <c r="L57" s="1549"/>
      <c r="M57" s="1549"/>
      <c r="N57" s="1549"/>
      <c r="O57" s="1549"/>
      <c r="P57" s="1549"/>
      <c r="Q57" s="1549"/>
      <c r="R57" s="1549"/>
      <c r="S57" s="1549"/>
      <c r="T57" s="1549"/>
      <c r="U57" s="1549"/>
      <c r="V57" s="1549"/>
      <c r="W57" s="1549"/>
      <c r="X57" s="1549"/>
      <c r="Y57" s="1549"/>
      <c r="Z57" s="1549"/>
      <c r="AA57" s="1549"/>
      <c r="AB57" s="1549"/>
      <c r="AC57" s="1549"/>
      <c r="AE57" s="1553" t="s">
        <v>1353</v>
      </c>
      <c r="AF57" s="1553"/>
      <c r="AG57" s="1553"/>
      <c r="AH57" s="1553"/>
      <c r="AI57" s="1554" t="s">
        <v>1359</v>
      </c>
      <c r="AJ57" s="1554"/>
      <c r="AK57" s="1554"/>
      <c r="AL57" s="1554"/>
      <c r="AM57" s="1554"/>
      <c r="AN57" s="1554"/>
      <c r="AO57" s="1554"/>
      <c r="AP57" s="1554"/>
      <c r="AQ57" s="1554"/>
      <c r="AR57" s="135"/>
    </row>
    <row r="58" spans="2:44" ht="15.95" customHeight="1" thickBot="1" x14ac:dyDescent="0.3">
      <c r="B58" s="135"/>
      <c r="C58" s="1548"/>
      <c r="D58" s="1549"/>
      <c r="E58" s="1549"/>
      <c r="F58" s="1549"/>
      <c r="G58" s="1549"/>
      <c r="H58" s="1549"/>
      <c r="I58" s="1549"/>
      <c r="J58" s="1549"/>
      <c r="K58" s="1549"/>
      <c r="L58" s="1549"/>
      <c r="M58" s="1549"/>
      <c r="N58" s="1549"/>
      <c r="O58" s="1549"/>
      <c r="P58" s="1549"/>
      <c r="Q58" s="1549"/>
      <c r="R58" s="1549"/>
      <c r="S58" s="1549"/>
      <c r="T58" s="1549"/>
      <c r="U58" s="1549"/>
      <c r="V58" s="1549"/>
      <c r="W58" s="1549"/>
      <c r="X58" s="1549"/>
      <c r="Y58" s="1549"/>
      <c r="Z58" s="1549"/>
      <c r="AA58" s="1549"/>
      <c r="AB58" s="1549"/>
      <c r="AC58" s="1549"/>
      <c r="AE58" s="1553" t="s">
        <v>1354</v>
      </c>
      <c r="AF58" s="1553"/>
      <c r="AG58" s="1553"/>
      <c r="AH58" s="1553"/>
      <c r="AI58" s="1554" t="s">
        <v>1359</v>
      </c>
      <c r="AJ58" s="1554"/>
      <c r="AK58" s="1554"/>
      <c r="AL58" s="1554"/>
      <c r="AM58" s="1554"/>
      <c r="AN58" s="1554"/>
      <c r="AO58" s="1554"/>
      <c r="AP58" s="1554"/>
      <c r="AQ58" s="1554"/>
      <c r="AR58" s="135"/>
    </row>
    <row r="59" spans="2:44" ht="15.95" customHeight="1" thickBot="1" x14ac:dyDescent="0.3">
      <c r="B59" s="135"/>
      <c r="C59" s="1548"/>
      <c r="D59" s="1549"/>
      <c r="E59" s="1549"/>
      <c r="F59" s="1549"/>
      <c r="G59" s="1549"/>
      <c r="H59" s="1549"/>
      <c r="I59" s="1549"/>
      <c r="J59" s="1549"/>
      <c r="K59" s="1549"/>
      <c r="L59" s="1549"/>
      <c r="M59" s="1549"/>
      <c r="N59" s="1549"/>
      <c r="O59" s="1549"/>
      <c r="P59" s="1549"/>
      <c r="Q59" s="1549"/>
      <c r="R59" s="1549"/>
      <c r="S59" s="1549"/>
      <c r="T59" s="1549"/>
      <c r="U59" s="1549"/>
      <c r="V59" s="1549"/>
      <c r="W59" s="1549"/>
      <c r="X59" s="1549"/>
      <c r="Y59" s="1549"/>
      <c r="Z59" s="1549"/>
      <c r="AA59" s="1549"/>
      <c r="AB59" s="1549"/>
      <c r="AC59" s="1549"/>
      <c r="AE59" s="1553" t="s">
        <v>1355</v>
      </c>
      <c r="AF59" s="1553"/>
      <c r="AG59" s="1553"/>
      <c r="AH59" s="1553"/>
      <c r="AI59" s="1554" t="s">
        <v>1359</v>
      </c>
      <c r="AJ59" s="1554"/>
      <c r="AK59" s="1554"/>
      <c r="AL59" s="1554"/>
      <c r="AM59" s="1554"/>
      <c r="AN59" s="1554"/>
      <c r="AO59" s="1554"/>
      <c r="AP59" s="1554"/>
      <c r="AQ59" s="1554"/>
      <c r="AR59" s="135"/>
    </row>
    <row r="60" spans="2:44" ht="15.95" customHeight="1" thickBot="1" x14ac:dyDescent="0.3">
      <c r="B60" s="135"/>
      <c r="C60" s="1548"/>
      <c r="D60" s="1549"/>
      <c r="E60" s="1549"/>
      <c r="F60" s="1549"/>
      <c r="G60" s="1549"/>
      <c r="H60" s="1549"/>
      <c r="I60" s="1549"/>
      <c r="J60" s="1549"/>
      <c r="K60" s="1549"/>
      <c r="L60" s="1549"/>
      <c r="M60" s="1549"/>
      <c r="N60" s="1549"/>
      <c r="O60" s="1549"/>
      <c r="P60" s="1549"/>
      <c r="Q60" s="1549"/>
      <c r="R60" s="1549"/>
      <c r="S60" s="1549"/>
      <c r="T60" s="1549"/>
      <c r="U60" s="1549"/>
      <c r="V60" s="1549"/>
      <c r="W60" s="1549"/>
      <c r="X60" s="1549"/>
      <c r="Y60" s="1549"/>
      <c r="Z60" s="1549"/>
      <c r="AA60" s="1549"/>
      <c r="AB60" s="1549"/>
      <c r="AC60" s="1549"/>
      <c r="AE60" s="1553" t="s">
        <v>1356</v>
      </c>
      <c r="AF60" s="1553"/>
      <c r="AG60" s="1553"/>
      <c r="AH60" s="1553"/>
      <c r="AI60" s="1554" t="s">
        <v>1359</v>
      </c>
      <c r="AJ60" s="1554"/>
      <c r="AK60" s="1554"/>
      <c r="AL60" s="1554"/>
      <c r="AM60" s="1554"/>
      <c r="AN60" s="1554"/>
      <c r="AO60" s="1554"/>
      <c r="AP60" s="1554"/>
      <c r="AQ60" s="1554"/>
      <c r="AR60" s="135"/>
    </row>
    <row r="61" spans="2:44" ht="15.95" customHeight="1" thickBot="1" x14ac:dyDescent="0.3">
      <c r="B61" s="135"/>
      <c r="C61" s="1550"/>
      <c r="D61" s="1551"/>
      <c r="E61" s="1551"/>
      <c r="F61" s="1551"/>
      <c r="G61" s="1551"/>
      <c r="H61" s="1551"/>
      <c r="I61" s="1551"/>
      <c r="J61" s="1551"/>
      <c r="K61" s="1551"/>
      <c r="L61" s="1551"/>
      <c r="M61" s="1551"/>
      <c r="N61" s="1551"/>
      <c r="O61" s="1551"/>
      <c r="P61" s="1551"/>
      <c r="Q61" s="1551"/>
      <c r="R61" s="1551"/>
      <c r="S61" s="1551"/>
      <c r="T61" s="1551"/>
      <c r="U61" s="1551"/>
      <c r="V61" s="1551"/>
      <c r="W61" s="1551"/>
      <c r="X61" s="1551"/>
      <c r="Y61" s="1551"/>
      <c r="Z61" s="1551"/>
      <c r="AA61" s="1551"/>
      <c r="AB61" s="1551"/>
      <c r="AC61" s="1551"/>
      <c r="AE61" s="1553" t="s">
        <v>1357</v>
      </c>
      <c r="AF61" s="1553"/>
      <c r="AG61" s="1553"/>
      <c r="AH61" s="1553"/>
      <c r="AI61" s="1554" t="s">
        <v>1358</v>
      </c>
      <c r="AJ61" s="1554"/>
      <c r="AK61" s="1554"/>
      <c r="AL61" s="1554"/>
      <c r="AM61" s="1554"/>
      <c r="AN61" s="1554"/>
      <c r="AO61" s="1554"/>
      <c r="AP61" s="1554"/>
      <c r="AQ61" s="1554"/>
      <c r="AR61" s="135"/>
    </row>
    <row r="62" spans="2:44" ht="15.95" customHeight="1" x14ac:dyDescent="0.25">
      <c r="B62" s="135"/>
      <c r="C62" s="135"/>
      <c r="D62" s="135"/>
      <c r="E62" s="135"/>
      <c r="F62" s="135"/>
      <c r="G62" s="135"/>
      <c r="H62" s="135"/>
      <c r="I62" s="135"/>
      <c r="J62" s="135"/>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5"/>
      <c r="AI62" s="135"/>
      <c r="AJ62" s="135"/>
      <c r="AK62" s="135"/>
      <c r="AL62" s="135"/>
      <c r="AM62" s="135"/>
      <c r="AN62" s="135"/>
      <c r="AO62" s="135"/>
      <c r="AP62" s="135"/>
      <c r="AQ62" s="135"/>
      <c r="AR62" s="135"/>
    </row>
    <row r="63" spans="2:44" ht="15.95" hidden="1" customHeight="1" x14ac:dyDescent="0.25">
      <c r="B63" s="135"/>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5"/>
      <c r="AO63" s="135"/>
      <c r="AP63" s="135"/>
      <c r="AQ63" s="135"/>
      <c r="AR63" s="135"/>
    </row>
    <row r="64" spans="2:44" ht="15.95" hidden="1" customHeight="1" x14ac:dyDescent="0.25">
      <c r="B64" s="135"/>
      <c r="C64" s="135"/>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5"/>
      <c r="AI64" s="135"/>
      <c r="AJ64" s="135"/>
      <c r="AK64" s="135"/>
      <c r="AL64" s="135"/>
      <c r="AM64" s="135"/>
      <c r="AN64" s="135"/>
      <c r="AO64" s="135"/>
      <c r="AP64" s="135"/>
      <c r="AQ64" s="135"/>
      <c r="AR64" s="135"/>
    </row>
    <row r="65" spans="2:44" ht="15.95" hidden="1" customHeight="1" x14ac:dyDescent="0.25">
      <c r="B65" s="135"/>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c r="AL65" s="135"/>
      <c r="AM65" s="135"/>
      <c r="AN65" s="135"/>
      <c r="AO65" s="135"/>
      <c r="AP65" s="135"/>
      <c r="AQ65" s="135"/>
      <c r="AR65" s="135"/>
    </row>
    <row r="66" spans="2:44" ht="15.95" hidden="1" customHeight="1" x14ac:dyDescent="0.25">
      <c r="B66" s="135"/>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5"/>
      <c r="AI66" s="135"/>
      <c r="AJ66" s="135"/>
      <c r="AK66" s="135"/>
      <c r="AL66" s="135"/>
      <c r="AM66" s="135"/>
      <c r="AN66" s="135"/>
      <c r="AO66" s="135"/>
      <c r="AP66" s="135"/>
      <c r="AQ66" s="135"/>
      <c r="AR66" s="135"/>
    </row>
    <row r="67" spans="2:44" s="63" customFormat="1" ht="15.95" hidden="1" customHeight="1" x14ac:dyDescent="0.25">
      <c r="B67" s="135"/>
      <c r="C67" s="135"/>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5"/>
      <c r="AI67" s="135"/>
      <c r="AJ67" s="135"/>
      <c r="AK67" s="135"/>
      <c r="AL67" s="135"/>
      <c r="AM67" s="135"/>
      <c r="AN67" s="135"/>
      <c r="AO67" s="135"/>
      <c r="AP67" s="135"/>
      <c r="AQ67" s="135"/>
      <c r="AR67" s="135"/>
    </row>
    <row r="68" spans="2:44" s="63" customFormat="1" ht="15.95" hidden="1" customHeight="1" x14ac:dyDescent="0.25">
      <c r="B68" s="135"/>
      <c r="C68" s="135"/>
      <c r="D68" s="135"/>
      <c r="E68" s="135"/>
      <c r="F68" s="135"/>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c r="AR68" s="135"/>
    </row>
    <row r="69" spans="2:44" ht="15.95" hidden="1" customHeight="1" x14ac:dyDescent="0.25">
      <c r="B69" s="135"/>
      <c r="C69" s="135"/>
      <c r="D69" s="135"/>
      <c r="E69" s="135"/>
      <c r="F69" s="135"/>
      <c r="G69" s="135"/>
      <c r="H69" s="135"/>
      <c r="I69" s="135"/>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5"/>
      <c r="AN69" s="135"/>
      <c r="AO69" s="135"/>
      <c r="AP69" s="135"/>
      <c r="AQ69" s="135"/>
      <c r="AR69" s="135"/>
    </row>
    <row r="70" spans="2:44" ht="15.95" hidden="1" customHeight="1" x14ac:dyDescent="0.25">
      <c r="B70" s="135"/>
      <c r="C70" s="135"/>
      <c r="D70" s="135"/>
      <c r="E70" s="135"/>
      <c r="F70" s="135"/>
      <c r="G70" s="135"/>
      <c r="H70" s="135"/>
      <c r="I70" s="135"/>
      <c r="J70" s="135"/>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5"/>
      <c r="AN70" s="135"/>
      <c r="AO70" s="135"/>
      <c r="AP70" s="135"/>
      <c r="AQ70" s="135"/>
      <c r="AR70" s="135"/>
    </row>
    <row r="71" spans="2:44" ht="15.95" hidden="1" customHeight="1" x14ac:dyDescent="0.25">
      <c r="B71" s="135"/>
      <c r="C71" s="135"/>
      <c r="D71" s="135"/>
      <c r="E71" s="135"/>
      <c r="F71" s="135"/>
      <c r="G71" s="135"/>
      <c r="H71" s="135"/>
      <c r="I71" s="135"/>
      <c r="J71" s="135"/>
      <c r="K71" s="135"/>
      <c r="L71" s="135"/>
      <c r="M71" s="135"/>
      <c r="N71" s="135"/>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c r="AO71" s="135"/>
      <c r="AP71" s="135"/>
      <c r="AQ71" s="135"/>
      <c r="AR71" s="135"/>
    </row>
    <row r="72" spans="2:44" ht="15.95" hidden="1" customHeight="1" x14ac:dyDescent="0.25">
      <c r="B72" s="135"/>
      <c r="C72" s="135"/>
      <c r="D72" s="135"/>
      <c r="E72" s="135"/>
      <c r="F72" s="135"/>
      <c r="G72" s="135"/>
      <c r="H72" s="135"/>
      <c r="I72" s="135"/>
      <c r="J72" s="135"/>
      <c r="K72" s="135"/>
      <c r="L72" s="135"/>
      <c r="M72" s="135"/>
      <c r="N72" s="135"/>
      <c r="O72" s="135"/>
      <c r="P72" s="135"/>
      <c r="Q72" s="135"/>
      <c r="R72" s="135"/>
      <c r="S72" s="135"/>
      <c r="T72" s="135"/>
      <c r="U72" s="135"/>
      <c r="V72" s="135"/>
      <c r="W72" s="135"/>
      <c r="X72" s="135"/>
      <c r="Y72" s="135"/>
      <c r="Z72" s="135"/>
      <c r="AA72" s="135"/>
      <c r="AB72" s="135"/>
      <c r="AC72" s="135"/>
      <c r="AD72" s="135"/>
      <c r="AE72" s="135"/>
      <c r="AF72" s="135"/>
      <c r="AG72" s="135"/>
      <c r="AH72" s="135"/>
      <c r="AI72" s="135"/>
      <c r="AJ72" s="135"/>
      <c r="AK72" s="135"/>
      <c r="AL72" s="135"/>
      <c r="AM72" s="135"/>
      <c r="AN72" s="135"/>
      <c r="AO72" s="135"/>
      <c r="AP72" s="135"/>
      <c r="AQ72" s="135"/>
      <c r="AR72" s="135"/>
    </row>
    <row r="73" spans="2:44" ht="15.95" hidden="1" customHeight="1" x14ac:dyDescent="0.25">
      <c r="B73" s="135"/>
      <c r="C73" s="135"/>
      <c r="D73" s="135"/>
      <c r="E73" s="135"/>
      <c r="F73" s="135"/>
      <c r="G73" s="135"/>
      <c r="H73" s="135"/>
      <c r="I73" s="135"/>
      <c r="J73" s="135"/>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M73" s="135"/>
      <c r="AN73" s="135"/>
      <c r="AO73" s="135"/>
      <c r="AP73" s="135"/>
      <c r="AQ73" s="135"/>
      <c r="AR73" s="135"/>
    </row>
    <row r="74" spans="2:44" ht="15.95" hidden="1" customHeight="1" x14ac:dyDescent="0.25"/>
    <row r="75" spans="2:44" ht="15.95" hidden="1" customHeight="1" x14ac:dyDescent="0.25"/>
    <row r="76" spans="2:44" ht="15.95" hidden="1" customHeight="1" x14ac:dyDescent="0.25"/>
    <row r="77" spans="2:44" ht="15.95" hidden="1" customHeight="1" x14ac:dyDescent="0.25"/>
    <row r="78" spans="2:44" ht="15.95" hidden="1" customHeight="1" x14ac:dyDescent="0.25"/>
    <row r="79" spans="2:44" ht="15.95" hidden="1" customHeight="1" x14ac:dyDescent="0.25"/>
    <row r="80" spans="2:44" ht="15.95" hidden="1" customHeight="1" x14ac:dyDescent="0.25"/>
    <row r="81" ht="15.95" hidden="1" customHeight="1" x14ac:dyDescent="0.25"/>
    <row r="82" ht="15.95" hidden="1" customHeight="1" x14ac:dyDescent="0.25"/>
    <row r="83" ht="15.95" hidden="1" customHeight="1" x14ac:dyDescent="0.25"/>
    <row r="84" ht="15.95" hidden="1" customHeight="1" x14ac:dyDescent="0.25"/>
    <row r="85" ht="15.95" hidden="1" customHeight="1" x14ac:dyDescent="0.25"/>
    <row r="86" ht="15.95" hidden="1" customHeight="1" x14ac:dyDescent="0.25"/>
    <row r="87" ht="15.95" hidden="1" customHeight="1" x14ac:dyDescent="0.25"/>
    <row r="88" ht="15.95" hidden="1" customHeight="1" x14ac:dyDescent="0.25"/>
    <row r="89" ht="15.95" hidden="1" customHeight="1" x14ac:dyDescent="0.25"/>
    <row r="90" ht="15.95" hidden="1" customHeight="1" x14ac:dyDescent="0.25"/>
    <row r="91" ht="15.95" hidden="1" customHeight="1" x14ac:dyDescent="0.25"/>
    <row r="92" ht="15.95" hidden="1" customHeight="1" x14ac:dyDescent="0.25"/>
    <row r="93" ht="15.95" hidden="1" customHeight="1" x14ac:dyDescent="0.25"/>
    <row r="94" ht="15.95" hidden="1" customHeight="1" x14ac:dyDescent="0.25"/>
    <row r="95" ht="15.95" hidden="1" customHeight="1" x14ac:dyDescent="0.25"/>
    <row r="96" ht="15.95" hidden="1" customHeight="1" x14ac:dyDescent="0.25"/>
    <row r="97" ht="15.95" hidden="1" customHeight="1" x14ac:dyDescent="0.25"/>
    <row r="98" ht="15.95" hidden="1" customHeight="1" x14ac:dyDescent="0.25"/>
    <row r="99" ht="15.95" hidden="1" customHeight="1" x14ac:dyDescent="0.25"/>
    <row r="100" ht="15.95" hidden="1" customHeight="1" x14ac:dyDescent="0.25"/>
    <row r="101" ht="15.95" hidden="1" customHeight="1" x14ac:dyDescent="0.25"/>
    <row r="102" ht="15.95" hidden="1" customHeight="1" x14ac:dyDescent="0.25"/>
    <row r="103" ht="15.95" hidden="1" customHeight="1" x14ac:dyDescent="0.25"/>
    <row r="104" ht="15.95" hidden="1" customHeight="1" x14ac:dyDescent="0.25"/>
    <row r="105" ht="15.95" hidden="1" customHeight="1" x14ac:dyDescent="0.25"/>
    <row r="106" ht="15.95" hidden="1" customHeight="1" x14ac:dyDescent="0.25"/>
    <row r="107" ht="15.95" hidden="1" customHeight="1" x14ac:dyDescent="0.25"/>
    <row r="108" ht="15.95" hidden="1" customHeight="1" x14ac:dyDescent="0.25"/>
    <row r="109" ht="15.95" hidden="1" customHeight="1" x14ac:dyDescent="0.25"/>
    <row r="110" ht="15.95" hidden="1" customHeight="1" x14ac:dyDescent="0.25"/>
    <row r="111" ht="15.95" hidden="1" customHeight="1" x14ac:dyDescent="0.25"/>
    <row r="112" ht="15.95" hidden="1" customHeight="1" x14ac:dyDescent="0.25"/>
    <row r="113" ht="15.95" hidden="1" customHeight="1" x14ac:dyDescent="0.25"/>
    <row r="114" ht="15.95" hidden="1" customHeight="1" x14ac:dyDescent="0.25"/>
    <row r="115" ht="15.95" hidden="1" customHeight="1" x14ac:dyDescent="0.25"/>
    <row r="116" ht="15.95" hidden="1" customHeight="1" x14ac:dyDescent="0.25"/>
    <row r="117" ht="15.95" hidden="1" customHeight="1" x14ac:dyDescent="0.25"/>
    <row r="118" ht="15.95" hidden="1" customHeight="1" x14ac:dyDescent="0.25"/>
    <row r="119" ht="15.95" hidden="1" customHeight="1" x14ac:dyDescent="0.25"/>
    <row r="120" ht="15.95" hidden="1" customHeight="1" x14ac:dyDescent="0.25"/>
    <row r="121" ht="15.95" hidden="1" customHeight="1" x14ac:dyDescent="0.25"/>
    <row r="122" ht="15.95" hidden="1" customHeight="1" x14ac:dyDescent="0.25"/>
    <row r="123" ht="15.95" hidden="1" customHeight="1" x14ac:dyDescent="0.25"/>
    <row r="124" ht="15.95" hidden="1" customHeight="1" x14ac:dyDescent="0.25"/>
    <row r="125" ht="15.95" hidden="1" customHeight="1" x14ac:dyDescent="0.25"/>
    <row r="126" ht="15.95" hidden="1" customHeight="1" x14ac:dyDescent="0.25"/>
    <row r="127" ht="15.95" hidden="1" customHeight="1" x14ac:dyDescent="0.25"/>
    <row r="128" ht="15.95" hidden="1" customHeight="1" x14ac:dyDescent="0.25"/>
    <row r="129" ht="15.95" hidden="1" customHeight="1" x14ac:dyDescent="0.25"/>
    <row r="130" ht="15.95" hidden="1" customHeight="1" x14ac:dyDescent="0.25"/>
    <row r="131" ht="15.95" hidden="1" customHeight="1" x14ac:dyDescent="0.25"/>
    <row r="132" ht="15.95" hidden="1" customHeight="1" x14ac:dyDescent="0.25"/>
    <row r="133" ht="15.95" hidden="1" customHeight="1" x14ac:dyDescent="0.25"/>
    <row r="134" ht="15.95" hidden="1" customHeight="1" x14ac:dyDescent="0.25"/>
    <row r="135" ht="15.95" hidden="1" customHeight="1" x14ac:dyDescent="0.25"/>
    <row r="136" ht="15.95" hidden="1" customHeight="1" x14ac:dyDescent="0.25"/>
    <row r="137" ht="15.95" hidden="1" customHeight="1" x14ac:dyDescent="0.25"/>
    <row r="138" ht="15.95" hidden="1" customHeight="1" x14ac:dyDescent="0.25"/>
    <row r="139" ht="15.95" hidden="1" customHeight="1" x14ac:dyDescent="0.25"/>
    <row r="140" ht="15.95" hidden="1" customHeight="1" x14ac:dyDescent="0.25"/>
    <row r="141" ht="15.95" hidden="1" customHeight="1" x14ac:dyDescent="0.25"/>
    <row r="142" ht="15.95" hidden="1" customHeight="1" x14ac:dyDescent="0.25"/>
    <row r="143" ht="15.95" hidden="1" customHeight="1" x14ac:dyDescent="0.25"/>
    <row r="144" ht="15.95" hidden="1" customHeight="1" x14ac:dyDescent="0.25"/>
    <row r="145" ht="15.95" hidden="1" customHeight="1" x14ac:dyDescent="0.25"/>
    <row r="146" ht="15.95" hidden="1" customHeight="1" x14ac:dyDescent="0.25"/>
    <row r="147" ht="15.95" hidden="1" customHeight="1" x14ac:dyDescent="0.25"/>
    <row r="148" ht="15.95" hidden="1" customHeight="1" x14ac:dyDescent="0.25"/>
    <row r="149" ht="15.95" hidden="1" customHeight="1" x14ac:dyDescent="0.25"/>
    <row r="150" ht="15.95" hidden="1" customHeight="1" x14ac:dyDescent="0.25"/>
    <row r="151" ht="15.95" hidden="1" customHeight="1" x14ac:dyDescent="0.25"/>
    <row r="152" ht="15.95" hidden="1" customHeight="1" x14ac:dyDescent="0.25"/>
    <row r="153" ht="15.95" hidden="1" customHeight="1" x14ac:dyDescent="0.25"/>
    <row r="154" ht="15.95" hidden="1" customHeight="1" x14ac:dyDescent="0.25"/>
    <row r="155" ht="15.95" hidden="1" customHeight="1" x14ac:dyDescent="0.25"/>
    <row r="156" ht="15.95" hidden="1" customHeight="1" x14ac:dyDescent="0.25"/>
    <row r="157" ht="15.95" hidden="1" customHeight="1" x14ac:dyDescent="0.25"/>
    <row r="158" ht="15.95" hidden="1" customHeight="1" x14ac:dyDescent="0.25"/>
    <row r="159" ht="15.95" hidden="1" customHeight="1" x14ac:dyDescent="0.25"/>
    <row r="160" ht="15.95" hidden="1" customHeight="1" x14ac:dyDescent="0.25"/>
    <row r="161" ht="15.95" hidden="1" customHeight="1" x14ac:dyDescent="0.25"/>
    <row r="162" ht="15.95" hidden="1" customHeight="1" x14ac:dyDescent="0.25"/>
    <row r="163" ht="15.95" hidden="1" customHeight="1" x14ac:dyDescent="0.25"/>
    <row r="164" ht="15.95" hidden="1" customHeight="1" x14ac:dyDescent="0.25"/>
    <row r="165" ht="15.95" hidden="1" customHeight="1" x14ac:dyDescent="0.25"/>
    <row r="166" ht="15.95" hidden="1" customHeight="1" x14ac:dyDescent="0.25"/>
    <row r="167" ht="15.95" hidden="1" customHeight="1" x14ac:dyDescent="0.25"/>
    <row r="168" ht="15.95" hidden="1" customHeight="1" x14ac:dyDescent="0.25"/>
    <row r="169" ht="15.95" hidden="1" customHeight="1" x14ac:dyDescent="0.25"/>
    <row r="170" ht="15.95" hidden="1" customHeight="1" x14ac:dyDescent="0.25"/>
    <row r="171" ht="15.95" hidden="1" customHeight="1" x14ac:dyDescent="0.25"/>
    <row r="172" ht="15.95" hidden="1" customHeight="1" x14ac:dyDescent="0.25"/>
    <row r="173" ht="15.95" hidden="1" customHeight="1" x14ac:dyDescent="0.25"/>
    <row r="174" ht="15.95" hidden="1" customHeight="1" x14ac:dyDescent="0.25"/>
    <row r="175" ht="15.95" hidden="1" customHeight="1" x14ac:dyDescent="0.25"/>
    <row r="176" ht="15.95" hidden="1" customHeight="1" x14ac:dyDescent="0.25"/>
    <row r="177" ht="15.95" hidden="1" customHeight="1" x14ac:dyDescent="0.25"/>
    <row r="178" ht="15.95" hidden="1" customHeight="1" x14ac:dyDescent="0.25"/>
    <row r="179" ht="15.95" hidden="1" customHeight="1" x14ac:dyDescent="0.25"/>
    <row r="180" ht="15.95" hidden="1" customHeight="1" x14ac:dyDescent="0.25"/>
    <row r="181" ht="15.95" hidden="1" customHeight="1" x14ac:dyDescent="0.25"/>
    <row r="182" ht="15.95" hidden="1" customHeight="1" x14ac:dyDescent="0.25"/>
    <row r="183" ht="15.95" hidden="1" customHeight="1" x14ac:dyDescent="0.25"/>
    <row r="184" ht="15.95" hidden="1" customHeight="1" x14ac:dyDescent="0.25"/>
    <row r="185" ht="15.95" hidden="1" customHeight="1" x14ac:dyDescent="0.25"/>
    <row r="186" ht="15.95" hidden="1" customHeight="1" x14ac:dyDescent="0.25"/>
    <row r="187" ht="15.95" hidden="1" customHeight="1" x14ac:dyDescent="0.25"/>
    <row r="188" ht="15.95" hidden="1" customHeight="1" x14ac:dyDescent="0.25"/>
    <row r="189" ht="15.95" hidden="1" customHeight="1" x14ac:dyDescent="0.25"/>
    <row r="190" ht="15.95" hidden="1" customHeight="1" x14ac:dyDescent="0.25"/>
    <row r="191" ht="15.95" hidden="1" customHeight="1" x14ac:dyDescent="0.25"/>
    <row r="192" ht="15.95" hidden="1" customHeight="1" x14ac:dyDescent="0.25"/>
    <row r="193" spans="2:44" ht="15.95" hidden="1" customHeight="1" x14ac:dyDescent="0.25"/>
    <row r="194" spans="2:44" ht="15.95" hidden="1" customHeight="1" x14ac:dyDescent="0.25"/>
    <row r="195" spans="2:44" ht="15.95" hidden="1" customHeight="1" x14ac:dyDescent="0.25"/>
    <row r="196" spans="2:44" ht="15.95" hidden="1" customHeight="1" x14ac:dyDescent="0.25"/>
    <row r="197" spans="2:44" ht="15.95" hidden="1" customHeight="1" x14ac:dyDescent="0.25"/>
    <row r="198" spans="2:44" ht="15.95" hidden="1" customHeight="1" x14ac:dyDescent="0.25"/>
    <row r="199" spans="2:44" ht="15.95" hidden="1" customHeight="1" x14ac:dyDescent="0.25"/>
    <row r="200" spans="2:44" ht="15.95" customHeight="1" x14ac:dyDescent="0.25">
      <c r="B200" s="136" t="str">
        <f>FOOT1</f>
        <v>Ameren Missouri BizSavers program</v>
      </c>
      <c r="C200" s="136"/>
      <c r="D200" s="136"/>
      <c r="E200" s="136"/>
      <c r="F200" s="136"/>
      <c r="G200" s="136"/>
      <c r="H200" s="136"/>
      <c r="I200" s="136"/>
      <c r="J200" s="136"/>
      <c r="K200" s="136"/>
      <c r="L200" s="136"/>
      <c r="M200" s="729" t="str">
        <f>FOOTDISCLAIM</f>
        <v/>
      </c>
      <c r="N200" s="729"/>
      <c r="O200" s="729"/>
      <c r="P200" s="729"/>
      <c r="Q200" s="729"/>
      <c r="R200" s="729"/>
      <c r="S200" s="729"/>
      <c r="T200" s="729"/>
      <c r="U200" s="729"/>
      <c r="V200" s="729"/>
      <c r="W200" s="729"/>
      <c r="X200" s="729"/>
      <c r="Y200" s="729"/>
      <c r="Z200" s="729"/>
      <c r="AA200" s="729"/>
      <c r="AB200" s="729"/>
      <c r="AC200" s="729"/>
      <c r="AD200" s="729"/>
      <c r="AE200" s="729"/>
      <c r="AF200" s="729"/>
      <c r="AG200" s="729"/>
      <c r="AH200" s="136"/>
      <c r="AI200" s="136"/>
      <c r="AJ200" s="136"/>
      <c r="AK200" s="136"/>
      <c r="AL200" s="136"/>
      <c r="AM200" s="136"/>
      <c r="AN200" s="136"/>
      <c r="AO200" s="136"/>
      <c r="AP200" s="136"/>
      <c r="AQ200" s="136"/>
      <c r="AR200" s="300" t="str">
        <f>FOOT4</f>
        <v/>
      </c>
    </row>
    <row r="201" spans="2:44" ht="15.95" customHeight="1" x14ac:dyDescent="0.25">
      <c r="B201" s="136" t="str">
        <f>FOOT2</f>
        <v>Toll-Free 866-941-7299</v>
      </c>
      <c r="C201" s="136"/>
      <c r="D201" s="136"/>
      <c r="E201" s="136"/>
      <c r="F201" s="136"/>
      <c r="G201" s="136"/>
      <c r="H201" s="136"/>
      <c r="I201" s="136"/>
      <c r="J201" s="136"/>
      <c r="K201" s="136"/>
      <c r="L201" s="136"/>
      <c r="M201" s="729"/>
      <c r="N201" s="729"/>
      <c r="O201" s="729"/>
      <c r="P201" s="729"/>
      <c r="Q201" s="729"/>
      <c r="R201" s="729"/>
      <c r="S201" s="729"/>
      <c r="T201" s="729"/>
      <c r="U201" s="729"/>
      <c r="V201" s="729"/>
      <c r="W201" s="729"/>
      <c r="X201" s="729"/>
      <c r="Y201" s="729"/>
      <c r="Z201" s="729"/>
      <c r="AA201" s="729"/>
      <c r="AB201" s="729"/>
      <c r="AC201" s="729"/>
      <c r="AD201" s="729"/>
      <c r="AE201" s="729"/>
      <c r="AF201" s="729"/>
      <c r="AG201" s="729"/>
      <c r="AH201" s="136"/>
      <c r="AI201" s="136"/>
      <c r="AJ201" s="136"/>
      <c r="AK201" s="136"/>
      <c r="AL201" s="136"/>
      <c r="AM201" s="136"/>
      <c r="AN201" s="136"/>
      <c r="AO201" s="136"/>
      <c r="AP201" s="136"/>
      <c r="AQ201" s="136"/>
      <c r="AR201" s="300" t="str">
        <f>FOOT5</f>
        <v/>
      </c>
    </row>
    <row r="202" spans="2:44" ht="15.95" customHeight="1" x14ac:dyDescent="0.25">
      <c r="B202" s="138" t="str">
        <f>FOOT3</f>
        <v>BizSavers@ameren.com</v>
      </c>
      <c r="C202" s="136"/>
      <c r="D202" s="136"/>
      <c r="E202" s="136"/>
      <c r="F202" s="136"/>
      <c r="G202" s="136"/>
      <c r="H202" s="136"/>
      <c r="I202" s="136"/>
      <c r="J202" s="136"/>
      <c r="K202" s="136"/>
      <c r="L202" s="136"/>
      <c r="M202" s="139"/>
      <c r="N202" s="136"/>
      <c r="O202" s="136"/>
      <c r="P202" s="139"/>
      <c r="Q202" s="139"/>
      <c r="R202" s="139"/>
      <c r="S202" s="139"/>
      <c r="T202" s="139"/>
      <c r="U202" s="139"/>
      <c r="V202" s="139"/>
      <c r="W202" s="140" t="str">
        <f>VERSION</f>
        <v>New Construction v3.8.0</v>
      </c>
      <c r="X202" s="139"/>
      <c r="Y202" s="139"/>
      <c r="Z202" s="139"/>
      <c r="AA202" s="139"/>
      <c r="AB202" s="139"/>
      <c r="AC202" s="139"/>
      <c r="AD202" s="139"/>
      <c r="AE202" s="136"/>
      <c r="AF202" s="136"/>
      <c r="AG202" s="136"/>
      <c r="AH202" s="136"/>
      <c r="AI202" s="136"/>
      <c r="AJ202" s="136"/>
      <c r="AK202" s="136"/>
      <c r="AL202" s="136"/>
      <c r="AM202" s="136"/>
      <c r="AN202" s="136"/>
      <c r="AO202" s="136"/>
      <c r="AP202" s="136"/>
      <c r="AQ202" s="136"/>
      <c r="AR202" s="300" t="str">
        <f>FOOT6</f>
        <v>Product of TRC Companies</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sheetData>
  <sheetProtection algorithmName="SHA-512" hashValue="eOhniWrL/hqPc4YM1Mss1tfx1U3kxZmhmg0ix28OQEsaUEG3L3ISBwDcXtwxdG3Bm0x6TEJ0z2+uKI3VSwK/Og==" saltValue="6ybqCOEBHCPuNgCUJA+Nsw==" spinCount="100000" sheet="1" objects="1" scenarios="1"/>
  <mergeCells count="280">
    <mergeCell ref="AE48:AH48"/>
    <mergeCell ref="AI48:AQ48"/>
    <mergeCell ref="C30:F30"/>
    <mergeCell ref="C31:F31"/>
    <mergeCell ref="C32:F32"/>
    <mergeCell ref="G29:O29"/>
    <mergeCell ref="G30:O30"/>
    <mergeCell ref="G31:O31"/>
    <mergeCell ref="Q31:T31"/>
    <mergeCell ref="U31:AC31"/>
    <mergeCell ref="AE29:AH29"/>
    <mergeCell ref="AE30:AH30"/>
    <mergeCell ref="AE31:AH31"/>
    <mergeCell ref="AE32:AH32"/>
    <mergeCell ref="G32:K32"/>
    <mergeCell ref="L32:O32"/>
    <mergeCell ref="C34:O34"/>
    <mergeCell ref="Q45:T45"/>
    <mergeCell ref="U35:AC35"/>
    <mergeCell ref="U37:AC37"/>
    <mergeCell ref="U39:AC39"/>
    <mergeCell ref="U40:AC40"/>
    <mergeCell ref="U41:AC41"/>
    <mergeCell ref="U42:AC42"/>
    <mergeCell ref="U43:AC43"/>
    <mergeCell ref="U44:AC44"/>
    <mergeCell ref="U45:AC45"/>
    <mergeCell ref="U38:Y38"/>
    <mergeCell ref="Z38:AA38"/>
    <mergeCell ref="AB38:AC38"/>
    <mergeCell ref="U36:Y36"/>
    <mergeCell ref="Z36:AC36"/>
    <mergeCell ref="Q43:T43"/>
    <mergeCell ref="Q44:T44"/>
    <mergeCell ref="Q42:T42"/>
    <mergeCell ref="G43:O43"/>
    <mergeCell ref="G44:O44"/>
    <mergeCell ref="G45:O45"/>
    <mergeCell ref="G36:O36"/>
    <mergeCell ref="G38:O38"/>
    <mergeCell ref="G39:O39"/>
    <mergeCell ref="G40:O40"/>
    <mergeCell ref="C37:F37"/>
    <mergeCell ref="C35:F35"/>
    <mergeCell ref="C36:F36"/>
    <mergeCell ref="G42:O42"/>
    <mergeCell ref="C43:F43"/>
    <mergeCell ref="C44:F44"/>
    <mergeCell ref="C45:F45"/>
    <mergeCell ref="C21:O21"/>
    <mergeCell ref="AE21:AQ21"/>
    <mergeCell ref="AE34:AQ34"/>
    <mergeCell ref="Q34:AC34"/>
    <mergeCell ref="Q37:T37"/>
    <mergeCell ref="Q38:T38"/>
    <mergeCell ref="Q39:T39"/>
    <mergeCell ref="Q40:T40"/>
    <mergeCell ref="Q41:T41"/>
    <mergeCell ref="AE22:AH22"/>
    <mergeCell ref="U22:Y22"/>
    <mergeCell ref="Z22:AC22"/>
    <mergeCell ref="U23:AC23"/>
    <mergeCell ref="U25:AC25"/>
    <mergeCell ref="U27:AC27"/>
    <mergeCell ref="U28:AC28"/>
    <mergeCell ref="U24:Y24"/>
    <mergeCell ref="Z24:AC24"/>
    <mergeCell ref="L28:M28"/>
    <mergeCell ref="G41:O41"/>
    <mergeCell ref="Q36:T36"/>
    <mergeCell ref="AE26:AH26"/>
    <mergeCell ref="AI32:AM32"/>
    <mergeCell ref="AE25:AH25"/>
    <mergeCell ref="M200:AG201"/>
    <mergeCell ref="C13:O13"/>
    <mergeCell ref="Q13:AC13"/>
    <mergeCell ref="AE13:AQ13"/>
    <mergeCell ref="F10:AN10"/>
    <mergeCell ref="F11:AN11"/>
    <mergeCell ref="G14:O14"/>
    <mergeCell ref="C27:F27"/>
    <mergeCell ref="C28:F28"/>
    <mergeCell ref="AE27:AH27"/>
    <mergeCell ref="AE28:AH28"/>
    <mergeCell ref="Q35:T35"/>
    <mergeCell ref="AI27:AQ27"/>
    <mergeCell ref="AI28:AM28"/>
    <mergeCell ref="AN28:AO28"/>
    <mergeCell ref="AP28:AQ28"/>
    <mergeCell ref="C17:F17"/>
    <mergeCell ref="C39:F39"/>
    <mergeCell ref="C40:F40"/>
    <mergeCell ref="C41:F41"/>
    <mergeCell ref="C42:F42"/>
    <mergeCell ref="G18:O18"/>
    <mergeCell ref="G19:O19"/>
    <mergeCell ref="AE19:AH19"/>
    <mergeCell ref="C18:F18"/>
    <mergeCell ref="N28:O28"/>
    <mergeCell ref="G37:K37"/>
    <mergeCell ref="L37:M37"/>
    <mergeCell ref="N37:O37"/>
    <mergeCell ref="C38:F38"/>
    <mergeCell ref="C14:F14"/>
    <mergeCell ref="C16:F16"/>
    <mergeCell ref="L23:O23"/>
    <mergeCell ref="G25:K25"/>
    <mergeCell ref="L25:O25"/>
    <mergeCell ref="G27:O27"/>
    <mergeCell ref="G15:K15"/>
    <mergeCell ref="G16:K16"/>
    <mergeCell ref="L15:O15"/>
    <mergeCell ref="L16:O16"/>
    <mergeCell ref="G17:O17"/>
    <mergeCell ref="C15:F15"/>
    <mergeCell ref="C19:F19"/>
    <mergeCell ref="L35:O35"/>
    <mergeCell ref="G35:K35"/>
    <mergeCell ref="G22:O22"/>
    <mergeCell ref="G24:O24"/>
    <mergeCell ref="C29:F29"/>
    <mergeCell ref="Q19:T19"/>
    <mergeCell ref="AI22:AQ22"/>
    <mergeCell ref="AI24:AQ24"/>
    <mergeCell ref="AI16:AQ16"/>
    <mergeCell ref="AI17:AQ17"/>
    <mergeCell ref="AI18:AQ18"/>
    <mergeCell ref="AI19:AQ19"/>
    <mergeCell ref="AI26:AQ26"/>
    <mergeCell ref="AN25:AQ25"/>
    <mergeCell ref="AI23:AM23"/>
    <mergeCell ref="AN23:AQ23"/>
    <mergeCell ref="AI25:AM25"/>
    <mergeCell ref="Q21:AC21"/>
    <mergeCell ref="Q14:T14"/>
    <mergeCell ref="Q15:T15"/>
    <mergeCell ref="Q16:T16"/>
    <mergeCell ref="Q17:T17"/>
    <mergeCell ref="Q18:T18"/>
    <mergeCell ref="AH1:AK1"/>
    <mergeCell ref="AL1:AP1"/>
    <mergeCell ref="AH2:AK3"/>
    <mergeCell ref="AL2:AP3"/>
    <mergeCell ref="C23:F23"/>
    <mergeCell ref="C24:F24"/>
    <mergeCell ref="C25:F25"/>
    <mergeCell ref="C26:F26"/>
    <mergeCell ref="C22:F22"/>
    <mergeCell ref="G23:K23"/>
    <mergeCell ref="Q26:T26"/>
    <mergeCell ref="G28:K28"/>
    <mergeCell ref="Q22:T22"/>
    <mergeCell ref="Q23:T23"/>
    <mergeCell ref="Q24:T24"/>
    <mergeCell ref="Q25:T25"/>
    <mergeCell ref="G26:O26"/>
    <mergeCell ref="AE35:AH35"/>
    <mergeCell ref="AI35:AQ35"/>
    <mergeCell ref="AE36:AH36"/>
    <mergeCell ref="AI36:AQ36"/>
    <mergeCell ref="Q27:T27"/>
    <mergeCell ref="Q28:T28"/>
    <mergeCell ref="AE23:AH23"/>
    <mergeCell ref="AE24:AH24"/>
    <mergeCell ref="AN32:AQ32"/>
    <mergeCell ref="Q29:T29"/>
    <mergeCell ref="U29:AC29"/>
    <mergeCell ref="Q30:T30"/>
    <mergeCell ref="U30:AC30"/>
    <mergeCell ref="Q32:T32"/>
    <mergeCell ref="U32:AC32"/>
    <mergeCell ref="AI29:AQ29"/>
    <mergeCell ref="AI30:AQ30"/>
    <mergeCell ref="AI31:AQ31"/>
    <mergeCell ref="AQ1:AR1"/>
    <mergeCell ref="AQ2:AR3"/>
    <mergeCell ref="U15:AC15"/>
    <mergeCell ref="U16:AC16"/>
    <mergeCell ref="U17:AC17"/>
    <mergeCell ref="U18:AC18"/>
    <mergeCell ref="U19:AC19"/>
    <mergeCell ref="AE14:AH14"/>
    <mergeCell ref="AE15:AH15"/>
    <mergeCell ref="AE16:AH16"/>
    <mergeCell ref="AE17:AH17"/>
    <mergeCell ref="AE18:AH18"/>
    <mergeCell ref="AI14:AM14"/>
    <mergeCell ref="AN14:AQ14"/>
    <mergeCell ref="AI15:AM15"/>
    <mergeCell ref="AN15:AQ15"/>
    <mergeCell ref="AE37:AH37"/>
    <mergeCell ref="AI37:AQ37"/>
    <mergeCell ref="AE38:AH38"/>
    <mergeCell ref="AI38:AQ38"/>
    <mergeCell ref="AE39:AH39"/>
    <mergeCell ref="AI39:AQ39"/>
    <mergeCell ref="AE45:AH45"/>
    <mergeCell ref="AE40:AH40"/>
    <mergeCell ref="AI40:AQ40"/>
    <mergeCell ref="AE41:AH41"/>
    <mergeCell ref="AI41:AQ41"/>
    <mergeCell ref="AE42:AH42"/>
    <mergeCell ref="AI42:AQ42"/>
    <mergeCell ref="AE43:AH43"/>
    <mergeCell ref="AI43:AQ43"/>
    <mergeCell ref="AE44:AH44"/>
    <mergeCell ref="AI44:AQ44"/>
    <mergeCell ref="AI45:AM45"/>
    <mergeCell ref="AN45:AQ45"/>
    <mergeCell ref="C46:F46"/>
    <mergeCell ref="AI49:AM49"/>
    <mergeCell ref="AN49:AQ49"/>
    <mergeCell ref="C56:AC61"/>
    <mergeCell ref="AE55:AQ55"/>
    <mergeCell ref="AE56:AH56"/>
    <mergeCell ref="AI56:AQ56"/>
    <mergeCell ref="AE57:AH57"/>
    <mergeCell ref="AI57:AQ57"/>
    <mergeCell ref="AE58:AH58"/>
    <mergeCell ref="AI58:AQ58"/>
    <mergeCell ref="AE59:AH59"/>
    <mergeCell ref="AI59:AQ59"/>
    <mergeCell ref="AE60:AH60"/>
    <mergeCell ref="AI60:AQ60"/>
    <mergeCell ref="AE61:AH61"/>
    <mergeCell ref="AI61:AQ61"/>
    <mergeCell ref="C55:AC55"/>
    <mergeCell ref="Q46:T46"/>
    <mergeCell ref="U46:AC46"/>
    <mergeCell ref="Q47:T47"/>
    <mergeCell ref="U47:Y47"/>
    <mergeCell ref="Z47:AC47"/>
    <mergeCell ref="AI46:AQ46"/>
    <mergeCell ref="C53:F53"/>
    <mergeCell ref="G53:O53"/>
    <mergeCell ref="Q53:T53"/>
    <mergeCell ref="Q51:T51"/>
    <mergeCell ref="C51:F51"/>
    <mergeCell ref="G51:O51"/>
    <mergeCell ref="C52:F52"/>
    <mergeCell ref="G52:O52"/>
    <mergeCell ref="Q50:T50"/>
    <mergeCell ref="Q52:T52"/>
    <mergeCell ref="U52:AC52"/>
    <mergeCell ref="Q48:T48"/>
    <mergeCell ref="U48:AC48"/>
    <mergeCell ref="Q49:T49"/>
    <mergeCell ref="U49:Y49"/>
    <mergeCell ref="Z49:AA49"/>
    <mergeCell ref="AB49:AC49"/>
    <mergeCell ref="C48:F48"/>
    <mergeCell ref="G48:O48"/>
    <mergeCell ref="C49:F49"/>
    <mergeCell ref="G49:O49"/>
    <mergeCell ref="C50:F50"/>
    <mergeCell ref="G50:O50"/>
    <mergeCell ref="G46:K46"/>
    <mergeCell ref="L46:O46"/>
    <mergeCell ref="U26:AC26"/>
    <mergeCell ref="Z14:AC14"/>
    <mergeCell ref="U14:Y14"/>
    <mergeCell ref="U53:AC53"/>
    <mergeCell ref="AE46:AH46"/>
    <mergeCell ref="AE47:AH47"/>
    <mergeCell ref="AI47:AQ47"/>
    <mergeCell ref="AE49:AH49"/>
    <mergeCell ref="AE50:AH50"/>
    <mergeCell ref="AI50:AM50"/>
    <mergeCell ref="AN50:AQ50"/>
    <mergeCell ref="AE51:AH51"/>
    <mergeCell ref="AI51:AM51"/>
    <mergeCell ref="AN51:AQ51"/>
    <mergeCell ref="AE52:AH52"/>
    <mergeCell ref="AI52:AM52"/>
    <mergeCell ref="AN52:AQ52"/>
    <mergeCell ref="AE53:AH53"/>
    <mergeCell ref="AI53:AM53"/>
    <mergeCell ref="AN53:AQ53"/>
    <mergeCell ref="U50:AC50"/>
    <mergeCell ref="U51:AC51"/>
  </mergeCells>
  <conditionalFormatting sqref="AI14:AQ14 AI16:AQ19 AI15 AN15">
    <cfRule type="containsBlanks" dxfId="9" priority="79">
      <formula>LEN(TRIM(AI14))=0</formula>
    </cfRule>
  </conditionalFormatting>
  <conditionalFormatting sqref="AI56:AQ61">
    <cfRule type="containsBlanks" dxfId="8" priority="35">
      <formula>LEN(TRIM(AI56))=0</formula>
    </cfRule>
  </conditionalFormatting>
  <conditionalFormatting sqref="AI49:AQ53">
    <cfRule type="containsBlanks" dxfId="7" priority="8">
      <formula>LEN(TRIM(AI49))=0</formula>
    </cfRule>
  </conditionalFormatting>
  <conditionalFormatting sqref="AQ2:AR3">
    <cfRule type="cellIs" dxfId="6" priority="3" operator="equal">
      <formula>1</formula>
    </cfRule>
    <cfRule type="cellIs" dxfId="5" priority="4" operator="between">
      <formula>0.51</formula>
      <formula>0.99</formula>
    </cfRule>
    <cfRule type="cellIs" dxfId="4" priority="5" operator="lessThanOrEqual">
      <formula>0.5</formula>
    </cfRule>
  </conditionalFormatting>
  <conditionalFormatting sqref="AH2 AL2">
    <cfRule type="expression" dxfId="3" priority="1">
      <formula>OR(PROJSTATUS=PROJSTATELI,PROJSTATUS=PROJSTATEXP,PROJSTATUS=PROJSTATUNDER)</formula>
    </cfRule>
    <cfRule type="expression" dxfId="2" priority="2">
      <formula>PROJSTATUS=PROJSTATFILLINITIAL</formula>
    </cfRule>
    <cfRule type="expression" dxfId="1" priority="6">
      <formula>PROJSTATUS=PROJSTATPREAPPROVE</formula>
    </cfRule>
    <cfRule type="expression" dxfId="0" priority="7">
      <formula>OR(PROJSTATUS=PROJSTATSSUBMITINITIAL,PROJSTATUS=PROJSTATREVIEW)</formula>
    </cfRule>
  </conditionalFormatting>
  <dataValidations count="7">
    <dataValidation type="list" allowBlank="1" showInputMessage="1" sqref="AI15" xr:uid="{00000000-0002-0000-2C00-000000000000}">
      <formula1>IMPLSPECNAME</formula1>
    </dataValidation>
    <dataValidation type="list" allowBlank="1" showInputMessage="1" sqref="AI16:AQ16" xr:uid="{00000000-0002-0000-2C00-000001000000}">
      <formula1>"Wade, Travis,Fred, Josh, Taylor, Sam, David"</formula1>
    </dataValidation>
    <dataValidation type="list" allowBlank="1" showInputMessage="1" showErrorMessage="1" sqref="AI17:AQ17" xr:uid="{00000000-0002-0000-2C00-000002000000}">
      <formula1>"PRELIMINARY,SUBMITTED,REVIEWED,FINAL"</formula1>
    </dataValidation>
    <dataValidation type="list" allowBlank="1" showInputMessage="1" showErrorMessage="1" sqref="AI56:AQ61" xr:uid="{00000000-0002-0000-2C00-000003000000}">
      <formula1>"Received,Not Required,Not Received,Incomplete"</formula1>
    </dataValidation>
    <dataValidation type="list" allowBlank="1" showInputMessage="1" showErrorMessage="1" sqref="G52:O52" xr:uid="{00000000-0002-0000-2C00-000004000000}">
      <formula1>"Yes,No"</formula1>
    </dataValidation>
    <dataValidation type="list" allowBlank="1" showInputMessage="1" showErrorMessage="1" sqref="AI19:AQ19" xr:uid="{00000000-0002-0000-2C00-000005000000}">
      <formula1>BDLEADNAME</formula1>
    </dataValidation>
    <dataValidation type="list" allowBlank="1" showInputMessage="1" sqref="AN15:AQ15" xr:uid="{75379CB1-1F70-4458-BE72-B5243659EDB4}">
      <formula1>"Yes"</formula1>
    </dataValidation>
  </dataValidations>
  <hyperlinks>
    <hyperlink ref="B202" r:id="rId1" display="NIPSCO.Savings@LMCO.com" xr:uid="{00000000-0004-0000-2C00-000000000000}"/>
  </hyperlinks>
  <printOptions horizontalCentered="1" verticalCentered="1"/>
  <pageMargins left="0.3" right="0.3" top="0.3" bottom="0.3" header="0.25" footer="0.25"/>
  <pageSetup scale="68" fitToHeight="0" orientation="landscape"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pageSetUpPr fitToPage="1"/>
  </sheetPr>
  <dimension ref="A1:BZ202"/>
  <sheetViews>
    <sheetView showRowColHeaders="0" zoomScaleNormal="100" workbookViewId="0">
      <selection activeCell="M21" sqref="M21"/>
    </sheetView>
  </sheetViews>
  <sheetFormatPr defaultColWidth="0" defaultRowHeight="15" customHeight="1" zeroHeight="1" x14ac:dyDescent="0.25"/>
  <cols>
    <col min="1" max="45" width="4.7109375" customWidth="1"/>
    <col min="46" max="78" width="9.140625" customWidth="1"/>
    <col min="79" max="16384" width="9.140625" hidden="1"/>
  </cols>
  <sheetData>
    <row r="1" spans="2:43" ht="15.95" customHeight="1" x14ac:dyDescent="0.25"/>
    <row r="2" spans="2:43" ht="15.95" customHeight="1" x14ac:dyDescent="0.25"/>
    <row r="3" spans="2:43" ht="15.95" customHeight="1" x14ac:dyDescent="0.25"/>
    <row r="4" spans="2:43" ht="15.95" customHeight="1" x14ac:dyDescent="0.25"/>
    <row r="5" spans="2:43" ht="15.95" customHeight="1" x14ac:dyDescent="0.25"/>
    <row r="6" spans="2:43" ht="15.95" customHeight="1" x14ac:dyDescent="0.25"/>
    <row r="7" spans="2:43" ht="15.95" customHeight="1" x14ac:dyDescent="0.25"/>
    <row r="8" spans="2:43" ht="15.95" customHeight="1" x14ac:dyDescent="0.25"/>
    <row r="9" spans="2:43" ht="15.95" customHeight="1" x14ac:dyDescent="0.25">
      <c r="R9" s="1599" t="str">
        <f>M1S1</f>
        <v>Welcome</v>
      </c>
      <c r="S9" s="1599"/>
      <c r="T9" s="1599"/>
      <c r="U9" s="1599"/>
      <c r="V9" s="1599"/>
      <c r="W9" s="1599"/>
      <c r="X9" s="1600" t="s">
        <v>68</v>
      </c>
      <c r="Y9" s="1600"/>
      <c r="Z9" s="1600"/>
      <c r="AA9" s="1600"/>
      <c r="AB9" s="1600"/>
      <c r="AC9" s="1600"/>
    </row>
    <row r="10" spans="2:43" ht="15.95" customHeight="1" x14ac:dyDescent="0.25">
      <c r="R10" s="780" t="s">
        <v>69</v>
      </c>
      <c r="S10" s="780"/>
      <c r="T10" s="780"/>
      <c r="U10" s="780"/>
      <c r="V10" s="780" t="s">
        <v>70</v>
      </c>
      <c r="W10" s="780"/>
      <c r="X10" s="780"/>
      <c r="Y10" s="780"/>
      <c r="Z10" s="780" t="s">
        <v>71</v>
      </c>
      <c r="AA10" s="780"/>
      <c r="AB10" s="780"/>
      <c r="AC10" s="780"/>
    </row>
    <row r="11" spans="2:43" ht="15.95" customHeight="1" thickBot="1" x14ac:dyDescent="0.3"/>
    <row r="12" spans="2:43" ht="15.95" customHeight="1" x14ac:dyDescent="0.25">
      <c r="C12" s="11"/>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3"/>
    </row>
    <row r="13" spans="2:43" s="63" customFormat="1" ht="15.95" customHeight="1" x14ac:dyDescent="0.25">
      <c r="C13" s="191"/>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192"/>
    </row>
    <row r="14" spans="2:43" ht="15.95" customHeight="1" thickBot="1" x14ac:dyDescent="0.3">
      <c r="C14" s="14"/>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6"/>
    </row>
    <row r="15" spans="2:43" ht="15.95" customHeight="1" x14ac:dyDescent="0.25">
      <c r="B15" s="1598">
        <v>1</v>
      </c>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row>
    <row r="16" spans="2:43" ht="15.95" customHeight="1" x14ac:dyDescent="0.25">
      <c r="B16" s="1598"/>
      <c r="C16" s="17"/>
      <c r="D16" s="17"/>
      <c r="E16" s="17"/>
      <c r="F16" s="17"/>
      <c r="G16" s="17"/>
      <c r="H16" s="17"/>
      <c r="I16" s="17"/>
      <c r="J16" s="17"/>
      <c r="K16" s="17"/>
      <c r="L16" s="17"/>
      <c r="M16" s="17"/>
      <c r="N16" s="17"/>
      <c r="O16" s="18"/>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row>
    <row r="17" spans="2:43" ht="15.95" customHeight="1" x14ac:dyDescent="0.25">
      <c r="B17" s="1062">
        <v>2</v>
      </c>
      <c r="C17" s="17"/>
      <c r="D17" s="17"/>
      <c r="E17" s="17"/>
      <c r="F17" s="17"/>
      <c r="G17" s="17"/>
      <c r="H17" s="17"/>
      <c r="I17" s="17"/>
      <c r="J17" s="17"/>
      <c r="K17" s="17"/>
      <c r="L17" s="17"/>
      <c r="M17" s="17"/>
      <c r="N17" s="17"/>
      <c r="O17" s="18"/>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row>
    <row r="18" spans="2:43" ht="15.95" customHeight="1" x14ac:dyDescent="0.25">
      <c r="B18" s="1062"/>
      <c r="C18" s="17"/>
      <c r="D18" s="17"/>
      <c r="E18" s="17"/>
      <c r="F18" s="17"/>
      <c r="G18" s="17"/>
      <c r="H18" s="17"/>
      <c r="I18" s="17"/>
      <c r="J18" s="17"/>
      <c r="K18" s="17"/>
      <c r="L18" s="17"/>
      <c r="M18" s="17"/>
      <c r="N18" s="17"/>
      <c r="O18" s="18"/>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row>
    <row r="19" spans="2:43" ht="15.95" customHeight="1" x14ac:dyDescent="0.25">
      <c r="B19" s="1062">
        <v>3</v>
      </c>
      <c r="C19" s="17"/>
      <c r="D19" s="17"/>
      <c r="E19" s="17"/>
      <c r="F19" s="17"/>
      <c r="G19" s="17"/>
      <c r="H19" s="17"/>
      <c r="I19" s="17"/>
      <c r="J19" s="17"/>
      <c r="K19" s="17"/>
      <c r="L19" s="17"/>
      <c r="M19" s="17"/>
      <c r="N19" s="17"/>
      <c r="O19" s="18"/>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row>
    <row r="20" spans="2:43" ht="15.95" customHeight="1" x14ac:dyDescent="0.25">
      <c r="B20" s="1062"/>
      <c r="C20" s="17"/>
      <c r="D20" s="17"/>
      <c r="E20" s="17"/>
      <c r="F20" s="17"/>
      <c r="G20" s="17"/>
      <c r="H20" s="17"/>
      <c r="I20" s="17"/>
      <c r="J20" s="17"/>
      <c r="K20" s="17"/>
      <c r="L20" s="17"/>
      <c r="M20" s="17"/>
      <c r="N20" s="17"/>
      <c r="O20" s="18"/>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row>
    <row r="21" spans="2:43" ht="15.95" customHeight="1" x14ac:dyDescent="0.25">
      <c r="B21" s="1062">
        <v>4</v>
      </c>
      <c r="C21" s="17"/>
      <c r="D21" s="17"/>
      <c r="E21" s="17"/>
      <c r="F21" s="17"/>
      <c r="G21" s="17"/>
      <c r="H21" s="17"/>
      <c r="I21" s="17"/>
      <c r="J21" s="17"/>
      <c r="K21" s="17"/>
      <c r="L21" s="17"/>
      <c r="M21" s="17"/>
      <c r="N21" s="17"/>
      <c r="O21" s="18"/>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row>
    <row r="22" spans="2:43" ht="15.95" customHeight="1" x14ac:dyDescent="0.25">
      <c r="B22" s="1062"/>
      <c r="C22" s="17"/>
      <c r="D22" s="17"/>
      <c r="E22" s="17"/>
      <c r="F22" s="17"/>
      <c r="G22" s="17"/>
      <c r="H22" s="17"/>
      <c r="I22" s="17"/>
      <c r="J22" s="17"/>
      <c r="K22" s="17"/>
      <c r="L22" s="17"/>
      <c r="M22" s="17"/>
      <c r="N22" s="17"/>
      <c r="O22" s="18"/>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row>
    <row r="23" spans="2:43" ht="15.95" customHeight="1" x14ac:dyDescent="0.25">
      <c r="B23" s="1062">
        <v>5</v>
      </c>
      <c r="C23" s="17"/>
      <c r="D23" s="17"/>
      <c r="E23" s="17"/>
      <c r="F23" s="17"/>
      <c r="G23" s="17"/>
      <c r="H23" s="17"/>
      <c r="I23" s="17"/>
      <c r="J23" s="17"/>
      <c r="K23" s="17"/>
      <c r="L23" s="17"/>
      <c r="M23" s="17"/>
      <c r="N23" s="17"/>
      <c r="O23" s="18"/>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row>
    <row r="24" spans="2:43" ht="15.95" customHeight="1" x14ac:dyDescent="0.25">
      <c r="B24" s="1062"/>
      <c r="C24" s="17"/>
      <c r="D24" s="17"/>
      <c r="E24" s="17"/>
      <c r="F24" s="17"/>
      <c r="G24" s="17"/>
      <c r="H24" s="17"/>
      <c r="I24" s="17"/>
      <c r="J24" s="17"/>
      <c r="K24" s="17"/>
      <c r="L24" s="17"/>
      <c r="M24" s="17"/>
      <c r="N24" s="17"/>
      <c r="O24" s="18"/>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row>
    <row r="25" spans="2:43" ht="15.95" customHeight="1" x14ac:dyDescent="0.25">
      <c r="B25" s="1062">
        <v>6</v>
      </c>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row>
    <row r="26" spans="2:43" ht="15.95" customHeight="1" x14ac:dyDescent="0.25">
      <c r="B26" s="1062"/>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row>
    <row r="27" spans="2:43" ht="15.95" customHeight="1" x14ac:dyDescent="0.25">
      <c r="B27" s="1062">
        <v>7</v>
      </c>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row>
    <row r="28" spans="2:43" ht="15.95" customHeight="1" x14ac:dyDescent="0.25">
      <c r="B28" s="1062"/>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row>
    <row r="29" spans="2:43" ht="15.95" customHeight="1" x14ac:dyDescent="0.25">
      <c r="B29" s="1062">
        <v>8</v>
      </c>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row>
    <row r="30" spans="2:43" ht="15.95" customHeight="1" x14ac:dyDescent="0.25">
      <c r="B30" s="1062"/>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row>
    <row r="31" spans="2:43" ht="15.95" customHeight="1" x14ac:dyDescent="0.25">
      <c r="B31" s="1062">
        <v>9</v>
      </c>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row>
    <row r="32" spans="2:43" ht="15.95" customHeight="1" x14ac:dyDescent="0.25">
      <c r="B32" s="1062"/>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row>
    <row r="33" spans="2:43" ht="15.95" customHeight="1" x14ac:dyDescent="0.25">
      <c r="B33" s="1062">
        <v>10</v>
      </c>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row>
    <row r="34" spans="2:43" ht="15.95" customHeight="1" x14ac:dyDescent="0.25">
      <c r="B34" s="1062"/>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row>
    <row r="35" spans="2:43" ht="15.95" customHeight="1" x14ac:dyDescent="0.25">
      <c r="B35" s="1062">
        <v>11</v>
      </c>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row>
    <row r="36" spans="2:43" ht="15.95" customHeight="1" x14ac:dyDescent="0.25">
      <c r="B36" s="1062"/>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row>
    <row r="37" spans="2:43" ht="15.95" customHeight="1" x14ac:dyDescent="0.25">
      <c r="B37" s="1062">
        <v>12</v>
      </c>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row>
    <row r="38" spans="2:43" ht="15.95" customHeight="1" x14ac:dyDescent="0.25">
      <c r="B38" s="1062"/>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row>
    <row r="39" spans="2:43" ht="15.95" customHeight="1" x14ac:dyDescent="0.25">
      <c r="B39" s="1062">
        <v>13</v>
      </c>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row>
    <row r="40" spans="2:43" ht="15.95" customHeight="1" x14ac:dyDescent="0.25">
      <c r="B40" s="1062"/>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row>
    <row r="41" spans="2:43" ht="15.95" customHeight="1" x14ac:dyDescent="0.25">
      <c r="B41" s="1062">
        <v>14</v>
      </c>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row>
    <row r="42" spans="2:43" ht="15.95" customHeight="1" x14ac:dyDescent="0.25">
      <c r="B42" s="1062"/>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row>
    <row r="43" spans="2:43" ht="15.95" customHeight="1" x14ac:dyDescent="0.25">
      <c r="B43" s="1062">
        <v>15</v>
      </c>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row>
    <row r="44" spans="2:43" ht="15.95" customHeight="1" x14ac:dyDescent="0.25">
      <c r="B44" s="1062"/>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row>
    <row r="45" spans="2:43" ht="15.95" customHeight="1" x14ac:dyDescent="0.25">
      <c r="B45" s="1062">
        <v>16</v>
      </c>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row>
    <row r="46" spans="2:43" ht="15.95" customHeight="1" x14ac:dyDescent="0.25">
      <c r="B46" s="1062"/>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row>
    <row r="47" spans="2:43" ht="15.95" customHeight="1" x14ac:dyDescent="0.25">
      <c r="B47" s="1062">
        <v>17</v>
      </c>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row>
    <row r="48" spans="2:43" ht="15.95" customHeight="1" x14ac:dyDescent="0.25">
      <c r="B48" s="1062"/>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row>
    <row r="49" spans="2:43" ht="15.95" customHeight="1" x14ac:dyDescent="0.25">
      <c r="B49" s="1062">
        <v>18</v>
      </c>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row>
    <row r="50" spans="2:43" ht="15.95" customHeight="1" x14ac:dyDescent="0.25">
      <c r="B50" s="1062"/>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row>
    <row r="51" spans="2:43" ht="15.95" customHeight="1" x14ac:dyDescent="0.25">
      <c r="B51" s="1062">
        <v>19</v>
      </c>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row>
    <row r="52" spans="2:43" ht="15.95" customHeight="1" x14ac:dyDescent="0.25">
      <c r="B52" s="1062"/>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row>
    <row r="53" spans="2:43" ht="15.95" customHeight="1" x14ac:dyDescent="0.25">
      <c r="B53" s="1062">
        <v>20</v>
      </c>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row>
    <row r="54" spans="2:43" ht="15.95" customHeight="1" x14ac:dyDescent="0.25">
      <c r="B54" s="1062"/>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row>
    <row r="55" spans="2:43" ht="15.95" customHeight="1" x14ac:dyDescent="0.25">
      <c r="B55" s="1062">
        <v>21</v>
      </c>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row>
    <row r="56" spans="2:43" ht="15.95" customHeight="1" x14ac:dyDescent="0.25">
      <c r="B56" s="1062"/>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row>
    <row r="57" spans="2:43" ht="15.95" customHeight="1" x14ac:dyDescent="0.25">
      <c r="B57" s="1062">
        <v>22</v>
      </c>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row>
    <row r="58" spans="2:43" ht="15.95" customHeight="1" x14ac:dyDescent="0.25">
      <c r="B58" s="1062"/>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row>
    <row r="59" spans="2:43" ht="15.95" customHeight="1" x14ac:dyDescent="0.25">
      <c r="B59" s="1062">
        <v>23</v>
      </c>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row>
    <row r="60" spans="2:43" ht="15.95" customHeight="1" x14ac:dyDescent="0.25">
      <c r="B60" s="1062"/>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row>
    <row r="61" spans="2:43" ht="15.95" customHeight="1" x14ac:dyDescent="0.25">
      <c r="B61" s="1062">
        <v>24</v>
      </c>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row>
    <row r="62" spans="2:43" ht="15.95" customHeight="1" x14ac:dyDescent="0.25">
      <c r="B62" s="1062"/>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row>
    <row r="63" spans="2:43" ht="15.95" customHeight="1" x14ac:dyDescent="0.25">
      <c r="B63" s="1062">
        <v>25</v>
      </c>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row>
    <row r="64" spans="2:43" ht="15.95" customHeight="1" x14ac:dyDescent="0.25">
      <c r="B64" s="1062"/>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row>
    <row r="65" spans="2:43" ht="15.95" customHeight="1" x14ac:dyDescent="0.25">
      <c r="B65" s="1062">
        <v>26</v>
      </c>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row>
    <row r="66" spans="2:43" ht="15.95" customHeight="1" x14ac:dyDescent="0.25">
      <c r="B66" s="1062"/>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row>
    <row r="67" spans="2:43" ht="15.95" customHeight="1" x14ac:dyDescent="0.25">
      <c r="B67" s="1062">
        <v>27</v>
      </c>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row>
    <row r="68" spans="2:43" ht="15.95" customHeight="1" x14ac:dyDescent="0.25">
      <c r="B68" s="1062"/>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row>
    <row r="69" spans="2:43" ht="15.95" customHeight="1" x14ac:dyDescent="0.25">
      <c r="B69" s="1062">
        <v>28</v>
      </c>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row>
    <row r="70" spans="2:43" ht="15.95" customHeight="1" x14ac:dyDescent="0.25">
      <c r="B70" s="1062"/>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row>
    <row r="71" spans="2:43" ht="15.95" customHeight="1" x14ac:dyDescent="0.25">
      <c r="B71" s="1062">
        <v>29</v>
      </c>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row>
    <row r="72" spans="2:43" ht="15.95" customHeight="1" x14ac:dyDescent="0.25">
      <c r="B72" s="1062"/>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row>
    <row r="73" spans="2:43" ht="15.95" customHeight="1" x14ac:dyDescent="0.25">
      <c r="B73" s="1062">
        <v>30</v>
      </c>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row>
    <row r="74" spans="2:43" ht="15.95" customHeight="1" x14ac:dyDescent="0.25">
      <c r="B74" s="1062"/>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row>
    <row r="75" spans="2:43" ht="15.95" customHeight="1" x14ac:dyDescent="0.25">
      <c r="B75" s="1062">
        <v>31</v>
      </c>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row>
    <row r="76" spans="2:43" ht="15.95" customHeight="1" x14ac:dyDescent="0.25">
      <c r="B76" s="1062"/>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row>
    <row r="77" spans="2:43" ht="15.95" customHeight="1" x14ac:dyDescent="0.25">
      <c r="B77" s="1062">
        <v>32</v>
      </c>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row>
    <row r="78" spans="2:43" ht="15.95" customHeight="1" x14ac:dyDescent="0.25">
      <c r="B78" s="1062"/>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row>
    <row r="79" spans="2:43" ht="15.95" customHeight="1" x14ac:dyDescent="0.25">
      <c r="B79" s="1062">
        <v>33</v>
      </c>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row>
    <row r="80" spans="2:43" ht="15.95" customHeight="1" x14ac:dyDescent="0.25">
      <c r="B80" s="1062"/>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row>
    <row r="81" spans="2:43" ht="15.95" customHeight="1" x14ac:dyDescent="0.25">
      <c r="B81" s="1062">
        <v>34</v>
      </c>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row>
    <row r="82" spans="2:43" ht="15.95" customHeight="1" x14ac:dyDescent="0.25">
      <c r="B82" s="1062"/>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row>
    <row r="83" spans="2:43" ht="15.95" customHeight="1" x14ac:dyDescent="0.25">
      <c r="B83" s="1062">
        <v>35</v>
      </c>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row>
    <row r="84" spans="2:43" ht="15.95" customHeight="1" x14ac:dyDescent="0.25">
      <c r="B84" s="1062"/>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row>
    <row r="85" spans="2:43" ht="15.95" customHeight="1" x14ac:dyDescent="0.25">
      <c r="B85" s="1062">
        <v>36</v>
      </c>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row>
    <row r="86" spans="2:43" ht="15.95" customHeight="1" x14ac:dyDescent="0.25">
      <c r="B86" s="1062"/>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row>
    <row r="87" spans="2:43" ht="15.95" customHeight="1" x14ac:dyDescent="0.25">
      <c r="B87" s="1062">
        <v>37</v>
      </c>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row>
    <row r="88" spans="2:43" ht="15.95" customHeight="1" x14ac:dyDescent="0.25">
      <c r="B88" s="1062"/>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row>
    <row r="89" spans="2:43" ht="15.95" customHeight="1" x14ac:dyDescent="0.25">
      <c r="B89" s="1062">
        <v>38</v>
      </c>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row>
    <row r="90" spans="2:43" ht="15.95" customHeight="1" x14ac:dyDescent="0.25">
      <c r="B90" s="1062"/>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row>
    <row r="91" spans="2:43" ht="15.95" customHeight="1" x14ac:dyDescent="0.25">
      <c r="B91" s="1062">
        <v>39</v>
      </c>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row>
    <row r="92" spans="2:43" ht="15.95" customHeight="1" x14ac:dyDescent="0.25">
      <c r="B92" s="1062"/>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row>
    <row r="93" spans="2:43" ht="15.95" customHeight="1" x14ac:dyDescent="0.25">
      <c r="B93" s="1062">
        <v>40</v>
      </c>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row>
    <row r="94" spans="2:43" ht="15.95" customHeight="1" x14ac:dyDescent="0.25">
      <c r="B94" s="1062"/>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row>
    <row r="95" spans="2:43" ht="15.95" customHeight="1" x14ac:dyDescent="0.25">
      <c r="B95" s="1062">
        <v>41</v>
      </c>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row>
    <row r="96" spans="2:43" ht="15.95" customHeight="1" x14ac:dyDescent="0.25">
      <c r="B96" s="1062"/>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row>
    <row r="97" spans="2:43" ht="15.95" customHeight="1" x14ac:dyDescent="0.25">
      <c r="B97" s="1062">
        <v>42</v>
      </c>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row>
    <row r="98" spans="2:43" ht="15.95" customHeight="1" x14ac:dyDescent="0.25">
      <c r="B98" s="1062"/>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row>
    <row r="99" spans="2:43" ht="15.95" customHeight="1" x14ac:dyDescent="0.25">
      <c r="B99" s="1062">
        <v>43</v>
      </c>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row>
    <row r="100" spans="2:43" ht="15.95" customHeight="1" x14ac:dyDescent="0.25">
      <c r="B100" s="1062"/>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row>
    <row r="101" spans="2:43" ht="15.95" customHeight="1" x14ac:dyDescent="0.25">
      <c r="B101" s="1062">
        <v>44</v>
      </c>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row>
    <row r="102" spans="2:43" ht="15.95" customHeight="1" x14ac:dyDescent="0.25">
      <c r="B102" s="1062"/>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row>
    <row r="103" spans="2:43" ht="15.95" customHeight="1" x14ac:dyDescent="0.25">
      <c r="B103" s="1062">
        <v>45</v>
      </c>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row>
    <row r="104" spans="2:43" ht="15.95" customHeight="1" x14ac:dyDescent="0.25">
      <c r="B104" s="1062"/>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row>
    <row r="105" spans="2:43" ht="15.95" customHeight="1" x14ac:dyDescent="0.25">
      <c r="B105" s="1062">
        <v>46</v>
      </c>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row>
    <row r="106" spans="2:43" ht="15.95" customHeight="1" x14ac:dyDescent="0.25">
      <c r="B106" s="1062"/>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row>
    <row r="107" spans="2:43" ht="15.95" customHeight="1" x14ac:dyDescent="0.25">
      <c r="B107" s="1062">
        <v>47</v>
      </c>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row>
    <row r="108" spans="2:43" ht="15.95" customHeight="1" x14ac:dyDescent="0.25">
      <c r="B108" s="1062"/>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row>
    <row r="109" spans="2:43" ht="15.95" customHeight="1" x14ac:dyDescent="0.25">
      <c r="B109" s="1062">
        <v>48</v>
      </c>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row>
    <row r="110" spans="2:43" ht="15.95" customHeight="1" x14ac:dyDescent="0.25">
      <c r="B110" s="1062"/>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row>
    <row r="111" spans="2:43" ht="15.95" customHeight="1" x14ac:dyDescent="0.25">
      <c r="B111" s="1062">
        <v>49</v>
      </c>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row>
    <row r="112" spans="2:43" ht="15.95" customHeight="1" x14ac:dyDescent="0.25">
      <c r="B112" s="1062"/>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row>
    <row r="113" spans="2:43" ht="15.95" customHeight="1" x14ac:dyDescent="0.25">
      <c r="B113" s="1062">
        <v>50</v>
      </c>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row>
    <row r="114" spans="2:43" ht="15.95" customHeight="1" x14ac:dyDescent="0.25">
      <c r="B114" s="1062"/>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row>
    <row r="115" spans="2:43" ht="15.95" customHeight="1" x14ac:dyDescent="0.25">
      <c r="B115" s="1062">
        <v>51</v>
      </c>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row>
    <row r="116" spans="2:43" ht="15.95" customHeight="1" x14ac:dyDescent="0.25">
      <c r="B116" s="1062"/>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row>
    <row r="117" spans="2:43" ht="15.95" customHeight="1" x14ac:dyDescent="0.25">
      <c r="B117" s="1062">
        <v>52</v>
      </c>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row>
    <row r="118" spans="2:43" ht="15.95" customHeight="1" x14ac:dyDescent="0.25">
      <c r="B118" s="1062"/>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row>
    <row r="119" spans="2:43" ht="15.95" customHeight="1" x14ac:dyDescent="0.25">
      <c r="B119" s="1062">
        <v>53</v>
      </c>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row>
    <row r="120" spans="2:43" ht="15.95" customHeight="1" x14ac:dyDescent="0.25">
      <c r="B120" s="1062"/>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row>
    <row r="121" spans="2:43" ht="15.95" customHeight="1" x14ac:dyDescent="0.25">
      <c r="B121" s="1062">
        <v>54</v>
      </c>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row>
    <row r="122" spans="2:43" ht="15.95" customHeight="1" x14ac:dyDescent="0.25">
      <c r="B122" s="1062"/>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row>
    <row r="123" spans="2:43" ht="15.95" customHeight="1" x14ac:dyDescent="0.25">
      <c r="B123" s="1062">
        <v>55</v>
      </c>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row>
    <row r="124" spans="2:43" ht="15.95" customHeight="1" x14ac:dyDescent="0.25">
      <c r="B124" s="1062"/>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row>
    <row r="125" spans="2:43" ht="15.95" customHeight="1" x14ac:dyDescent="0.25">
      <c r="B125" s="1062">
        <v>56</v>
      </c>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row>
    <row r="126" spans="2:43" ht="15.95" customHeight="1" x14ac:dyDescent="0.25">
      <c r="B126" s="1062"/>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row>
    <row r="127" spans="2:43" ht="15.95" customHeight="1" x14ac:dyDescent="0.25">
      <c r="B127" s="1062">
        <v>57</v>
      </c>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row>
    <row r="128" spans="2:43" ht="15.95" customHeight="1" x14ac:dyDescent="0.25">
      <c r="B128" s="1062"/>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row>
    <row r="129" spans="2:43" ht="15.95" customHeight="1" x14ac:dyDescent="0.25">
      <c r="B129" s="1062">
        <v>58</v>
      </c>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row>
    <row r="130" spans="2:43" ht="15.95" customHeight="1" x14ac:dyDescent="0.25">
      <c r="B130" s="1062"/>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row>
    <row r="131" spans="2:43" ht="15.95" customHeight="1" x14ac:dyDescent="0.25">
      <c r="B131" s="1062">
        <v>59</v>
      </c>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row>
    <row r="132" spans="2:43" ht="15.95" customHeight="1" x14ac:dyDescent="0.25">
      <c r="B132" s="1062"/>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row>
    <row r="133" spans="2:43" ht="15.95" customHeight="1" x14ac:dyDescent="0.25">
      <c r="B133" s="1062">
        <v>60</v>
      </c>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row>
    <row r="134" spans="2:43" ht="15.95" customHeight="1" x14ac:dyDescent="0.25">
      <c r="B134" s="1062"/>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row>
    <row r="135" spans="2:43" ht="15.95" customHeight="1" x14ac:dyDescent="0.25">
      <c r="B135" s="1062">
        <v>61</v>
      </c>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row>
    <row r="136" spans="2:43" ht="15.95" customHeight="1" x14ac:dyDescent="0.25">
      <c r="B136" s="1062"/>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row>
    <row r="137" spans="2:43" ht="15.95" customHeight="1" x14ac:dyDescent="0.25">
      <c r="B137" s="1062">
        <v>62</v>
      </c>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row>
    <row r="138" spans="2:43" ht="15.95" customHeight="1" x14ac:dyDescent="0.25">
      <c r="B138" s="1062"/>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row>
    <row r="139" spans="2:43" ht="15.95" customHeight="1" x14ac:dyDescent="0.25">
      <c r="B139" s="1062">
        <v>63</v>
      </c>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row>
    <row r="140" spans="2:43" ht="15.95" customHeight="1" x14ac:dyDescent="0.25">
      <c r="B140" s="1062"/>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row>
    <row r="141" spans="2:43" ht="15.95" customHeight="1" x14ac:dyDescent="0.25">
      <c r="B141" s="1062">
        <v>64</v>
      </c>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row>
    <row r="142" spans="2:43" ht="15.95" customHeight="1" x14ac:dyDescent="0.25">
      <c r="B142" s="1062"/>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row>
    <row r="143" spans="2:43" ht="15.95" customHeight="1" x14ac:dyDescent="0.25">
      <c r="B143" s="1062">
        <v>65</v>
      </c>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row>
    <row r="144" spans="2:43" ht="15.95" customHeight="1" x14ac:dyDescent="0.25">
      <c r="B144" s="1062"/>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row>
    <row r="145" spans="2:43" ht="15.95" customHeight="1" x14ac:dyDescent="0.25">
      <c r="B145" s="1062">
        <v>66</v>
      </c>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row>
    <row r="146" spans="2:43" ht="15.95" customHeight="1" x14ac:dyDescent="0.25">
      <c r="B146" s="1062"/>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row>
    <row r="147" spans="2:43" ht="15.95" customHeight="1" x14ac:dyDescent="0.25">
      <c r="B147" s="1062">
        <v>67</v>
      </c>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row>
    <row r="148" spans="2:43" ht="15.95" customHeight="1" x14ac:dyDescent="0.25">
      <c r="B148" s="1062"/>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row>
    <row r="149" spans="2:43" ht="15.95" customHeight="1" x14ac:dyDescent="0.25">
      <c r="B149" s="1062">
        <v>68</v>
      </c>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row>
    <row r="150" spans="2:43" ht="15.95" customHeight="1" x14ac:dyDescent="0.25">
      <c r="B150" s="1062"/>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row>
    <row r="151" spans="2:43" ht="15.95" customHeight="1" x14ac:dyDescent="0.25">
      <c r="B151" s="1062">
        <v>69</v>
      </c>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row>
    <row r="152" spans="2:43" ht="15.95" customHeight="1" x14ac:dyDescent="0.25">
      <c r="B152" s="1062"/>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row>
    <row r="153" spans="2:43" ht="15.95" customHeight="1" x14ac:dyDescent="0.25">
      <c r="B153" s="1062">
        <v>70</v>
      </c>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row>
    <row r="154" spans="2:43" ht="15.95" customHeight="1" x14ac:dyDescent="0.25">
      <c r="B154" s="1062"/>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row>
    <row r="155" spans="2:43" ht="15.95" customHeight="1" x14ac:dyDescent="0.25">
      <c r="B155" s="1062">
        <v>71</v>
      </c>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row>
    <row r="156" spans="2:43" ht="15.95" customHeight="1" x14ac:dyDescent="0.25">
      <c r="B156" s="1062"/>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row>
    <row r="157" spans="2:43" ht="15.95" customHeight="1" x14ac:dyDescent="0.25">
      <c r="B157" s="1062">
        <v>72</v>
      </c>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row>
    <row r="158" spans="2:43" ht="15.95" customHeight="1" x14ac:dyDescent="0.25">
      <c r="B158" s="1062"/>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3" ht="15.95" customHeight="1" x14ac:dyDescent="0.25">
      <c r="B159" s="1062">
        <v>73</v>
      </c>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3" ht="15.95" customHeight="1" x14ac:dyDescent="0.25">
      <c r="B160" s="1062"/>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customHeight="1" x14ac:dyDescent="0.25">
      <c r="B161" s="1062">
        <v>74</v>
      </c>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customHeight="1" x14ac:dyDescent="0.25">
      <c r="B162" s="1062"/>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customHeight="1" x14ac:dyDescent="0.25">
      <c r="B163" s="1062">
        <v>75</v>
      </c>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customHeight="1" x14ac:dyDescent="0.25">
      <c r="B164" s="1062"/>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customHeight="1" x14ac:dyDescent="0.25">
      <c r="B165" s="1062">
        <v>76</v>
      </c>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customHeight="1" x14ac:dyDescent="0.25">
      <c r="B166" s="1062"/>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customHeight="1" x14ac:dyDescent="0.25">
      <c r="B167" s="1062">
        <v>77</v>
      </c>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customHeight="1" x14ac:dyDescent="0.25">
      <c r="B168" s="1062"/>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customHeight="1" x14ac:dyDescent="0.25">
      <c r="B169" s="1062">
        <v>78</v>
      </c>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customHeight="1" x14ac:dyDescent="0.25">
      <c r="B170" s="1062"/>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customHeight="1" x14ac:dyDescent="0.25">
      <c r="B171" s="1062">
        <v>79</v>
      </c>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customHeight="1" x14ac:dyDescent="0.25">
      <c r="B172" s="1062"/>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customHeight="1" x14ac:dyDescent="0.25">
      <c r="B173" s="1062">
        <v>80</v>
      </c>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customHeight="1" x14ac:dyDescent="0.25">
      <c r="B174" s="1062"/>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customHeight="1" x14ac:dyDescent="0.25">
      <c r="B175" s="1062">
        <v>81</v>
      </c>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customHeight="1" x14ac:dyDescent="0.25">
      <c r="B176" s="1062"/>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customHeight="1" x14ac:dyDescent="0.25">
      <c r="B177" s="1062">
        <v>82</v>
      </c>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customHeight="1" x14ac:dyDescent="0.25">
      <c r="B178" s="1062"/>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customHeight="1" x14ac:dyDescent="0.25">
      <c r="B179" s="1062">
        <v>83</v>
      </c>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customHeight="1" x14ac:dyDescent="0.25">
      <c r="B180" s="1062"/>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customHeight="1" x14ac:dyDescent="0.25">
      <c r="B181" s="1062">
        <v>84</v>
      </c>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customHeight="1" x14ac:dyDescent="0.25">
      <c r="B182" s="1062"/>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customHeight="1" x14ac:dyDescent="0.25">
      <c r="B183" s="1062">
        <v>85</v>
      </c>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customHeight="1" x14ac:dyDescent="0.25">
      <c r="B184" s="1062"/>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customHeight="1" x14ac:dyDescent="0.25">
      <c r="B185" s="1062">
        <v>86</v>
      </c>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customHeight="1" x14ac:dyDescent="0.25">
      <c r="B186" s="1062"/>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customHeight="1" x14ac:dyDescent="0.25">
      <c r="B187" s="1062">
        <v>87</v>
      </c>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customHeight="1" x14ac:dyDescent="0.25">
      <c r="B188" s="1062"/>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customHeight="1" x14ac:dyDescent="0.25">
      <c r="B189" s="1062">
        <v>88</v>
      </c>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customHeight="1" x14ac:dyDescent="0.25">
      <c r="B190" s="1062"/>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customHeight="1" x14ac:dyDescent="0.25">
      <c r="B191" s="1062">
        <v>89</v>
      </c>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customHeight="1" x14ac:dyDescent="0.25">
      <c r="B192" s="1062"/>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4" ht="15.95" customHeight="1" x14ac:dyDescent="0.25">
      <c r="B193" s="1062">
        <v>90</v>
      </c>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4" ht="15.95" customHeight="1" x14ac:dyDescent="0.25">
      <c r="B194" s="1062"/>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4" ht="15.95" customHeight="1" x14ac:dyDescent="0.25">
      <c r="B195" s="1062">
        <v>91</v>
      </c>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4" ht="15.95" customHeight="1" x14ac:dyDescent="0.25">
      <c r="B196" s="1062"/>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4" s="63" customFormat="1" ht="15.95" customHeight="1" x14ac:dyDescent="0.25">
      <c r="B197" s="129"/>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4" ht="15.95" customHeight="1" x14ac:dyDescent="0.25">
      <c r="B198" s="1062">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4" ht="15.95" customHeight="1" x14ac:dyDescent="0.25">
      <c r="B199" s="1062"/>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4" ht="15.95" customHeight="1" x14ac:dyDescent="0.25">
      <c r="B200" t="str">
        <f>FOOT1</f>
        <v>Ameren Missouri BizSavers program</v>
      </c>
      <c r="M200" s="805" t="str">
        <f>FOOTDISCLAIM</f>
        <v/>
      </c>
      <c r="N200" s="805"/>
      <c r="O200" s="805"/>
      <c r="P200" s="805"/>
      <c r="Q200" s="805"/>
      <c r="R200" s="805"/>
      <c r="S200" s="805"/>
      <c r="T200" s="805"/>
      <c r="U200" s="805"/>
      <c r="V200" s="805"/>
      <c r="W200" s="805"/>
      <c r="X200" s="805"/>
      <c r="Y200" s="805"/>
      <c r="Z200" s="805"/>
      <c r="AA200" s="805"/>
      <c r="AB200" s="805"/>
      <c r="AC200" s="805"/>
      <c r="AD200" s="805"/>
      <c r="AE200" s="805"/>
      <c r="AF200" s="805"/>
      <c r="AG200" s="805"/>
      <c r="AR200" s="300" t="str">
        <f>FOOT4</f>
        <v/>
      </c>
    </row>
    <row r="201" spans="2:44" ht="15.95" customHeight="1" x14ac:dyDescent="0.25">
      <c r="B201" t="str">
        <f>FOOT2</f>
        <v>Toll-Free 866-941-7299</v>
      </c>
      <c r="M201" s="805"/>
      <c r="N201" s="805"/>
      <c r="O201" s="805"/>
      <c r="P201" s="805"/>
      <c r="Q201" s="805"/>
      <c r="R201" s="805"/>
      <c r="S201" s="805"/>
      <c r="T201" s="805"/>
      <c r="U201" s="805"/>
      <c r="V201" s="805"/>
      <c r="W201" s="805"/>
      <c r="X201" s="805"/>
      <c r="Y201" s="805"/>
      <c r="Z201" s="805"/>
      <c r="AA201" s="805"/>
      <c r="AB201" s="805"/>
      <c r="AC201" s="805"/>
      <c r="AD201" s="805"/>
      <c r="AE201" s="805"/>
      <c r="AF201" s="805"/>
      <c r="AG201" s="805"/>
      <c r="AR201" s="300" t="str">
        <f>FOOT5</f>
        <v/>
      </c>
    </row>
    <row r="202" spans="2:44" ht="15.95" customHeight="1" x14ac:dyDescent="0.25">
      <c r="B202" s="19" t="str">
        <f>FOOT3</f>
        <v>BizSavers@ameren.com</v>
      </c>
      <c r="M202" s="20"/>
      <c r="P202" s="20"/>
      <c r="Q202" s="20"/>
      <c r="R202" s="20"/>
      <c r="S202" s="20"/>
      <c r="T202" s="20"/>
      <c r="U202" s="20"/>
      <c r="V202" s="20"/>
      <c r="W202" s="21" t="str">
        <f>VERSION</f>
        <v>New Construction v3.8.0</v>
      </c>
      <c r="X202" s="20"/>
      <c r="Y202" s="20"/>
      <c r="Z202" s="20"/>
      <c r="AA202" s="20"/>
      <c r="AB202" s="20"/>
      <c r="AC202" s="20"/>
      <c r="AD202" s="20"/>
      <c r="AR202" s="300" t="str">
        <f>FOOT6</f>
        <v>Product of TRC Companies</v>
      </c>
    </row>
  </sheetData>
  <sheetProtection algorithmName="SHA-512" hashValue="9IymFVlVSlkoHSjbL92NKyUiNJNyXyyV8/8LOemGS2RmYIDjOA0KWU6E1WVUF2evWYD2NzJ/IASHVcjLGlnI4w==" saltValue="m60mcT9Zsghd6Q2tfRIqvQ==" spinCount="100000" sheet="1" objects="1" scenarios="1" selectLockedCells="1"/>
  <mergeCells count="98">
    <mergeCell ref="B15:B16"/>
    <mergeCell ref="R9:W9"/>
    <mergeCell ref="X9:AC9"/>
    <mergeCell ref="R10:U10"/>
    <mergeCell ref="V10:Y10"/>
    <mergeCell ref="Z10:AC10"/>
    <mergeCell ref="B39:B40"/>
    <mergeCell ref="B17:B18"/>
    <mergeCell ref="B19:B20"/>
    <mergeCell ref="B21:B22"/>
    <mergeCell ref="B23:B24"/>
    <mergeCell ref="B25:B26"/>
    <mergeCell ref="B27:B28"/>
    <mergeCell ref="B29:B30"/>
    <mergeCell ref="B31:B32"/>
    <mergeCell ref="B33:B34"/>
    <mergeCell ref="B35:B36"/>
    <mergeCell ref="B37:B38"/>
    <mergeCell ref="B63:B64"/>
    <mergeCell ref="B41:B42"/>
    <mergeCell ref="B43:B44"/>
    <mergeCell ref="B45:B46"/>
    <mergeCell ref="B47:B48"/>
    <mergeCell ref="B49:B50"/>
    <mergeCell ref="B51:B52"/>
    <mergeCell ref="B53:B54"/>
    <mergeCell ref="B55:B56"/>
    <mergeCell ref="B57:B58"/>
    <mergeCell ref="B59:B60"/>
    <mergeCell ref="B61:B62"/>
    <mergeCell ref="B87:B88"/>
    <mergeCell ref="B65:B66"/>
    <mergeCell ref="B67:B68"/>
    <mergeCell ref="B69:B70"/>
    <mergeCell ref="B71:B72"/>
    <mergeCell ref="B73:B74"/>
    <mergeCell ref="B75:B76"/>
    <mergeCell ref="B77:B78"/>
    <mergeCell ref="B79:B80"/>
    <mergeCell ref="B81:B82"/>
    <mergeCell ref="B83:B84"/>
    <mergeCell ref="B85:B86"/>
    <mergeCell ref="B111:B112"/>
    <mergeCell ref="B89:B90"/>
    <mergeCell ref="B91:B92"/>
    <mergeCell ref="B93:B94"/>
    <mergeCell ref="B95:B96"/>
    <mergeCell ref="B97:B98"/>
    <mergeCell ref="B99:B100"/>
    <mergeCell ref="B101:B102"/>
    <mergeCell ref="B103:B104"/>
    <mergeCell ref="B105:B106"/>
    <mergeCell ref="B107:B108"/>
    <mergeCell ref="B109:B110"/>
    <mergeCell ref="B135:B136"/>
    <mergeCell ref="B113:B114"/>
    <mergeCell ref="B115:B116"/>
    <mergeCell ref="B117:B118"/>
    <mergeCell ref="B119:B120"/>
    <mergeCell ref="B121:B122"/>
    <mergeCell ref="B123:B124"/>
    <mergeCell ref="B125:B126"/>
    <mergeCell ref="B127:B128"/>
    <mergeCell ref="B129:B130"/>
    <mergeCell ref="B131:B132"/>
    <mergeCell ref="B133:B134"/>
    <mergeCell ref="B159:B160"/>
    <mergeCell ref="B137:B138"/>
    <mergeCell ref="B139:B140"/>
    <mergeCell ref="B141:B142"/>
    <mergeCell ref="B143:B144"/>
    <mergeCell ref="B145:B146"/>
    <mergeCell ref="B147:B148"/>
    <mergeCell ref="B149:B150"/>
    <mergeCell ref="B151:B152"/>
    <mergeCell ref="B153:B154"/>
    <mergeCell ref="B155:B156"/>
    <mergeCell ref="B157:B158"/>
    <mergeCell ref="B183:B184"/>
    <mergeCell ref="B161:B162"/>
    <mergeCell ref="B163:B164"/>
    <mergeCell ref="B165:B166"/>
    <mergeCell ref="B167:B168"/>
    <mergeCell ref="B169:B170"/>
    <mergeCell ref="B171:B172"/>
    <mergeCell ref="B173:B174"/>
    <mergeCell ref="B175:B176"/>
    <mergeCell ref="B177:B178"/>
    <mergeCell ref="B179:B180"/>
    <mergeCell ref="B181:B182"/>
    <mergeCell ref="M200:AG201"/>
    <mergeCell ref="B198:B199"/>
    <mergeCell ref="B185:B186"/>
    <mergeCell ref="B187:B188"/>
    <mergeCell ref="B189:B190"/>
    <mergeCell ref="B191:B192"/>
    <mergeCell ref="B193:B194"/>
    <mergeCell ref="B195:B196"/>
  </mergeCells>
  <hyperlinks>
    <hyperlink ref="B202" r:id="rId1" display="NIPSCO.Savings@LMCO.com" xr:uid="{00000000-0004-0000-2D00-000000000000}"/>
  </hyperlinks>
  <pageMargins left="0.25" right="0.25" top="0.25" bottom="0.25" header="0.25" footer="0.25"/>
  <pageSetup scale="64" fitToHeight="0" orientation="landscape" r:id="rId2"/>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7">
    <tabColor theme="7" tint="0.39997558519241921"/>
  </sheetPr>
  <dimension ref="A1:Z45"/>
  <sheetViews>
    <sheetView showRowColHeaders="0" workbookViewId="0">
      <selection activeCell="J40" sqref="J40"/>
    </sheetView>
  </sheetViews>
  <sheetFormatPr defaultRowHeight="15" x14ac:dyDescent="0.25"/>
  <cols>
    <col min="1" max="1" width="17.5703125" customWidth="1"/>
    <col min="2" max="10" width="9.140625" customWidth="1"/>
    <col min="11" max="11" width="18.85546875" bestFit="1" customWidth="1"/>
    <col min="13" max="13" width="16.5703125" customWidth="1"/>
    <col min="14" max="17" width="9.140625" customWidth="1"/>
  </cols>
  <sheetData>
    <row r="1" spans="1:26" x14ac:dyDescent="0.25">
      <c r="A1" t="s">
        <v>222</v>
      </c>
    </row>
    <row r="2" spans="1:26" x14ac:dyDescent="0.25">
      <c r="A2" t="s">
        <v>223</v>
      </c>
    </row>
    <row r="3" spans="1:26" x14ac:dyDescent="0.25">
      <c r="A3" t="s">
        <v>1989</v>
      </c>
    </row>
    <row r="4" spans="1:26" x14ac:dyDescent="0.25">
      <c r="A4" t="s">
        <v>1990</v>
      </c>
    </row>
    <row r="5" spans="1:26" x14ac:dyDescent="0.25">
      <c r="D5" t="s">
        <v>649</v>
      </c>
    </row>
    <row r="6" spans="1:26" x14ac:dyDescent="0.25">
      <c r="A6" t="s">
        <v>224</v>
      </c>
      <c r="B6" s="51">
        <v>4.8399999999999999E-2</v>
      </c>
      <c r="D6" t="s">
        <v>650</v>
      </c>
      <c r="M6" t="s">
        <v>229</v>
      </c>
      <c r="N6" s="51">
        <v>0</v>
      </c>
      <c r="P6" t="s">
        <v>236</v>
      </c>
    </row>
    <row r="7" spans="1:26" x14ac:dyDescent="0.25">
      <c r="A7" t="s">
        <v>232</v>
      </c>
      <c r="B7" s="51">
        <v>6.4600000000000005E-2</v>
      </c>
      <c r="M7" t="s">
        <v>231</v>
      </c>
      <c r="N7" s="51">
        <v>0</v>
      </c>
    </row>
    <row r="8" spans="1:26" s="63" customFormat="1" x14ac:dyDescent="0.25">
      <c r="A8" s="63" t="s">
        <v>647</v>
      </c>
      <c r="B8" s="124">
        <v>1.00796476761619</v>
      </c>
      <c r="N8" s="51"/>
    </row>
    <row r="9" spans="1:26" s="63" customFormat="1" x14ac:dyDescent="0.25">
      <c r="B9" s="51"/>
      <c r="N9" s="51"/>
    </row>
    <row r="10" spans="1:26" x14ac:dyDescent="0.25">
      <c r="C10" s="52"/>
      <c r="D10" s="52"/>
      <c r="E10" s="52"/>
      <c r="F10" s="52"/>
      <c r="G10" s="52"/>
      <c r="H10" s="52"/>
      <c r="P10" s="52"/>
    </row>
    <row r="11" spans="1:26" x14ac:dyDescent="0.25">
      <c r="A11" t="s">
        <v>219</v>
      </c>
      <c r="B11" t="s">
        <v>230</v>
      </c>
      <c r="C11" s="63" t="s">
        <v>648</v>
      </c>
      <c r="D11" s="52" t="s">
        <v>227</v>
      </c>
      <c r="E11" s="52" t="s">
        <v>645</v>
      </c>
      <c r="F11" s="52" t="s">
        <v>228</v>
      </c>
      <c r="G11" s="52" t="s">
        <v>220</v>
      </c>
      <c r="H11" s="52" t="s">
        <v>225</v>
      </c>
      <c r="I11" s="52" t="s">
        <v>221</v>
      </c>
      <c r="J11" t="s">
        <v>233</v>
      </c>
      <c r="K11" t="s">
        <v>234</v>
      </c>
      <c r="N11" s="125" t="s">
        <v>219</v>
      </c>
      <c r="O11" s="125" t="s">
        <v>230</v>
      </c>
      <c r="P11" s="125" t="s">
        <v>226</v>
      </c>
      <c r="Q11" s="125" t="s">
        <v>646</v>
      </c>
      <c r="R11" s="125" t="s">
        <v>235</v>
      </c>
    </row>
    <row r="12" spans="1:26" x14ac:dyDescent="0.25">
      <c r="A12" s="63">
        <v>2021</v>
      </c>
      <c r="B12" s="63">
        <v>1</v>
      </c>
      <c r="C12" s="63">
        <v>0.16400000000000001</v>
      </c>
      <c r="D12" s="52"/>
      <c r="E12" s="52">
        <v>28.692927499682444</v>
      </c>
      <c r="F12" s="52"/>
      <c r="G12" s="52">
        <v>35.423563240355129</v>
      </c>
      <c r="H12" s="52"/>
      <c r="I12" s="52">
        <v>23.830925422686164</v>
      </c>
      <c r="J12" s="52">
        <f>$E$12/1000</f>
        <v>2.8692927499682445E-2</v>
      </c>
      <c r="K12" s="335">
        <f>$G$12+$I$12</f>
        <v>59.254488663041293</v>
      </c>
      <c r="L12" s="52"/>
      <c r="N12" s="125">
        <v>2016</v>
      </c>
      <c r="O12" s="125">
        <v>1</v>
      </c>
      <c r="P12" s="126"/>
      <c r="Q12" s="126">
        <v>4.3825000000000003</v>
      </c>
      <c r="R12" s="126">
        <f>Q12/((1+GDR)^O12)</f>
        <v>4.3825000000000003</v>
      </c>
    </row>
    <row r="13" spans="1:26" x14ac:dyDescent="0.25">
      <c r="A13" s="63">
        <v>2022</v>
      </c>
      <c r="B13" s="63">
        <v>2</v>
      </c>
      <c r="C13" s="63">
        <v>0.16800000000000001</v>
      </c>
      <c r="D13" s="52"/>
      <c r="E13" s="52">
        <v>29.839828626413787</v>
      </c>
      <c r="F13" s="52"/>
      <c r="G13" s="52">
        <v>47.908213733052762</v>
      </c>
      <c r="H13" s="52"/>
      <c r="I13" s="52">
        <v>24.30754393113989</v>
      </c>
      <c r="J13" s="52">
        <f>NPV($B$7,$E$13:$E13)/1000+$J$12</f>
        <v>5.6722073306946952E-2</v>
      </c>
      <c r="K13" s="335">
        <f>NPV($B$7,$G$13:$G13)+NPV($B$7,$I$13:$I13)+$K$12</f>
        <v>127.08818926814428</v>
      </c>
      <c r="L13" s="52"/>
      <c r="N13" s="125">
        <v>2017</v>
      </c>
      <c r="O13" s="125">
        <v>2</v>
      </c>
      <c r="P13" s="126"/>
      <c r="Q13" s="126">
        <v>4.4592499999999999</v>
      </c>
      <c r="R13" s="126">
        <f t="shared" ref="R13:R35" si="0">Q13/((1+GDR)^O13)+R12</f>
        <v>8.8417500000000011</v>
      </c>
      <c r="Y13" s="53">
        <f>ELECCB[[#This Row],[NPV AEC $/kWh]]-J42</f>
        <v>5.6722073306946952E-2</v>
      </c>
      <c r="Z13" s="52">
        <f>ELECCB[[#This Row],[NPV ACC+T&amp;D $/kW]]-K42</f>
        <v>127.08818926814428</v>
      </c>
    </row>
    <row r="14" spans="1:26" x14ac:dyDescent="0.25">
      <c r="A14" s="63">
        <v>2023</v>
      </c>
      <c r="B14" s="63">
        <v>3</v>
      </c>
      <c r="C14" s="63">
        <v>0.17299999999999999</v>
      </c>
      <c r="D14" s="52"/>
      <c r="E14" s="52">
        <v>31.585864300011906</v>
      </c>
      <c r="F14" s="52"/>
      <c r="G14" s="52">
        <v>60.447430548753218</v>
      </c>
      <c r="H14" s="52"/>
      <c r="I14" s="52">
        <v>24.793694809762687</v>
      </c>
      <c r="J14" s="52">
        <f>NPV($B$7,$E$13:$E14)/1000+$J$12</f>
        <v>8.4590974225698112E-2</v>
      </c>
      <c r="K14" s="335">
        <f>NPV($B$7,$G$13:$G14)+NPV($B$7,$I$13:$I14)+$K$12</f>
        <v>202.29830396551006</v>
      </c>
      <c r="L14" s="52"/>
      <c r="N14" s="125">
        <v>2018</v>
      </c>
      <c r="O14" s="125">
        <v>3</v>
      </c>
      <c r="P14" s="126"/>
      <c r="Q14" s="126">
        <v>4.4984999999999999</v>
      </c>
      <c r="R14" s="126">
        <f t="shared" si="0"/>
        <v>13.340250000000001</v>
      </c>
      <c r="Y14" s="53">
        <f>ELECCB[[#This Row],[NPV AEC $/kWh]]-J41</f>
        <v>8.4590974225698112E-2</v>
      </c>
      <c r="Z14" s="52">
        <f>ELECCB[[#This Row],[NPV ACC+T&amp;D $/kW]]-K41</f>
        <v>202.29830396551006</v>
      </c>
    </row>
    <row r="15" spans="1:26" x14ac:dyDescent="0.25">
      <c r="A15" s="63">
        <v>2024</v>
      </c>
      <c r="B15" s="63">
        <v>4</v>
      </c>
      <c r="C15" s="63">
        <v>0.17299999999999999</v>
      </c>
      <c r="D15" s="52"/>
      <c r="E15" s="52">
        <v>32.643301719523215</v>
      </c>
      <c r="F15" s="52"/>
      <c r="G15" s="52">
        <v>71.932528364105622</v>
      </c>
      <c r="H15" s="52"/>
      <c r="I15" s="52">
        <v>25.28956870595794</v>
      </c>
      <c r="J15" s="52">
        <f>NPV($B$7,$E$13:$E15)/1000+$J$12</f>
        <v>0.11164517406530104</v>
      </c>
      <c r="K15" s="335">
        <f>NPV($B$7,$G$13:$G15)+NPV($B$7,$I$13:$I15)+$K$12</f>
        <v>282.87428447013139</v>
      </c>
      <c r="L15" s="52"/>
      <c r="N15" s="125">
        <v>2019</v>
      </c>
      <c r="O15" s="125">
        <v>4</v>
      </c>
      <c r="P15" s="126"/>
      <c r="Q15" s="126">
        <v>4.6860833333333334</v>
      </c>
      <c r="R15" s="126">
        <f t="shared" si="0"/>
        <v>18.026333333333334</v>
      </c>
      <c r="Y15" s="53">
        <f>ELECCB[[#This Row],[NPV AEC $/kWh]]-J40</f>
        <v>0.11164517406530104</v>
      </c>
      <c r="Z15" s="52">
        <f>ELECCB[[#This Row],[NPV ACC+T&amp;D $/kW]]-K40</f>
        <v>282.87428447013139</v>
      </c>
    </row>
    <row r="16" spans="1:26" x14ac:dyDescent="0.25">
      <c r="A16" s="63">
        <v>2025</v>
      </c>
      <c r="B16" s="63">
        <v>5</v>
      </c>
      <c r="C16" s="63">
        <v>0.17299999999999999</v>
      </c>
      <c r="D16" s="52"/>
      <c r="E16" s="52">
        <v>35.244820068338825</v>
      </c>
      <c r="F16" s="52"/>
      <c r="G16" s="52">
        <v>81.852034972660135</v>
      </c>
      <c r="H16" s="52"/>
      <c r="I16" s="52">
        <v>25.795360080077099</v>
      </c>
      <c r="J16" s="52">
        <f>NPV($B$7,$E$13:$E16)/1000+$J$12</f>
        <v>0.13908298444507522</v>
      </c>
      <c r="K16" s="335">
        <f>NPV($B$7,$G$13:$G16)+NPV($B$7,$I$13:$I16)+$K$12</f>
        <v>366.67692008031946</v>
      </c>
      <c r="L16" s="52"/>
      <c r="N16" s="125">
        <v>2020</v>
      </c>
      <c r="O16" s="125">
        <v>5</v>
      </c>
      <c r="P16" s="126"/>
      <c r="Q16" s="126">
        <v>4.9231666666666669</v>
      </c>
      <c r="R16" s="126">
        <f t="shared" si="0"/>
        <v>22.9495</v>
      </c>
      <c r="Y16" s="53">
        <f>ELECCB[[#This Row],[NPV AEC $/kWh]]-J12</f>
        <v>0.11039005694539278</v>
      </c>
      <c r="Z16" s="52">
        <f>ELECCB[[#This Row],[NPV ACC+T&amp;D $/kW]]-K12</f>
        <v>307.42243141727818</v>
      </c>
    </row>
    <row r="17" spans="1:26" x14ac:dyDescent="0.25">
      <c r="A17" s="63">
        <v>2026</v>
      </c>
      <c r="B17" s="63">
        <v>6</v>
      </c>
      <c r="C17" s="63">
        <v>0.17299999999999999</v>
      </c>
      <c r="D17" s="52"/>
      <c r="E17" s="52">
        <v>36.614568110894638</v>
      </c>
      <c r="F17" s="52"/>
      <c r="G17" s="52">
        <v>91.696273638129242</v>
      </c>
      <c r="H17" s="52"/>
      <c r="I17" s="52">
        <v>26.311267281678639</v>
      </c>
      <c r="J17" s="52">
        <f>NPV($B$7,$E$13:$E17)/1000+$J$12</f>
        <v>0.1658574990699308</v>
      </c>
      <c r="K17" s="335">
        <f>NPV($B$7,$G$13:$G17)+NPV($B$7,$I$13:$I17)+$K$12</f>
        <v>452.97029436323248</v>
      </c>
      <c r="L17" s="52"/>
      <c r="N17" s="125">
        <v>2021</v>
      </c>
      <c r="O17" s="125">
        <v>6</v>
      </c>
      <c r="P17" s="126"/>
      <c r="Q17" s="126">
        <v>5.2195</v>
      </c>
      <c r="R17" s="126">
        <f t="shared" si="0"/>
        <v>28.169</v>
      </c>
      <c r="Y17" s="53">
        <f>ELECCB[[#This Row],[NPV AEC $/kWh]]-J13</f>
        <v>0.10913542576298385</v>
      </c>
      <c r="Z17" s="52">
        <f>ELECCB[[#This Row],[NPV ACC+T&amp;D $/kW]]-K13</f>
        <v>325.88210509508821</v>
      </c>
    </row>
    <row r="18" spans="1:26" x14ac:dyDescent="0.25">
      <c r="A18" s="63">
        <v>2027</v>
      </c>
      <c r="B18" s="63">
        <v>7</v>
      </c>
      <c r="C18" s="63">
        <v>0.17299999999999999</v>
      </c>
      <c r="D18" s="52"/>
      <c r="E18" s="52">
        <v>38.178603857457084</v>
      </c>
      <c r="F18" s="52"/>
      <c r="G18" s="52">
        <v>99.67852046887397</v>
      </c>
      <c r="H18" s="52"/>
      <c r="I18" s="52">
        <v>26.837492627312212</v>
      </c>
      <c r="J18" s="52">
        <f>NPV($B$7,$E$13:$E18)/1000+$J$12</f>
        <v>0.19208164009535272</v>
      </c>
      <c r="K18" s="335">
        <f>NPV($B$7,$G$13:$G18)+NPV($B$7,$I$13:$I18)+$K$12</f>
        <v>539.87168504256931</v>
      </c>
      <c r="L18" s="52"/>
      <c r="N18" s="125">
        <v>2022</v>
      </c>
      <c r="O18" s="125">
        <v>7</v>
      </c>
      <c r="P18" s="126"/>
      <c r="Q18" s="126">
        <v>5.5373333333333328</v>
      </c>
      <c r="R18" s="126">
        <f t="shared" si="0"/>
        <v>33.706333333333333</v>
      </c>
      <c r="Y18" s="53">
        <f>ELECCB[[#This Row],[NPV AEC $/kWh]]-J14</f>
        <v>0.10749066586965461</v>
      </c>
      <c r="Z18" s="52">
        <f>ELECCB[[#This Row],[NPV ACC+T&amp;D $/kW]]-K14</f>
        <v>337.57338107705925</v>
      </c>
    </row>
    <row r="19" spans="1:26" x14ac:dyDescent="0.25">
      <c r="A19" s="63">
        <v>2028</v>
      </c>
      <c r="B19" s="63">
        <v>8</v>
      </c>
      <c r="C19" s="63">
        <v>0.17299999999999999</v>
      </c>
      <c r="D19" s="52"/>
      <c r="E19" s="52">
        <v>40.027384303594388</v>
      </c>
      <c r="F19" s="52"/>
      <c r="G19" s="52">
        <v>105.78299354937387</v>
      </c>
      <c r="H19" s="52"/>
      <c r="I19" s="52">
        <v>27.374242479858459</v>
      </c>
      <c r="J19" s="52">
        <f>NPV($B$7,$E$13:$E19)/1000+$J$12</f>
        <v>0.21790733273541713</v>
      </c>
      <c r="K19" s="335">
        <f>NPV($B$7,$G$13:$G19)+NPV($B$7,$I$13:$I19)+$K$12</f>
        <v>625.78481452434403</v>
      </c>
      <c r="L19" s="52"/>
      <c r="N19" s="125">
        <v>2023</v>
      </c>
      <c r="O19" s="125">
        <v>8</v>
      </c>
      <c r="P19" s="126"/>
      <c r="Q19" s="126">
        <v>5.8742499999999991</v>
      </c>
      <c r="R19" s="126">
        <f t="shared" si="0"/>
        <v>39.58058333333333</v>
      </c>
      <c r="Y19" s="53">
        <f>ELECCB[[#This Row],[NPV AEC $/kWh]]-J15</f>
        <v>0.10626215867011608</v>
      </c>
      <c r="Z19" s="52">
        <f>ELECCB[[#This Row],[NPV ACC+T&amp;D $/kW]]-K15</f>
        <v>342.91053005421264</v>
      </c>
    </row>
    <row r="20" spans="1:26" x14ac:dyDescent="0.25">
      <c r="A20" s="63">
        <v>2029</v>
      </c>
      <c r="B20" s="63">
        <v>9</v>
      </c>
      <c r="C20" s="63">
        <v>0.17299999999999999</v>
      </c>
      <c r="D20" s="52"/>
      <c r="E20" s="52">
        <v>41.829961444209999</v>
      </c>
      <c r="F20" s="52"/>
      <c r="G20" s="52">
        <v>110.14345287953442</v>
      </c>
      <c r="H20" s="52"/>
      <c r="I20" s="52">
        <v>27.921727329455628</v>
      </c>
      <c r="J20" s="52">
        <f>NPV($B$7,$E$13:$E20)/1000+$J$12</f>
        <v>0.2432583720975606</v>
      </c>
      <c r="K20" s="335">
        <f>NPV($B$7,$G$13:$G20)+NPV($B$7,$I$13:$I20)+$K$12</f>
        <v>709.45918803979021</v>
      </c>
      <c r="L20" s="52"/>
      <c r="N20" s="125">
        <v>2024</v>
      </c>
      <c r="O20" s="125">
        <v>9</v>
      </c>
      <c r="P20" s="126"/>
      <c r="Q20" s="126">
        <v>6.2357499999999995</v>
      </c>
      <c r="R20" s="126">
        <f t="shared" si="0"/>
        <v>45.816333333333333</v>
      </c>
      <c r="Y20" s="53">
        <f>ELECCB[[#This Row],[NPV AEC $/kWh]]-J16</f>
        <v>0.10417538765248538</v>
      </c>
      <c r="Z20" s="52">
        <f>ELECCB[[#This Row],[NPV ACC+T&amp;D $/kW]]-K16</f>
        <v>342.78226795947074</v>
      </c>
    </row>
    <row r="21" spans="1:26" x14ac:dyDescent="0.25">
      <c r="A21" s="63">
        <v>2030</v>
      </c>
      <c r="B21" s="63">
        <v>10</v>
      </c>
      <c r="C21" s="63">
        <v>0.17299999999999999</v>
      </c>
      <c r="D21" s="52"/>
      <c r="E21" s="52">
        <v>44.326038408120048</v>
      </c>
      <c r="F21" s="52"/>
      <c r="G21" s="52">
        <v>112.99816760949477</v>
      </c>
      <c r="H21" s="52"/>
      <c r="I21" s="52">
        <v>28.48016187604474</v>
      </c>
      <c r="J21" s="52">
        <f>NPV($B$7,$E$13:$E21)/1000+$J$12</f>
        <v>0.26849206201182979</v>
      </c>
      <c r="K21" s="335">
        <f>NPV($B$7,$G$13:$G21)+NPV($B$7,$I$13:$I21)+$K$12</f>
        <v>789.99921426448714</v>
      </c>
      <c r="L21" s="52"/>
      <c r="N21" s="125">
        <v>2025</v>
      </c>
      <c r="O21" s="125">
        <v>10</v>
      </c>
      <c r="P21" s="126"/>
      <c r="Q21" s="126">
        <v>6.6029166666666663</v>
      </c>
      <c r="R21" s="126">
        <f t="shared" si="0"/>
        <v>52.419249999999998</v>
      </c>
      <c r="Y21" s="53">
        <f>ELECCB[[#This Row],[NPV AEC $/kWh]]-J17</f>
        <v>0.10263456294189899</v>
      </c>
      <c r="Z21" s="52">
        <f>ELECCB[[#This Row],[NPV ACC+T&amp;D $/kW]]-K17</f>
        <v>337.02891990125465</v>
      </c>
    </row>
    <row r="22" spans="1:26" x14ac:dyDescent="0.25">
      <c r="A22" s="63">
        <v>2031</v>
      </c>
      <c r="B22" s="63">
        <v>11</v>
      </c>
      <c r="C22" s="63">
        <v>0.17299999999999999</v>
      </c>
      <c r="D22" s="52"/>
      <c r="E22" s="52">
        <v>47.733745212319661</v>
      </c>
      <c r="F22" s="52"/>
      <c r="G22" s="52">
        <v>114.65007006154785</v>
      </c>
      <c r="H22" s="52"/>
      <c r="I22" s="52">
        <v>29.049765113565634</v>
      </c>
      <c r="J22" s="52">
        <f>NPV($B$7,$E$13:$E22)/1000+$J$12</f>
        <v>0.29401677646410324</v>
      </c>
      <c r="K22" s="335">
        <f>NPV($B$7,$G$13:$G22)+NPV($B$7,$I$13:$I22)+$K$12</f>
        <v>866.83997426286408</v>
      </c>
      <c r="L22" s="52"/>
      <c r="N22" s="125">
        <v>2026</v>
      </c>
      <c r="O22" s="125">
        <v>11</v>
      </c>
      <c r="P22" s="126"/>
      <c r="Q22" s="126">
        <v>6.9333999999999998</v>
      </c>
      <c r="R22" s="126">
        <f t="shared" si="0"/>
        <v>59.352649999999997</v>
      </c>
      <c r="Y22" s="53">
        <f>ELECCB[[#This Row],[NPV AEC $/kWh]]-J18</f>
        <v>0.10193513636875051</v>
      </c>
      <c r="Z22" s="52">
        <f>ELECCB[[#This Row],[NPV ACC+T&amp;D $/kW]]-K18</f>
        <v>326.96828922029476</v>
      </c>
    </row>
    <row r="23" spans="1:26" x14ac:dyDescent="0.25">
      <c r="A23" s="63">
        <v>2032</v>
      </c>
      <c r="B23" s="63">
        <v>12</v>
      </c>
      <c r="C23" s="63">
        <v>0.17299999999999999</v>
      </c>
      <c r="D23" s="52"/>
      <c r="E23" s="52">
        <v>48.389524497586613</v>
      </c>
      <c r="F23" s="52"/>
      <c r="G23" s="52">
        <v>115.43209653916436</v>
      </c>
      <c r="H23" s="52"/>
      <c r="I23" s="52">
        <v>29.630760415836946</v>
      </c>
      <c r="J23" s="52">
        <f>NPV($B$7,$E$13:$E23)/1000+$J$12</f>
        <v>0.31832203663782188</v>
      </c>
      <c r="K23" s="335">
        <f>NPV($B$7,$G$13:$G23)+NPV($B$7,$I$13:$I23)+$K$12</f>
        <v>939.70265511045284</v>
      </c>
      <c r="L23" s="52"/>
      <c r="N23" s="125">
        <v>2027</v>
      </c>
      <c r="O23" s="125">
        <v>12</v>
      </c>
      <c r="P23" s="126"/>
      <c r="Q23" s="126">
        <v>7.2798999999999996</v>
      </c>
      <c r="R23" s="126">
        <f t="shared" si="0"/>
        <v>66.632549999999995</v>
      </c>
      <c r="Y23" s="53">
        <f>ELECCB[[#This Row],[NPV AEC $/kWh]]-J19</f>
        <v>0.10041470390240476</v>
      </c>
      <c r="Z23" s="52">
        <f>ELECCB[[#This Row],[NPV ACC+T&amp;D $/kW]]-K19</f>
        <v>313.91784058610881</v>
      </c>
    </row>
    <row r="24" spans="1:26" x14ac:dyDescent="0.25">
      <c r="A24" s="63">
        <v>2033</v>
      </c>
      <c r="B24" s="63">
        <v>13</v>
      </c>
      <c r="C24" s="63">
        <v>0.17299999999999999</v>
      </c>
      <c r="D24" s="52"/>
      <c r="E24" s="52">
        <v>48.99176944381437</v>
      </c>
      <c r="F24" s="52"/>
      <c r="G24" s="52">
        <v>115.67771492312579</v>
      </c>
      <c r="H24" s="52"/>
      <c r="I24" s="52">
        <v>30.223375624153686</v>
      </c>
      <c r="J24" s="52">
        <f>NPV($B$7,$E$13:$E24)/1000+$J$12</f>
        <v>0.34143659410420801</v>
      </c>
      <c r="K24" s="335">
        <f>NPV($B$7,$G$13:$G24)+NPV($B$7,$I$13:$I24)+$K$12</f>
        <v>1008.5395062825901</v>
      </c>
      <c r="L24" s="52"/>
      <c r="N24" s="125">
        <v>2028</v>
      </c>
      <c r="O24" s="125">
        <v>13</v>
      </c>
      <c r="P24" s="126"/>
      <c r="Q24" s="126">
        <v>7.6264000000000003</v>
      </c>
      <c r="R24" s="126">
        <f t="shared" si="0"/>
        <v>74.258949999999999</v>
      </c>
      <c r="Y24" s="53">
        <f>ELECCB[[#This Row],[NPV AEC $/kWh]]-J20</f>
        <v>9.8178222006647414E-2</v>
      </c>
      <c r="Z24" s="52">
        <f>ELECCB[[#This Row],[NPV ACC+T&amp;D $/kW]]-K20</f>
        <v>299.08031824279988</v>
      </c>
    </row>
    <row r="25" spans="1:26" x14ac:dyDescent="0.25">
      <c r="A25" s="63">
        <v>2034</v>
      </c>
      <c r="B25" s="63">
        <v>14</v>
      </c>
      <c r="C25" s="63">
        <v>0.17299999999999999</v>
      </c>
      <c r="D25" s="52"/>
      <c r="E25" s="52">
        <v>50.383641722444914</v>
      </c>
      <c r="F25" s="52"/>
      <c r="G25" s="52">
        <v>115.69663905476777</v>
      </c>
      <c r="H25" s="52"/>
      <c r="I25" s="52">
        <v>30.827843136636758</v>
      </c>
      <c r="J25" s="52">
        <f>NPV($B$7,$E$13:$E25)/1000+$J$12</f>
        <v>0.36376540271230967</v>
      </c>
      <c r="K25" s="335">
        <f>NPV($B$7,$G$13:$G25)+NPV($B$7,$I$13:$I25)+$K$12</f>
        <v>1073.4756047344727</v>
      </c>
      <c r="L25" s="52"/>
      <c r="N25" s="125">
        <v>2029</v>
      </c>
      <c r="O25" s="125">
        <v>14</v>
      </c>
      <c r="P25" s="126"/>
      <c r="Q25" s="126">
        <v>7.9728999999999992</v>
      </c>
      <c r="R25" s="126">
        <f t="shared" si="0"/>
        <v>82.231849999999994</v>
      </c>
      <c r="Y25" s="53">
        <f>ELECCB[[#This Row],[NPV AEC $/kWh]]-J21</f>
        <v>9.527334070047988E-2</v>
      </c>
      <c r="Z25" s="52">
        <f>ELECCB[[#This Row],[NPV ACC+T&amp;D $/kW]]-K21</f>
        <v>283.47639046998552</v>
      </c>
    </row>
    <row r="26" spans="1:26" x14ac:dyDescent="0.25">
      <c r="A26" s="63">
        <v>2035</v>
      </c>
      <c r="B26" s="63">
        <v>15</v>
      </c>
      <c r="C26" s="63">
        <v>0.17299999999999999</v>
      </c>
      <c r="D26" s="52"/>
      <c r="E26" s="52">
        <v>51.807604291349371</v>
      </c>
      <c r="F26" s="52"/>
      <c r="G26" s="52">
        <v>115.75572990633235</v>
      </c>
      <c r="H26" s="52"/>
      <c r="I26" s="52">
        <v>31.444399999369494</v>
      </c>
      <c r="J26" s="52">
        <f>NPV($B$7,$E$13:$E26)/1000+$J$12</f>
        <v>0.38533207028590866</v>
      </c>
      <c r="K26" s="335">
        <f>NPV($B$7,$G$13:$G26)+NPV($B$7,$I$13:$I26)+$K$12</f>
        <v>1134.752637554092</v>
      </c>
      <c r="L26" s="52"/>
      <c r="N26" s="125">
        <v>2030</v>
      </c>
      <c r="O26" s="125">
        <v>15</v>
      </c>
      <c r="P26" s="126"/>
      <c r="Q26" s="126">
        <v>8.3193999999999999</v>
      </c>
      <c r="R26" s="126">
        <f t="shared" si="0"/>
        <v>90.551249999999996</v>
      </c>
      <c r="Y26" s="53">
        <f>ELECCB[[#This Row],[NPV AEC $/kWh]]-J22</f>
        <v>9.1315293821805421E-2</v>
      </c>
      <c r="Z26" s="52">
        <f>ELECCB[[#This Row],[NPV ACC+T&amp;D $/kW]]-K22</f>
        <v>267.91266329122789</v>
      </c>
    </row>
    <row r="27" spans="1:26" x14ac:dyDescent="0.25">
      <c r="A27" s="63">
        <v>2036</v>
      </c>
      <c r="B27" s="63">
        <v>16</v>
      </c>
      <c r="C27" s="63">
        <v>0.17299999999999999</v>
      </c>
      <c r="D27" s="52"/>
      <c r="E27" s="52">
        <v>53.060413458146499</v>
      </c>
      <c r="F27" s="52"/>
      <c r="G27" s="52">
        <v>116.06508353841571</v>
      </c>
      <c r="H27" s="52"/>
      <c r="I27" s="52">
        <v>32.073287999356886</v>
      </c>
      <c r="J27" s="52">
        <f>NPV($B$7,$E$13:$E27)/1000+$J$12</f>
        <v>0.40607994907889378</v>
      </c>
      <c r="K27" s="335">
        <f>NPV($B$7,$G$13:$G27)+NPV($B$7,$I$13:$I27)+$K$12</f>
        <v>1192.6782505853639</v>
      </c>
      <c r="L27" s="52"/>
      <c r="N27" s="125">
        <v>2031</v>
      </c>
      <c r="O27" s="125">
        <v>16</v>
      </c>
      <c r="P27" s="126"/>
      <c r="Q27" s="126">
        <v>8.6659000000000006</v>
      </c>
      <c r="R27" s="126">
        <f t="shared" si="0"/>
        <v>99.217150000000004</v>
      </c>
      <c r="Y27" s="53">
        <f>ELECCB[[#This Row],[NPV AEC $/kWh]]-J23</f>
        <v>8.7757912441071895E-2</v>
      </c>
      <c r="Z27" s="52">
        <f>ELECCB[[#This Row],[NPV ACC+T&amp;D $/kW]]-K23</f>
        <v>252.97559547491107</v>
      </c>
    </row>
    <row r="28" spans="1:26" x14ac:dyDescent="0.25">
      <c r="A28" s="63">
        <v>2037</v>
      </c>
      <c r="B28" s="63">
        <v>17</v>
      </c>
      <c r="C28" s="63">
        <v>0.17299999999999999</v>
      </c>
      <c r="D28" s="52"/>
      <c r="E28" s="52">
        <v>54.560258413917957</v>
      </c>
      <c r="F28" s="52"/>
      <c r="G28" s="52">
        <v>116.76930584454462</v>
      </c>
      <c r="H28" s="52"/>
      <c r="I28" s="52">
        <v>32.714753759344028</v>
      </c>
      <c r="J28" s="52">
        <f>NPV($B$7,$E$13:$E28)/1000+$J$12</f>
        <v>0.42611973275885207</v>
      </c>
      <c r="K28" s="335">
        <f>NPV($B$7,$G$13:$G28)+NPV($B$7,$I$13:$I28)+$K$12</f>
        <v>1247.5831998130195</v>
      </c>
      <c r="L28" s="52"/>
      <c r="N28" s="125">
        <v>2032</v>
      </c>
      <c r="O28" s="125">
        <v>17</v>
      </c>
      <c r="P28" s="126"/>
      <c r="Q28" s="126">
        <v>9.0123999999999995</v>
      </c>
      <c r="R28" s="126">
        <f t="shared" si="0"/>
        <v>108.22955</v>
      </c>
      <c r="Y28" s="53">
        <f>ELECCB[[#This Row],[NPV AEC $/kWh]]-J24</f>
        <v>8.4683138654644052E-2</v>
      </c>
      <c r="Z28" s="52">
        <f>ELECCB[[#This Row],[NPV ACC+T&amp;D $/kW]]-K24</f>
        <v>239.04369353042944</v>
      </c>
    </row>
    <row r="29" spans="1:26" x14ac:dyDescent="0.25">
      <c r="A29" s="63">
        <v>2038</v>
      </c>
      <c r="B29" s="63">
        <v>18</v>
      </c>
      <c r="C29" s="63">
        <v>0.17299999999999999</v>
      </c>
      <c r="D29" s="52"/>
      <c r="E29" s="52">
        <v>56.102499098345525</v>
      </c>
      <c r="F29" s="52"/>
      <c r="G29" s="52">
        <v>117.47780100381186</v>
      </c>
      <c r="H29" s="52"/>
      <c r="I29" s="52">
        <v>33.369048834530908</v>
      </c>
      <c r="J29" s="52">
        <f>NPV($B$7,$E$13:$E29)/1000+$J$12</f>
        <v>0.44547558758846983</v>
      </c>
      <c r="K29" s="335">
        <f>NPV($B$7,$G$13:$G29)+NPV($B$7,$I$13:$I29)+$K$12</f>
        <v>1299.6266876059228</v>
      </c>
      <c r="L29" s="52"/>
      <c r="N29" s="125">
        <v>2033</v>
      </c>
      <c r="O29" s="125">
        <v>18</v>
      </c>
      <c r="P29" s="126"/>
      <c r="Q29" s="126">
        <v>9.3588999999999984</v>
      </c>
      <c r="R29" s="126">
        <f t="shared" si="0"/>
        <v>117.58844999999999</v>
      </c>
      <c r="Y29" s="53">
        <f>ELECCB[[#This Row],[NPV AEC $/kWh]]-J25</f>
        <v>8.1710184876160163E-2</v>
      </c>
      <c r="Z29" s="52">
        <f>ELECCB[[#This Row],[NPV ACC+T&amp;D $/kW]]-K25</f>
        <v>226.15108287145017</v>
      </c>
    </row>
    <row r="30" spans="1:26" x14ac:dyDescent="0.25">
      <c r="A30" s="63">
        <v>2039</v>
      </c>
      <c r="B30" s="63">
        <v>19</v>
      </c>
      <c r="C30" s="63">
        <v>0.17299999999999999</v>
      </c>
      <c r="D30" s="52"/>
      <c r="E30" s="52">
        <v>57.688333900503608</v>
      </c>
      <c r="F30" s="52"/>
      <c r="G30" s="52">
        <v>118.1905949416586</v>
      </c>
      <c r="H30" s="52"/>
      <c r="I30" s="52">
        <v>34.036429811221524</v>
      </c>
      <c r="J30" s="52">
        <f>NPV($B$7,$E$13:$E30)/1000+$J$12</f>
        <v>0.46417085507081907</v>
      </c>
      <c r="K30" s="335">
        <f>NPV($B$7,$G$13:$G30)+NPV($B$7,$I$13:$I30)+$K$12</f>
        <v>1348.9594513273662</v>
      </c>
      <c r="L30" s="52"/>
      <c r="N30" s="125">
        <v>2034</v>
      </c>
      <c r="O30" s="125">
        <v>19</v>
      </c>
      <c r="P30" s="126"/>
      <c r="Q30" s="126">
        <v>9.7054000000000009</v>
      </c>
      <c r="R30" s="126">
        <f t="shared" si="0"/>
        <v>127.29384999999999</v>
      </c>
      <c r="Y30" s="53">
        <f>ELECCB[[#This Row],[NPV AEC $/kWh]]-J26</f>
        <v>7.883878478491041E-2</v>
      </c>
      <c r="Z30" s="52">
        <f>ELECCB[[#This Row],[NPV ACC+T&amp;D $/kW]]-K26</f>
        <v>214.20681377327423</v>
      </c>
    </row>
    <row r="31" spans="1:26" x14ac:dyDescent="0.25">
      <c r="A31" s="63">
        <v>2040</v>
      </c>
      <c r="B31" s="63">
        <v>20</v>
      </c>
      <c r="C31" s="63">
        <v>0.17299999999999999</v>
      </c>
      <c r="D31" s="52"/>
      <c r="E31" s="52">
        <v>59.318995084019988</v>
      </c>
      <c r="F31" s="52"/>
      <c r="G31" s="52">
        <v>118.90771374082799</v>
      </c>
      <c r="H31" s="52"/>
      <c r="I31" s="52">
        <v>34.71715840744595</v>
      </c>
      <c r="J31" s="52">
        <f>NPV($B$7,$E$13:$E31)/1000+$J$12</f>
        <v>0.48222808009721102</v>
      </c>
      <c r="K31" s="335">
        <f>NPV($B$7,$G$13:$G31)+NPV($B$7,$I$13:$I31)+$K$12</f>
        <v>1395.7242166795593</v>
      </c>
      <c r="L31" s="52"/>
      <c r="N31" s="125">
        <v>2035</v>
      </c>
      <c r="O31" s="125">
        <v>20</v>
      </c>
      <c r="P31" s="126"/>
      <c r="Q31" s="126">
        <v>10.0519</v>
      </c>
      <c r="R31" s="126">
        <f t="shared" si="0"/>
        <v>137.34574999999998</v>
      </c>
      <c r="Y31" s="53">
        <f>ELECCB[[#This Row],[NPV AEC $/kWh]]-J27</f>
        <v>7.6148131018317244E-2</v>
      </c>
      <c r="Z31" s="52">
        <f>ELECCB[[#This Row],[NPV ACC+T&amp;D $/kW]]-K27</f>
        <v>203.04596609419536</v>
      </c>
    </row>
    <row r="32" spans="1:26" x14ac:dyDescent="0.25">
      <c r="A32" s="63">
        <v>2041</v>
      </c>
      <c r="B32" s="63">
        <v>21</v>
      </c>
      <c r="C32" s="63">
        <v>0.17299999999999999</v>
      </c>
      <c r="D32" s="52"/>
      <c r="E32" s="52">
        <v>60.995749744599046</v>
      </c>
      <c r="F32" s="52"/>
      <c r="G32" s="52">
        <v>119.62918364231963</v>
      </c>
      <c r="H32" s="52"/>
      <c r="I32" s="52">
        <v>35.411501575594876</v>
      </c>
      <c r="J32" s="52">
        <f>NPV($B$7,$E$13:$E32)/1000+$J$12</f>
        <v>0.49966903813440433</v>
      </c>
      <c r="K32" s="335">
        <f>NPV($B$7,$G$13:$G32)+NPV($B$7,$I$13:$I32)+$K$12</f>
        <v>1440.0561266284615</v>
      </c>
      <c r="L32" s="52"/>
      <c r="N32" s="125">
        <v>2036</v>
      </c>
      <c r="O32" s="125">
        <v>21</v>
      </c>
      <c r="P32" s="126"/>
      <c r="Q32" s="126">
        <v>10.398399999999999</v>
      </c>
      <c r="R32" s="126">
        <f t="shared" si="0"/>
        <v>147.74414999999999</v>
      </c>
      <c r="Y32" s="53">
        <f>ELECCB[[#This Row],[NPV AEC $/kWh]]-J28</f>
        <v>7.3549305375552265E-2</v>
      </c>
      <c r="Z32" s="52">
        <f>ELECCB[[#This Row],[NPV ACC+T&amp;D $/kW]]-K28</f>
        <v>192.47292681544195</v>
      </c>
    </row>
    <row r="33" spans="1:26" x14ac:dyDescent="0.25">
      <c r="A33" s="63">
        <v>2042</v>
      </c>
      <c r="B33" s="63">
        <v>22</v>
      </c>
      <c r="C33" s="63">
        <v>0.17299999999999999</v>
      </c>
      <c r="D33" s="52"/>
      <c r="E33" s="52">
        <v>62.719900794611057</v>
      </c>
      <c r="F33" s="52"/>
      <c r="G33" s="52">
        <v>120.35503104634989</v>
      </c>
      <c r="H33" s="52"/>
      <c r="I33" s="52">
        <v>36.119731607106772</v>
      </c>
      <c r="J33" s="52">
        <f>NPV($B$7,$E$13:$E33)/1000+$J$12</f>
        <v>0.51651476148395259</v>
      </c>
      <c r="K33" s="335">
        <f>NPV($B$7,$G$13:$G33)+NPV($B$7,$I$13:$I33)+$K$12</f>
        <v>1482.0831472303948</v>
      </c>
      <c r="L33" s="52"/>
      <c r="N33" s="125">
        <v>2037</v>
      </c>
      <c r="O33" s="125">
        <v>22</v>
      </c>
      <c r="P33" s="126"/>
      <c r="Q33" s="126">
        <v>10.744899999999999</v>
      </c>
      <c r="R33" s="126">
        <f t="shared" si="0"/>
        <v>158.48904999999999</v>
      </c>
      <c r="Y33" s="53">
        <f>ELECCB[[#This Row],[NPV AEC $/kWh]]-J29</f>
        <v>7.1039173895482755E-2</v>
      </c>
      <c r="Z33" s="52">
        <f>ELECCB[[#This Row],[NPV ACC+T&amp;D $/kW]]-K29</f>
        <v>182.45645962447202</v>
      </c>
    </row>
    <row r="34" spans="1:26" x14ac:dyDescent="0.25">
      <c r="A34" s="63">
        <v>2043</v>
      </c>
      <c r="B34" s="63">
        <v>23</v>
      </c>
      <c r="C34" s="63">
        <v>0.17299999999999999</v>
      </c>
      <c r="D34" s="52"/>
      <c r="E34" s="52">
        <v>64.492787975512599</v>
      </c>
      <c r="F34" s="52"/>
      <c r="G34" s="52">
        <v>121.08528251331776</v>
      </c>
      <c r="H34" s="52"/>
      <c r="I34" s="52">
        <v>36.842126239248913</v>
      </c>
      <c r="J34" s="52">
        <f>NPV($B$7,$E$13:$E34)/1000+$J$12</f>
        <v>0.53278556464535853</v>
      </c>
      <c r="K34" s="335">
        <f>NPV($B$7,$G$13:$G34)+NPV($B$7,$I$13:$I34)+$K$12</f>
        <v>1521.9264516100964</v>
      </c>
      <c r="L34" s="52"/>
      <c r="N34" s="125">
        <v>2038</v>
      </c>
      <c r="O34" s="125">
        <v>23</v>
      </c>
      <c r="P34" s="126"/>
      <c r="Q34" s="126">
        <v>11.0914</v>
      </c>
      <c r="R34" s="126">
        <f t="shared" si="0"/>
        <v>169.58044999999998</v>
      </c>
      <c r="Y34" s="53">
        <f>ELECCB[[#This Row],[NPV AEC $/kWh]]-J30</f>
        <v>6.8614709574539468E-2</v>
      </c>
      <c r="Z34" s="52">
        <f>ELECCB[[#This Row],[NPV ACC+T&amp;D $/kW]]-K30</f>
        <v>172.96700028273017</v>
      </c>
    </row>
    <row r="35" spans="1:26" x14ac:dyDescent="0.25">
      <c r="A35" s="63">
        <v>2044</v>
      </c>
      <c r="B35" s="63">
        <v>24</v>
      </c>
      <c r="C35" s="63">
        <v>0.17299999999999999</v>
      </c>
      <c r="D35" s="52"/>
      <c r="E35" s="52">
        <v>66.315788898884776</v>
      </c>
      <c r="F35" s="52"/>
      <c r="G35" s="52">
        <v>121.81996476477693</v>
      </c>
      <c r="H35" s="52"/>
      <c r="I35" s="52">
        <v>37.578968764033888</v>
      </c>
      <c r="J35" s="52">
        <f>NPV($B$7,$E$13:$E35)/1000+$J$12</f>
        <v>0.54850106881362082</v>
      </c>
      <c r="K35" s="335">
        <f>NPV($B$7,$G$13:$G35)+NPV($B$7,$I$13:$I35)+$K$12</f>
        <v>1559.7007832720201</v>
      </c>
      <c r="L35" s="52"/>
      <c r="N35" s="125">
        <v>2039</v>
      </c>
      <c r="O35" s="125">
        <v>24</v>
      </c>
      <c r="P35" s="126"/>
      <c r="Q35" s="126">
        <v>11.437899999999999</v>
      </c>
      <c r="R35" s="126">
        <f t="shared" si="0"/>
        <v>181.01835</v>
      </c>
      <c r="Y35" s="53">
        <f>ELECCB[[#This Row],[NPV AEC $/kWh]]-J31</f>
        <v>6.6272988716409797E-2</v>
      </c>
      <c r="Z35" s="52">
        <f>ELECCB[[#This Row],[NPV ACC+T&amp;D $/kW]]-K31</f>
        <v>163.97656659246081</v>
      </c>
    </row>
    <row r="36" spans="1:26" x14ac:dyDescent="0.25">
      <c r="A36" s="63">
        <v>2045</v>
      </c>
      <c r="B36" s="63">
        <v>25</v>
      </c>
      <c r="C36" s="63">
        <v>0.17299999999999999</v>
      </c>
      <c r="D36" s="52"/>
      <c r="E36" s="52">
        <v>68.190320116898235</v>
      </c>
      <c r="F36" s="52"/>
      <c r="G36" s="52">
        <v>122.55910468441347</v>
      </c>
      <c r="H36" s="52"/>
      <c r="I36" s="52">
        <v>38.330548139314566</v>
      </c>
      <c r="J36" s="52">
        <f>NPV($B$7,$E$13:$E36)/1000+$J$12</f>
        <v>0.56368022554071417</v>
      </c>
      <c r="K36" s="335">
        <f>NPV($B$7,$G$13:$G36)+NPV($B$7,$I$13:$I36)+$K$12</f>
        <v>1595.5147998625339</v>
      </c>
      <c r="N36" s="125">
        <v>2040</v>
      </c>
      <c r="O36" s="125">
        <v>25</v>
      </c>
      <c r="P36" s="126"/>
      <c r="Q36" s="126">
        <v>11.7844</v>
      </c>
      <c r="R36" s="126">
        <f t="shared" ref="R36:R44" si="1">Q36/((1+GDR)^O36)+R35</f>
        <v>192.80275</v>
      </c>
    </row>
    <row r="37" spans="1:26" x14ac:dyDescent="0.25">
      <c r="A37" s="63">
        <v>2046</v>
      </c>
      <c r="B37" s="63">
        <v>26</v>
      </c>
      <c r="C37" s="63">
        <v>0.17299999999999999</v>
      </c>
      <c r="D37" s="52"/>
      <c r="E37" s="52">
        <v>70.117838223036699</v>
      </c>
      <c r="F37" s="52"/>
      <c r="G37" s="52">
        <v>123.30272931902965</v>
      </c>
      <c r="H37" s="52"/>
      <c r="I37" s="52">
        <v>39.097159102100861</v>
      </c>
      <c r="J37" s="52">
        <f>NPV($B$7,$E$13:$E37)/1000+$J$12</f>
        <v>0.57834133958953848</v>
      </c>
      <c r="K37" s="335">
        <f>NPV($B$7,$G$13:$G37)+NPV($B$7,$I$13:$I37)+$K$12</f>
        <v>1629.4713984399878</v>
      </c>
      <c r="N37" s="125">
        <v>2041</v>
      </c>
      <c r="O37" s="125">
        <v>26</v>
      </c>
      <c r="P37" s="126"/>
      <c r="Q37" s="126">
        <v>12.1309</v>
      </c>
      <c r="R37" s="126">
        <f t="shared" si="1"/>
        <v>204.93365</v>
      </c>
    </row>
    <row r="38" spans="1:26" x14ac:dyDescent="0.25">
      <c r="A38" s="63">
        <v>2047</v>
      </c>
      <c r="B38" s="63">
        <v>27</v>
      </c>
      <c r="C38" s="63">
        <v>0.17299999999999999</v>
      </c>
      <c r="D38" s="52"/>
      <c r="E38" s="52">
        <v>72.099840983934413</v>
      </c>
      <c r="F38" s="52"/>
      <c r="G38" s="52">
        <v>124.05086587953362</v>
      </c>
      <c r="H38" s="52"/>
      <c r="I38" s="52">
        <v>39.879102284142881</v>
      </c>
      <c r="J38" s="52">
        <f>NPV($B$7,$E$13:$E38)/1000+$J$12</f>
        <v>0.59250209100789408</v>
      </c>
      <c r="K38" s="335">
        <f>NPV($B$7,$G$13:$G38)+NPV($B$7,$I$13:$I38)+$K$12</f>
        <v>1661.6680232522681</v>
      </c>
      <c r="N38" s="125">
        <v>2042</v>
      </c>
      <c r="O38" s="125">
        <v>27</v>
      </c>
      <c r="P38" s="126"/>
      <c r="Q38" s="126">
        <v>12.477399999999999</v>
      </c>
      <c r="R38" s="126">
        <f t="shared" si="1"/>
        <v>217.41104999999999</v>
      </c>
    </row>
    <row r="39" spans="1:26" x14ac:dyDescent="0.25">
      <c r="A39" s="63">
        <v>2048</v>
      </c>
      <c r="B39" s="63">
        <v>28</v>
      </c>
      <c r="C39" s="63">
        <v>0.17299999999999999</v>
      </c>
      <c r="D39" s="52"/>
      <c r="E39" s="52">
        <v>74.137868503206889</v>
      </c>
      <c r="F39" s="52"/>
      <c r="G39" s="52">
        <v>124.80354174193506</v>
      </c>
      <c r="H39" s="52"/>
      <c r="I39" s="52">
        <v>40.676684329825733</v>
      </c>
      <c r="J39" s="52">
        <f>NPV($B$7,$E$13:$E39)/1000+$J$12</f>
        <v>0.60617955644910637</v>
      </c>
      <c r="K39" s="335">
        <f>NPV($B$7,$G$13:$G39)+NPV($B$7,$I$13:$I39)+$K$12</f>
        <v>1692.1969569671965</v>
      </c>
      <c r="N39" s="125">
        <v>2043</v>
      </c>
      <c r="O39" s="125">
        <v>28</v>
      </c>
      <c r="P39" s="126"/>
      <c r="Q39" s="126">
        <v>12.823899999999998</v>
      </c>
      <c r="R39" s="126">
        <f t="shared" si="1"/>
        <v>230.23495</v>
      </c>
    </row>
    <row r="40" spans="1:26" x14ac:dyDescent="0.25">
      <c r="A40" s="63"/>
      <c r="B40" s="63"/>
      <c r="C40" s="63"/>
      <c r="D40" s="52"/>
      <c r="E40" s="52"/>
      <c r="F40" s="52"/>
      <c r="G40" s="52"/>
      <c r="H40" s="52"/>
      <c r="I40" s="52"/>
      <c r="J40" s="52"/>
      <c r="K40" s="335"/>
      <c r="N40" s="125">
        <v>2044</v>
      </c>
      <c r="O40" s="125">
        <v>29</v>
      </c>
      <c r="P40" s="126"/>
      <c r="Q40" s="126">
        <v>13.170399999999999</v>
      </c>
      <c r="R40" s="126">
        <f t="shared" si="1"/>
        <v>243.40535</v>
      </c>
    </row>
    <row r="41" spans="1:26" x14ac:dyDescent="0.25">
      <c r="A41" s="63"/>
      <c r="B41" s="63"/>
      <c r="C41" s="63"/>
      <c r="D41" s="52"/>
      <c r="E41" s="52"/>
      <c r="F41" s="52"/>
      <c r="G41" s="52"/>
      <c r="H41" s="52"/>
      <c r="I41" s="52"/>
      <c r="J41" s="52"/>
      <c r="K41" s="335"/>
      <c r="N41" s="125">
        <v>2045</v>
      </c>
      <c r="O41" s="125">
        <v>30</v>
      </c>
      <c r="P41" s="126"/>
      <c r="Q41" s="126">
        <v>13.5169</v>
      </c>
      <c r="R41" s="126">
        <f t="shared" si="1"/>
        <v>256.92225000000002</v>
      </c>
    </row>
    <row r="42" spans="1:26" x14ac:dyDescent="0.25">
      <c r="A42" s="63"/>
      <c r="B42" s="63"/>
      <c r="C42" s="63"/>
      <c r="D42" s="52"/>
      <c r="E42" s="52"/>
      <c r="F42" s="52"/>
      <c r="G42" s="52"/>
      <c r="H42" s="52"/>
      <c r="I42" s="52"/>
      <c r="J42" s="52"/>
      <c r="K42" s="52"/>
      <c r="N42" s="125">
        <v>2046</v>
      </c>
      <c r="O42" s="125">
        <v>31</v>
      </c>
      <c r="P42" s="126"/>
      <c r="Q42" s="126">
        <v>13.863399999999999</v>
      </c>
      <c r="R42" s="126">
        <f t="shared" si="1"/>
        <v>270.78565000000003</v>
      </c>
    </row>
    <row r="43" spans="1:26" x14ac:dyDescent="0.25">
      <c r="A43" s="63"/>
      <c r="B43" s="63"/>
      <c r="C43" s="63"/>
      <c r="D43" s="52"/>
      <c r="E43" s="52"/>
      <c r="F43" s="52"/>
      <c r="G43" s="52"/>
      <c r="H43" s="52"/>
      <c r="I43" s="52"/>
      <c r="J43" s="52"/>
      <c r="K43" s="52"/>
      <c r="N43" s="125">
        <v>2047</v>
      </c>
      <c r="O43" s="125">
        <v>32</v>
      </c>
      <c r="P43" s="126"/>
      <c r="Q43" s="126">
        <v>14.209899999999999</v>
      </c>
      <c r="R43" s="126">
        <f t="shared" si="1"/>
        <v>284.99555000000004</v>
      </c>
    </row>
    <row r="44" spans="1:26" x14ac:dyDescent="0.25">
      <c r="A44" s="677">
        <v>2019</v>
      </c>
      <c r="B44" s="677">
        <v>0</v>
      </c>
      <c r="C44" s="677">
        <v>0.156</v>
      </c>
      <c r="D44" s="678"/>
      <c r="E44" s="678">
        <v>26.391083115592409</v>
      </c>
      <c r="F44" s="678"/>
      <c r="G44" s="678">
        <v>22.925147580523085</v>
      </c>
      <c r="H44" s="678"/>
      <c r="I44" s="678">
        <v>22.905541544296582</v>
      </c>
      <c r="J44" s="678">
        <v>2.639108311559241E-2</v>
      </c>
      <c r="K44" s="678">
        <v>45.830689124819671</v>
      </c>
      <c r="N44" s="125">
        <v>2048</v>
      </c>
      <c r="O44" s="125">
        <v>33</v>
      </c>
      <c r="P44" s="126"/>
      <c r="Q44" s="126">
        <v>14.5564</v>
      </c>
      <c r="R44" s="126">
        <f t="shared" si="1"/>
        <v>299.55195000000003</v>
      </c>
    </row>
    <row r="45" spans="1:26" x14ac:dyDescent="0.25">
      <c r="A45">
        <v>2020</v>
      </c>
      <c r="B45">
        <v>0</v>
      </c>
      <c r="C45">
        <v>0.16</v>
      </c>
      <c r="E45">
        <v>27.542930168145588</v>
      </c>
      <c r="G45">
        <v>29.016400565794729</v>
      </c>
      <c r="I45">
        <v>23.363652375182514</v>
      </c>
      <c r="J45">
        <v>2.7542930168145588E-2</v>
      </c>
      <c r="K45">
        <v>52.380052940977244</v>
      </c>
    </row>
  </sheetData>
  <sheetProtection algorithmName="SHA-512" hashValue="8Sk2UYB2xYCBZztaVcXiSJGcM/5C9JYvhdR6Hot1v38bKfo0C2gox68JyPWlqyk6sETZvkUoK+YbbxXQnctoWw==" saltValue="SQGLkDXiX7Tbpu2t7F1ugQ==" spinCount="100000" sheet="1" objects="1" scenarios="1"/>
  <pageMargins left="0.7" right="0.7" top="0.75" bottom="0.75" header="0.3" footer="0.3"/>
  <pageSetup orientation="portrait" r:id="rId1"/>
  <legacy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2">
    <tabColor theme="7" tint="0.39997558519241921"/>
  </sheetPr>
  <dimension ref="A4:Z118"/>
  <sheetViews>
    <sheetView topLeftCell="A22" workbookViewId="0">
      <selection activeCell="R34" sqref="R34"/>
    </sheetView>
  </sheetViews>
  <sheetFormatPr defaultRowHeight="15" x14ac:dyDescent="0.25"/>
  <cols>
    <col min="1" max="1" width="23.85546875" customWidth="1"/>
    <col min="4" max="4" width="9.140625" customWidth="1"/>
    <col min="5" max="5" width="12.28515625" customWidth="1"/>
    <col min="6" max="6" width="9.5703125" customWidth="1"/>
    <col min="10" max="10" width="17.28515625" customWidth="1"/>
    <col min="11" max="11" width="16" customWidth="1"/>
    <col min="12" max="12" width="11.85546875" customWidth="1"/>
    <col min="13" max="13" width="10.28515625" bestFit="1" customWidth="1"/>
    <col min="15" max="15" width="19.42578125" customWidth="1"/>
    <col min="16" max="16" width="16.28515625" customWidth="1"/>
    <col min="17" max="17" width="11.5703125" customWidth="1"/>
    <col min="21" max="21" width="10.28515625" customWidth="1"/>
  </cols>
  <sheetData>
    <row r="4" spans="1:26" x14ac:dyDescent="0.25">
      <c r="A4" t="s">
        <v>338</v>
      </c>
      <c r="E4" t="s">
        <v>355</v>
      </c>
      <c r="F4" t="s">
        <v>456</v>
      </c>
      <c r="J4" t="s">
        <v>457</v>
      </c>
      <c r="K4" t="s">
        <v>2211</v>
      </c>
      <c r="O4" t="s">
        <v>472</v>
      </c>
      <c r="P4" t="s">
        <v>132</v>
      </c>
      <c r="Q4" t="s">
        <v>468</v>
      </c>
      <c r="R4" t="s">
        <v>469</v>
      </c>
      <c r="S4" t="s">
        <v>467</v>
      </c>
      <c r="T4" t="s">
        <v>254</v>
      </c>
      <c r="U4" t="s">
        <v>111</v>
      </c>
      <c r="V4" t="s">
        <v>85</v>
      </c>
      <c r="W4" t="s">
        <v>86</v>
      </c>
      <c r="X4" t="s">
        <v>127</v>
      </c>
      <c r="Y4" t="s">
        <v>471</v>
      </c>
      <c r="Z4" t="s">
        <v>1346</v>
      </c>
    </row>
    <row r="5" spans="1:26" x14ac:dyDescent="0.25">
      <c r="A5" t="s">
        <v>339</v>
      </c>
      <c r="E5" t="s">
        <v>356</v>
      </c>
      <c r="F5" t="s">
        <v>357</v>
      </c>
      <c r="J5" t="s">
        <v>460</v>
      </c>
      <c r="K5">
        <v>1.07</v>
      </c>
      <c r="O5" t="s">
        <v>1326</v>
      </c>
      <c r="P5">
        <f>M02S02F01</f>
        <v>0</v>
      </c>
      <c r="Q5">
        <f>M02S02F02</f>
        <v>0</v>
      </c>
      <c r="R5">
        <f>M02S02F03</f>
        <v>0</v>
      </c>
      <c r="S5">
        <f>M02S02F05</f>
        <v>0</v>
      </c>
      <c r="T5">
        <f>M02S02F07</f>
        <v>0</v>
      </c>
      <c r="U5">
        <f>M02S02F08</f>
        <v>0</v>
      </c>
      <c r="V5">
        <f>M02S02F09</f>
        <v>0</v>
      </c>
      <c r="W5">
        <f>M02S02F10</f>
        <v>0</v>
      </c>
      <c r="X5">
        <f>M02S02F11</f>
        <v>0</v>
      </c>
      <c r="Y5" t="s">
        <v>631</v>
      </c>
      <c r="Z5" t="s">
        <v>470</v>
      </c>
    </row>
    <row r="6" spans="1:26" x14ac:dyDescent="0.25">
      <c r="A6" t="s">
        <v>340</v>
      </c>
      <c r="E6" t="s">
        <v>360</v>
      </c>
      <c r="F6" t="s">
        <v>361</v>
      </c>
      <c r="J6" t="s">
        <v>461</v>
      </c>
      <c r="K6">
        <v>1.07</v>
      </c>
      <c r="O6" t="s">
        <v>1327</v>
      </c>
      <c r="P6" t="str">
        <f>""</f>
        <v/>
      </c>
      <c r="Q6" t="str">
        <f>""</f>
        <v/>
      </c>
      <c r="R6" t="str">
        <f>""</f>
        <v/>
      </c>
      <c r="S6" t="str">
        <f>""</f>
        <v/>
      </c>
      <c r="T6" t="str">
        <f>""</f>
        <v/>
      </c>
      <c r="U6" t="str">
        <f>""</f>
        <v/>
      </c>
      <c r="V6" t="str">
        <f>""</f>
        <v/>
      </c>
      <c r="W6" t="str">
        <f>""</f>
        <v/>
      </c>
      <c r="X6" t="str">
        <f>""</f>
        <v/>
      </c>
      <c r="Y6" t="s">
        <v>631</v>
      </c>
      <c r="Z6" t="s">
        <v>170</v>
      </c>
    </row>
    <row r="7" spans="1:26" x14ac:dyDescent="0.25">
      <c r="A7" t="s">
        <v>341</v>
      </c>
      <c r="E7" t="s">
        <v>364</v>
      </c>
      <c r="F7" t="s">
        <v>365</v>
      </c>
      <c r="J7" t="s">
        <v>168</v>
      </c>
      <c r="K7">
        <v>1.07</v>
      </c>
      <c r="O7" t="s">
        <v>1329</v>
      </c>
      <c r="P7" s="63">
        <f>M02S02F01</f>
        <v>0</v>
      </c>
      <c r="Q7" s="63">
        <f>M02S02F02</f>
        <v>0</v>
      </c>
      <c r="R7" s="63">
        <f>M02S02F03</f>
        <v>0</v>
      </c>
      <c r="S7" s="63">
        <f>M02S02F05</f>
        <v>0</v>
      </c>
      <c r="T7" s="63">
        <f>M02S02F07</f>
        <v>0</v>
      </c>
      <c r="U7" s="63">
        <f>M02S02F22</f>
        <v>0</v>
      </c>
      <c r="V7" s="63">
        <f>M02S02F23</f>
        <v>0</v>
      </c>
      <c r="W7" s="63" t="str">
        <f>M02S02F24</f>
        <v>MO</v>
      </c>
      <c r="X7" s="63">
        <f>M02S02F25</f>
        <v>0</v>
      </c>
      <c r="Y7" t="s">
        <v>1330</v>
      </c>
      <c r="Z7" t="s">
        <v>170</v>
      </c>
    </row>
    <row r="8" spans="1:26" x14ac:dyDescent="0.25">
      <c r="A8" t="s">
        <v>342</v>
      </c>
      <c r="E8" t="s">
        <v>368</v>
      </c>
      <c r="F8" t="s">
        <v>369</v>
      </c>
      <c r="J8" t="s">
        <v>462</v>
      </c>
      <c r="K8">
        <v>1</v>
      </c>
      <c r="O8" t="s">
        <v>1328</v>
      </c>
      <c r="P8" s="63">
        <f>M02S02F01</f>
        <v>0</v>
      </c>
      <c r="Q8" s="63">
        <f>M02S02F02</f>
        <v>0</v>
      </c>
      <c r="R8" s="63">
        <f>M02S02F03</f>
        <v>0</v>
      </c>
      <c r="S8" s="63">
        <f>M02S02F05</f>
        <v>0</v>
      </c>
      <c r="T8" s="63">
        <f>M02S02F07</f>
        <v>0</v>
      </c>
      <c r="U8">
        <f>M02S02F22</f>
        <v>0</v>
      </c>
      <c r="V8">
        <f>M02S02F23</f>
        <v>0</v>
      </c>
      <c r="W8" t="str">
        <f>M02S02F24</f>
        <v>MO</v>
      </c>
      <c r="X8">
        <f>M02S02F25</f>
        <v>0</v>
      </c>
      <c r="Y8" t="s">
        <v>631</v>
      </c>
      <c r="Z8" t="s">
        <v>470</v>
      </c>
    </row>
    <row r="9" spans="1:26" x14ac:dyDescent="0.25">
      <c r="A9" t="s">
        <v>343</v>
      </c>
      <c r="E9" t="s">
        <v>372</v>
      </c>
      <c r="F9" t="s">
        <v>373</v>
      </c>
      <c r="J9" t="s">
        <v>463</v>
      </c>
      <c r="K9">
        <v>1</v>
      </c>
      <c r="O9" s="63" t="s">
        <v>1331</v>
      </c>
      <c r="P9" s="63">
        <f>M02S03F02</f>
        <v>0</v>
      </c>
      <c r="Q9" s="63">
        <f>M02S03F03</f>
        <v>0</v>
      </c>
      <c r="R9" s="63">
        <f>M02S03F04</f>
        <v>0</v>
      </c>
      <c r="S9" s="63">
        <f>M02S03F06</f>
        <v>0</v>
      </c>
      <c r="T9" s="63">
        <f>M02S03F08</f>
        <v>0</v>
      </c>
      <c r="U9" s="63">
        <f>M02S03F09</f>
        <v>0</v>
      </c>
      <c r="V9" s="63">
        <f>M02S03F10</f>
        <v>0</v>
      </c>
      <c r="W9" s="63">
        <f>M02S03F11</f>
        <v>0</v>
      </c>
      <c r="X9" s="63">
        <f>M02S03F12</f>
        <v>0</v>
      </c>
      <c r="Y9" s="63" t="s">
        <v>632</v>
      </c>
      <c r="Z9" t="s">
        <v>1332</v>
      </c>
    </row>
    <row r="10" spans="1:26" x14ac:dyDescent="0.25">
      <c r="A10" t="s">
        <v>344</v>
      </c>
      <c r="E10" t="s">
        <v>376</v>
      </c>
      <c r="F10" t="s">
        <v>377</v>
      </c>
      <c r="J10" t="s">
        <v>969</v>
      </c>
      <c r="K10">
        <v>1</v>
      </c>
    </row>
    <row r="11" spans="1:26" x14ac:dyDescent="0.25">
      <c r="A11" t="s">
        <v>345</v>
      </c>
      <c r="E11" t="s">
        <v>380</v>
      </c>
      <c r="F11" t="s">
        <v>381</v>
      </c>
    </row>
    <row r="12" spans="1:26" x14ac:dyDescent="0.25">
      <c r="A12" t="s">
        <v>346</v>
      </c>
      <c r="E12" t="s">
        <v>384</v>
      </c>
      <c r="F12" t="s">
        <v>385</v>
      </c>
      <c r="J12" t="s">
        <v>635</v>
      </c>
      <c r="K12" t="s">
        <v>636</v>
      </c>
      <c r="L12" t="s">
        <v>1084</v>
      </c>
      <c r="M12" t="s">
        <v>1021</v>
      </c>
    </row>
    <row r="13" spans="1:26" x14ac:dyDescent="0.25">
      <c r="A13" t="s">
        <v>347</v>
      </c>
      <c r="E13" t="s">
        <v>2350</v>
      </c>
      <c r="F13" t="s">
        <v>2351</v>
      </c>
      <c r="J13" s="63" t="s">
        <v>591</v>
      </c>
      <c r="K13" s="218">
        <v>9.1068400000000004E-4</v>
      </c>
      <c r="L13">
        <v>9.1068395835808389E-4</v>
      </c>
      <c r="M13" s="556">
        <v>0.18</v>
      </c>
      <c r="O13" s="63" t="s">
        <v>1479</v>
      </c>
      <c r="P13" s="63" t="s">
        <v>2175</v>
      </c>
      <c r="Q13" s="63" t="s">
        <v>1984</v>
      </c>
      <c r="R13" s="63" t="s">
        <v>2174</v>
      </c>
      <c r="S13" s="63" t="s">
        <v>1468</v>
      </c>
      <c r="T13" s="63" t="s">
        <v>2173</v>
      </c>
      <c r="U13" s="63" t="s">
        <v>1467</v>
      </c>
      <c r="V13" s="63" t="s">
        <v>2172</v>
      </c>
      <c r="W13" s="63" t="s">
        <v>1466</v>
      </c>
      <c r="X13" s="63" t="s">
        <v>1469</v>
      </c>
      <c r="Y13" s="63" t="s">
        <v>1470</v>
      </c>
      <c r="Z13" s="63" t="s">
        <v>1471</v>
      </c>
    </row>
    <row r="14" spans="1:26" x14ac:dyDescent="0.25">
      <c r="A14" t="s">
        <v>348</v>
      </c>
      <c r="E14" t="s">
        <v>388</v>
      </c>
      <c r="F14" t="s">
        <v>389</v>
      </c>
      <c r="J14" s="63" t="s">
        <v>589</v>
      </c>
      <c r="K14" s="218">
        <v>4.4398300000000001E-4</v>
      </c>
      <c r="L14">
        <v>4.4398300085072174E-4</v>
      </c>
      <c r="M14" s="556">
        <v>0.12</v>
      </c>
      <c r="O14" s="63" t="s">
        <v>1480</v>
      </c>
      <c r="P14" s="63">
        <v>0.71</v>
      </c>
      <c r="Q14" s="63">
        <v>0.71</v>
      </c>
      <c r="R14" s="63">
        <v>0.8</v>
      </c>
      <c r="S14" s="107">
        <v>0.8</v>
      </c>
      <c r="T14" s="107">
        <v>0.9</v>
      </c>
      <c r="U14" s="63">
        <v>0.82</v>
      </c>
      <c r="V14" s="63">
        <v>0.9</v>
      </c>
      <c r="W14" s="63">
        <v>0.9</v>
      </c>
      <c r="X14" s="63" t="s">
        <v>1785</v>
      </c>
      <c r="Y14" s="63" t="s">
        <v>1785</v>
      </c>
      <c r="Z14" s="63" t="s">
        <v>1785</v>
      </c>
    </row>
    <row r="15" spans="1:26" x14ac:dyDescent="0.25">
      <c r="A15" t="s">
        <v>349</v>
      </c>
      <c r="E15" t="s">
        <v>392</v>
      </c>
      <c r="F15" t="s">
        <v>393</v>
      </c>
      <c r="J15" s="63" t="s">
        <v>167</v>
      </c>
      <c r="K15" s="218">
        <v>4.4398300000000001E-4</v>
      </c>
      <c r="L15">
        <v>4.4398300085072174E-4</v>
      </c>
      <c r="M15" s="556">
        <v>0.12</v>
      </c>
      <c r="O15" s="63" t="s">
        <v>1481</v>
      </c>
      <c r="P15" s="63">
        <v>0.76</v>
      </c>
      <c r="Q15" s="63">
        <v>0.76</v>
      </c>
      <c r="R15" s="63">
        <v>1.01</v>
      </c>
      <c r="S15" s="107">
        <v>1.01</v>
      </c>
      <c r="T15" s="107">
        <v>1.2</v>
      </c>
      <c r="U15" s="63">
        <v>1.08</v>
      </c>
      <c r="V15" s="63">
        <v>1.2</v>
      </c>
      <c r="W15" s="63">
        <v>1.2</v>
      </c>
      <c r="X15" s="63" t="s">
        <v>1785</v>
      </c>
      <c r="Y15" s="63" t="s">
        <v>1785</v>
      </c>
      <c r="Z15" s="63" t="s">
        <v>1785</v>
      </c>
    </row>
    <row r="16" spans="1:26" x14ac:dyDescent="0.25">
      <c r="A16" t="s">
        <v>350</v>
      </c>
      <c r="E16" t="s">
        <v>396</v>
      </c>
      <c r="F16" t="s">
        <v>397</v>
      </c>
      <c r="J16" s="63" t="s">
        <v>590</v>
      </c>
      <c r="K16" s="218">
        <v>1.998949E-4</v>
      </c>
      <c r="L16">
        <v>1.9989494536010611E-4</v>
      </c>
      <c r="M16" s="556">
        <v>0.09</v>
      </c>
      <c r="O16" s="63" t="s">
        <v>1482</v>
      </c>
      <c r="P16" s="63">
        <v>0.9</v>
      </c>
      <c r="Q16" s="63">
        <v>0.9</v>
      </c>
      <c r="R16" s="63">
        <v>1.01</v>
      </c>
      <c r="S16" s="107">
        <v>1.01</v>
      </c>
      <c r="T16" s="107">
        <v>1.2</v>
      </c>
      <c r="U16" s="63">
        <v>1.05</v>
      </c>
      <c r="V16" s="63">
        <v>1.2</v>
      </c>
      <c r="W16" s="63">
        <v>1.2</v>
      </c>
      <c r="X16" s="63" t="s">
        <v>1785</v>
      </c>
      <c r="Y16" s="63" t="s">
        <v>1785</v>
      </c>
      <c r="Z16" s="63" t="s">
        <v>1785</v>
      </c>
    </row>
    <row r="17" spans="1:26" x14ac:dyDescent="0.25">
      <c r="A17" t="s">
        <v>351</v>
      </c>
      <c r="E17" t="s">
        <v>400</v>
      </c>
      <c r="F17" t="s">
        <v>401</v>
      </c>
      <c r="J17" s="63" t="s">
        <v>251</v>
      </c>
      <c r="K17" s="218">
        <v>1.811545E-4</v>
      </c>
      <c r="L17">
        <v>1.8115452432794247E-4</v>
      </c>
      <c r="M17" s="556">
        <v>0.09</v>
      </c>
      <c r="O17" s="63" t="s">
        <v>1483</v>
      </c>
      <c r="P17" s="63">
        <v>0.9</v>
      </c>
      <c r="Q17" s="63">
        <v>0.9</v>
      </c>
      <c r="R17" s="63">
        <v>1.01</v>
      </c>
      <c r="S17" s="107">
        <v>1.01</v>
      </c>
      <c r="T17" s="107">
        <v>1.3</v>
      </c>
      <c r="U17" s="63">
        <v>0.99</v>
      </c>
      <c r="V17" s="63">
        <v>1.3</v>
      </c>
      <c r="W17" s="63">
        <v>1.3</v>
      </c>
      <c r="X17" s="63" t="s">
        <v>1785</v>
      </c>
      <c r="Y17" s="63" t="s">
        <v>1785</v>
      </c>
      <c r="Z17" s="63" t="s">
        <v>1785</v>
      </c>
    </row>
    <row r="18" spans="1:26" x14ac:dyDescent="0.25">
      <c r="A18" t="s">
        <v>352</v>
      </c>
      <c r="E18" t="s">
        <v>404</v>
      </c>
      <c r="F18" t="s">
        <v>405</v>
      </c>
      <c r="J18" s="63" t="s">
        <v>588</v>
      </c>
      <c r="K18" s="218">
        <v>1.379439E-4</v>
      </c>
      <c r="L18">
        <v>1.3794386832966736E-4</v>
      </c>
      <c r="M18" s="556">
        <v>0.08</v>
      </c>
      <c r="O18" s="63" t="s">
        <v>1484</v>
      </c>
      <c r="P18" s="63">
        <v>0.79</v>
      </c>
      <c r="Q18" s="63">
        <v>0.79</v>
      </c>
      <c r="R18" s="63">
        <v>0.9</v>
      </c>
      <c r="S18" s="107">
        <v>0.9</v>
      </c>
      <c r="T18" s="107">
        <v>1.4</v>
      </c>
      <c r="U18" s="63">
        <v>0.9</v>
      </c>
      <c r="V18" s="63">
        <v>1.4</v>
      </c>
      <c r="W18" s="63">
        <v>1.4</v>
      </c>
      <c r="X18" s="63" t="s">
        <v>1785</v>
      </c>
      <c r="Y18" s="63" t="s">
        <v>1785</v>
      </c>
      <c r="Z18" s="63" t="s">
        <v>1785</v>
      </c>
    </row>
    <row r="19" spans="1:26" x14ac:dyDescent="0.25">
      <c r="A19" t="s">
        <v>353</v>
      </c>
      <c r="E19" t="s">
        <v>408</v>
      </c>
      <c r="F19" t="s">
        <v>409</v>
      </c>
      <c r="J19" s="63" t="s">
        <v>161</v>
      </c>
      <c r="K19" s="218">
        <v>1.899635E-4</v>
      </c>
      <c r="L19">
        <v>1.89963546210424E-4</v>
      </c>
      <c r="M19" s="556">
        <v>0.08</v>
      </c>
      <c r="O19" s="63" t="s">
        <v>1485</v>
      </c>
      <c r="P19" s="63">
        <v>0.78</v>
      </c>
      <c r="Q19" s="63">
        <v>0.78</v>
      </c>
      <c r="R19" s="63">
        <v>0.95</v>
      </c>
      <c r="S19" s="107">
        <v>0.95</v>
      </c>
      <c r="T19" s="107">
        <v>1.6</v>
      </c>
      <c r="U19" s="63">
        <v>0.89</v>
      </c>
      <c r="V19" s="63">
        <v>1.6</v>
      </c>
      <c r="W19" s="63">
        <v>1.6</v>
      </c>
      <c r="X19" s="63" t="s">
        <v>1785</v>
      </c>
      <c r="Y19" s="63" t="s">
        <v>1785</v>
      </c>
      <c r="Z19" s="63" t="s">
        <v>1785</v>
      </c>
    </row>
    <row r="20" spans="1:26" x14ac:dyDescent="0.25">
      <c r="A20" t="s">
        <v>354</v>
      </c>
      <c r="E20" t="s">
        <v>412</v>
      </c>
      <c r="F20" t="s">
        <v>413</v>
      </c>
      <c r="J20" s="63" t="s">
        <v>594</v>
      </c>
      <c r="K20" s="218">
        <v>1.379439E-4</v>
      </c>
      <c r="L20">
        <v>1.3794386832966736E-4</v>
      </c>
      <c r="M20" s="556">
        <v>7.0000000000000007E-2</v>
      </c>
      <c r="O20" s="63" t="s">
        <v>1486</v>
      </c>
      <c r="P20" s="63">
        <v>0.61</v>
      </c>
      <c r="Q20" s="63">
        <v>0.61</v>
      </c>
      <c r="R20" s="63">
        <v>0.56999999999999995</v>
      </c>
      <c r="S20" s="107">
        <v>0.56999999999999995</v>
      </c>
      <c r="T20" s="107">
        <v>1</v>
      </c>
      <c r="U20" s="63">
        <v>0.61</v>
      </c>
      <c r="V20" s="63">
        <v>1</v>
      </c>
      <c r="W20" s="63">
        <v>1</v>
      </c>
      <c r="X20" s="63" t="s">
        <v>1785</v>
      </c>
      <c r="Y20" s="63" t="s">
        <v>1785</v>
      </c>
      <c r="Z20" s="63" t="s">
        <v>1785</v>
      </c>
    </row>
    <row r="21" spans="1:26" x14ac:dyDescent="0.25">
      <c r="E21" t="s">
        <v>416</v>
      </c>
      <c r="F21" t="s">
        <v>417</v>
      </c>
      <c r="J21" s="63" t="s">
        <v>595</v>
      </c>
      <c r="K21" s="218">
        <v>1.379439E-4</v>
      </c>
      <c r="L21">
        <v>1.3794386832966736E-4</v>
      </c>
      <c r="M21" s="556">
        <v>7.0000000000000007E-2</v>
      </c>
      <c r="O21" s="63" t="s">
        <v>1487</v>
      </c>
      <c r="P21" s="63">
        <v>0.65</v>
      </c>
      <c r="Q21" s="63">
        <v>0.65</v>
      </c>
      <c r="R21" s="63">
        <v>0.84</v>
      </c>
      <c r="S21" s="107">
        <v>0.84</v>
      </c>
      <c r="T21" s="107">
        <v>1</v>
      </c>
      <c r="U21" s="63">
        <v>0.88</v>
      </c>
      <c r="V21" s="63">
        <v>1</v>
      </c>
      <c r="W21" s="63">
        <v>1</v>
      </c>
      <c r="X21" s="63" t="s">
        <v>1785</v>
      </c>
      <c r="Y21" s="63" t="s">
        <v>1785</v>
      </c>
      <c r="Z21" s="63" t="s">
        <v>1785</v>
      </c>
    </row>
    <row r="22" spans="1:26" x14ac:dyDescent="0.25">
      <c r="E22" t="s">
        <v>420</v>
      </c>
      <c r="F22" t="s">
        <v>421</v>
      </c>
      <c r="J22" s="63" t="s">
        <v>248</v>
      </c>
      <c r="K22" s="218">
        <v>1.379439E-4</v>
      </c>
      <c r="L22">
        <v>1.3794386832966736E-4</v>
      </c>
      <c r="M22" s="556">
        <v>7.0000000000000007E-2</v>
      </c>
      <c r="O22" s="63" t="s">
        <v>1488</v>
      </c>
      <c r="P22" s="63">
        <v>0.53</v>
      </c>
      <c r="Q22" s="63">
        <v>0.53</v>
      </c>
      <c r="R22" s="63">
        <v>0.67</v>
      </c>
      <c r="S22" s="107">
        <v>0.67100000000000004</v>
      </c>
      <c r="T22" s="107">
        <v>0.8</v>
      </c>
      <c r="U22" s="63">
        <v>0.71</v>
      </c>
      <c r="V22" s="63" t="s">
        <v>177</v>
      </c>
      <c r="W22" s="63" t="s">
        <v>177</v>
      </c>
      <c r="X22" s="63" t="s">
        <v>1785</v>
      </c>
      <c r="Y22" s="63" t="s">
        <v>1785</v>
      </c>
      <c r="Z22" s="63" t="s">
        <v>1785</v>
      </c>
    </row>
    <row r="23" spans="1:26" x14ac:dyDescent="0.25">
      <c r="A23" t="s">
        <v>251</v>
      </c>
      <c r="E23" t="s">
        <v>424</v>
      </c>
      <c r="F23" t="s">
        <v>425</v>
      </c>
      <c r="J23" s="63" t="s">
        <v>169</v>
      </c>
      <c r="K23" s="218">
        <v>1.3573829999999999E-4</v>
      </c>
      <c r="L23">
        <v>1.3573833328104119E-4</v>
      </c>
      <c r="M23" s="556">
        <v>0.06</v>
      </c>
      <c r="O23" s="63" t="s">
        <v>1489</v>
      </c>
      <c r="P23" s="63">
        <v>0.68</v>
      </c>
      <c r="Q23" s="63">
        <v>0.68</v>
      </c>
      <c r="R23" s="63">
        <v>0.94</v>
      </c>
      <c r="S23" s="107">
        <v>0.94</v>
      </c>
      <c r="T23" s="107">
        <v>1.1000000000000001</v>
      </c>
      <c r="U23" s="63">
        <v>1</v>
      </c>
      <c r="V23" s="63">
        <v>1.1000000000000001</v>
      </c>
      <c r="W23" s="63">
        <v>1.1000000000000001</v>
      </c>
      <c r="X23" s="63" t="s">
        <v>1785</v>
      </c>
      <c r="Y23" s="63" t="s">
        <v>1785</v>
      </c>
      <c r="Z23" s="63" t="s">
        <v>1785</v>
      </c>
    </row>
    <row r="24" spans="1:26" x14ac:dyDescent="0.25">
      <c r="A24" t="s">
        <v>458</v>
      </c>
      <c r="E24" t="s">
        <v>428</v>
      </c>
      <c r="F24" t="s">
        <v>429</v>
      </c>
      <c r="J24" s="63" t="s">
        <v>592</v>
      </c>
      <c r="K24" s="218">
        <v>5.6160000000000001E-6</v>
      </c>
      <c r="L24">
        <v>5.6159599577408315E-6</v>
      </c>
      <c r="M24" s="63">
        <v>0</v>
      </c>
      <c r="O24" s="63" t="s">
        <v>1985</v>
      </c>
      <c r="P24" s="63">
        <v>0.82</v>
      </c>
      <c r="Q24" s="63">
        <v>0.82</v>
      </c>
      <c r="R24" s="63">
        <v>0.9</v>
      </c>
      <c r="S24" s="107">
        <v>0.9</v>
      </c>
      <c r="T24" s="107">
        <v>1</v>
      </c>
      <c r="U24" s="63">
        <v>0.87</v>
      </c>
      <c r="V24" s="63">
        <v>1</v>
      </c>
      <c r="W24" s="63">
        <v>1</v>
      </c>
      <c r="X24" s="63" t="s">
        <v>1785</v>
      </c>
      <c r="Y24" s="63" t="s">
        <v>1785</v>
      </c>
      <c r="Z24" s="63" t="s">
        <v>1785</v>
      </c>
    </row>
    <row r="25" spans="1:26" x14ac:dyDescent="0.25">
      <c r="A25" t="s">
        <v>160</v>
      </c>
      <c r="E25" t="s">
        <v>432</v>
      </c>
      <c r="F25" t="s">
        <v>433</v>
      </c>
      <c r="J25" s="63" t="s">
        <v>593</v>
      </c>
      <c r="K25" s="218">
        <v>0</v>
      </c>
      <c r="L25">
        <v>0</v>
      </c>
      <c r="M25" s="63">
        <v>0</v>
      </c>
      <c r="O25" s="63" t="s">
        <v>1491</v>
      </c>
      <c r="P25" s="63">
        <v>1.05</v>
      </c>
      <c r="Q25" s="63">
        <v>1.05</v>
      </c>
      <c r="R25" s="63">
        <v>1.05</v>
      </c>
      <c r="S25" s="107">
        <v>1.05</v>
      </c>
      <c r="T25" s="107">
        <v>1.2</v>
      </c>
      <c r="U25" s="63">
        <v>1.21</v>
      </c>
      <c r="V25" s="63">
        <v>1.2</v>
      </c>
      <c r="W25" s="63">
        <v>1.2</v>
      </c>
      <c r="X25" s="63" t="s">
        <v>1785</v>
      </c>
      <c r="Y25" s="63" t="s">
        <v>1785</v>
      </c>
      <c r="Z25" s="63" t="s">
        <v>1785</v>
      </c>
    </row>
    <row r="26" spans="1:26" x14ac:dyDescent="0.25">
      <c r="A26" t="s">
        <v>459</v>
      </c>
      <c r="E26" t="s">
        <v>436</v>
      </c>
      <c r="F26" t="s">
        <v>437</v>
      </c>
      <c r="O26" s="63" t="s">
        <v>1986</v>
      </c>
      <c r="P26" s="63">
        <v>0.75</v>
      </c>
      <c r="Q26" s="63">
        <v>0.75</v>
      </c>
      <c r="R26" s="63">
        <v>0.87</v>
      </c>
      <c r="S26" s="107">
        <v>0.87</v>
      </c>
      <c r="T26" s="107">
        <v>1</v>
      </c>
      <c r="U26" s="63">
        <v>1</v>
      </c>
      <c r="V26" s="63">
        <v>1</v>
      </c>
      <c r="W26" s="63">
        <v>1</v>
      </c>
      <c r="X26" s="63" t="s">
        <v>1785</v>
      </c>
      <c r="Y26" s="63" t="s">
        <v>1785</v>
      </c>
      <c r="Z26" s="63" t="s">
        <v>1785</v>
      </c>
    </row>
    <row r="27" spans="1:26" x14ac:dyDescent="0.25">
      <c r="A27" s="63" t="s">
        <v>170</v>
      </c>
      <c r="E27" t="s">
        <v>440</v>
      </c>
      <c r="F27" t="s">
        <v>441</v>
      </c>
      <c r="O27" s="63" t="s">
        <v>1493</v>
      </c>
      <c r="P27" s="63">
        <v>0.78</v>
      </c>
      <c r="Q27" s="63">
        <v>0.78</v>
      </c>
      <c r="R27" s="63">
        <v>1.19</v>
      </c>
      <c r="S27" s="107">
        <v>1.19</v>
      </c>
      <c r="T27" s="107">
        <v>1.3</v>
      </c>
      <c r="U27" s="63">
        <v>1.18</v>
      </c>
      <c r="V27" s="63">
        <v>1.3</v>
      </c>
      <c r="W27" s="63">
        <v>1.3</v>
      </c>
      <c r="X27" s="63" t="s">
        <v>1785</v>
      </c>
      <c r="Y27" s="63" t="s">
        <v>1785</v>
      </c>
      <c r="Z27" s="63" t="s">
        <v>1785</v>
      </c>
    </row>
    <row r="28" spans="1:26" x14ac:dyDescent="0.25">
      <c r="A28" s="63" t="s">
        <v>533</v>
      </c>
      <c r="E28" t="s">
        <v>444</v>
      </c>
      <c r="F28" t="s">
        <v>445</v>
      </c>
      <c r="J28" t="s">
        <v>1093</v>
      </c>
      <c r="K28" t="s">
        <v>1094</v>
      </c>
      <c r="O28" s="63" t="s">
        <v>1494</v>
      </c>
      <c r="P28" s="63">
        <v>0.9</v>
      </c>
      <c r="Q28" s="63">
        <v>0.9</v>
      </c>
      <c r="R28" s="63">
        <v>1.17</v>
      </c>
      <c r="S28" s="107">
        <v>1.17</v>
      </c>
      <c r="T28" s="107">
        <v>1.3</v>
      </c>
      <c r="U28" s="63">
        <v>1.1100000000000001</v>
      </c>
      <c r="V28" s="63">
        <v>1.3</v>
      </c>
      <c r="W28" s="63">
        <v>1.3</v>
      </c>
      <c r="X28" s="63" t="s">
        <v>1785</v>
      </c>
      <c r="Y28" s="63" t="s">
        <v>1785</v>
      </c>
      <c r="Z28" s="63" t="s">
        <v>1785</v>
      </c>
    </row>
    <row r="29" spans="1:26" x14ac:dyDescent="0.25">
      <c r="A29" s="63" t="s">
        <v>534</v>
      </c>
      <c r="E29" t="s">
        <v>448</v>
      </c>
      <c r="F29" t="s">
        <v>449</v>
      </c>
      <c r="J29" t="s">
        <v>1107</v>
      </c>
      <c r="K29" t="s">
        <v>1110</v>
      </c>
      <c r="O29" s="63" t="s">
        <v>1495</v>
      </c>
      <c r="P29" s="63" t="s">
        <v>177</v>
      </c>
      <c r="Q29" s="63" t="s">
        <v>177</v>
      </c>
      <c r="R29" s="63" t="s">
        <v>177</v>
      </c>
      <c r="S29" s="107" t="s">
        <v>177</v>
      </c>
      <c r="T29" s="107">
        <v>1</v>
      </c>
      <c r="U29" s="63">
        <v>0.88</v>
      </c>
      <c r="V29" s="63">
        <v>1</v>
      </c>
      <c r="W29" s="63">
        <v>1</v>
      </c>
      <c r="X29" s="63" t="s">
        <v>1785</v>
      </c>
      <c r="Y29" s="63" t="s">
        <v>1785</v>
      </c>
      <c r="Z29" s="63" t="s">
        <v>1785</v>
      </c>
    </row>
    <row r="30" spans="1:26" x14ac:dyDescent="0.25">
      <c r="A30" t="s">
        <v>969</v>
      </c>
      <c r="E30" t="s">
        <v>452</v>
      </c>
      <c r="F30" t="s">
        <v>453</v>
      </c>
      <c r="J30" t="s">
        <v>1095</v>
      </c>
      <c r="K30" t="s">
        <v>1110</v>
      </c>
      <c r="O30" s="63" t="s">
        <v>1496</v>
      </c>
      <c r="P30" s="63">
        <v>0.83</v>
      </c>
      <c r="Q30" s="63">
        <v>0.83</v>
      </c>
      <c r="R30" s="63">
        <v>0.76</v>
      </c>
      <c r="S30" s="107">
        <v>0.76</v>
      </c>
      <c r="T30" s="107">
        <v>1.2</v>
      </c>
      <c r="U30" s="63">
        <v>0.83</v>
      </c>
      <c r="V30" s="63">
        <v>1.2</v>
      </c>
      <c r="W30" s="63">
        <v>1.2</v>
      </c>
      <c r="X30" s="63" t="s">
        <v>1785</v>
      </c>
      <c r="Y30" s="63" t="s">
        <v>1785</v>
      </c>
      <c r="Z30" s="63" t="s">
        <v>1785</v>
      </c>
    </row>
    <row r="31" spans="1:26" x14ac:dyDescent="0.25">
      <c r="E31" t="s">
        <v>358</v>
      </c>
      <c r="F31" t="s">
        <v>359</v>
      </c>
      <c r="J31" t="s">
        <v>1096</v>
      </c>
      <c r="K31" t="s">
        <v>1109</v>
      </c>
      <c r="O31" s="63" t="s">
        <v>1497</v>
      </c>
      <c r="P31" s="63">
        <v>0.68</v>
      </c>
      <c r="Q31" s="63">
        <v>0.68</v>
      </c>
      <c r="R31" s="63">
        <v>0.51</v>
      </c>
      <c r="S31" s="107">
        <v>0.51</v>
      </c>
      <c r="T31" s="107">
        <v>0.7</v>
      </c>
      <c r="U31" s="63">
        <v>0.6</v>
      </c>
      <c r="V31" s="63">
        <v>0.7</v>
      </c>
      <c r="W31" s="63">
        <v>0.7</v>
      </c>
      <c r="X31" s="63" t="s">
        <v>1785</v>
      </c>
      <c r="Y31" s="63" t="s">
        <v>1785</v>
      </c>
      <c r="Z31" s="63" t="s">
        <v>1785</v>
      </c>
    </row>
    <row r="32" spans="1:26" x14ac:dyDescent="0.25">
      <c r="A32" t="s">
        <v>0</v>
      </c>
      <c r="E32" t="s">
        <v>362</v>
      </c>
      <c r="F32" t="s">
        <v>363</v>
      </c>
      <c r="J32" t="s">
        <v>1097</v>
      </c>
      <c r="K32" t="s">
        <v>1108</v>
      </c>
      <c r="O32" s="63" t="s">
        <v>1498</v>
      </c>
      <c r="P32" s="63">
        <v>1.06</v>
      </c>
      <c r="Q32" s="63">
        <v>1.06</v>
      </c>
      <c r="R32" s="63">
        <v>1.02</v>
      </c>
      <c r="S32" s="107">
        <v>1.02</v>
      </c>
      <c r="T32" s="107">
        <v>1.1000000000000001</v>
      </c>
      <c r="U32" s="63">
        <v>1.06</v>
      </c>
      <c r="V32" s="63">
        <v>1.1000000000000001</v>
      </c>
      <c r="W32" s="63">
        <v>1.1000000000000001</v>
      </c>
      <c r="X32" s="63" t="s">
        <v>1785</v>
      </c>
      <c r="Y32" s="63" t="s">
        <v>1785</v>
      </c>
      <c r="Z32" s="63" t="s">
        <v>1785</v>
      </c>
    </row>
    <row r="33" spans="1:26" x14ac:dyDescent="0.25">
      <c r="A33" t="s">
        <v>1296</v>
      </c>
      <c r="E33" t="s">
        <v>366</v>
      </c>
      <c r="F33" t="s">
        <v>367</v>
      </c>
      <c r="J33" t="s">
        <v>1098</v>
      </c>
      <c r="K33" t="s">
        <v>1110</v>
      </c>
      <c r="O33" s="63" t="s">
        <v>351</v>
      </c>
      <c r="P33" s="63">
        <v>0.79</v>
      </c>
      <c r="Q33" s="63">
        <v>0.79</v>
      </c>
      <c r="R33" s="63">
        <v>0.82</v>
      </c>
      <c r="S33" s="107">
        <v>0.82</v>
      </c>
      <c r="T33" s="107">
        <v>0.9</v>
      </c>
      <c r="U33" s="63">
        <v>0.9</v>
      </c>
      <c r="V33" s="63">
        <v>1</v>
      </c>
      <c r="W33" s="63">
        <v>1</v>
      </c>
      <c r="X33" s="63" t="s">
        <v>1785</v>
      </c>
      <c r="Y33" s="63" t="s">
        <v>1785</v>
      </c>
      <c r="Z33" s="63" t="s">
        <v>1785</v>
      </c>
    </row>
    <row r="34" spans="1:26" x14ac:dyDescent="0.25">
      <c r="A34" t="s">
        <v>240</v>
      </c>
      <c r="E34" t="s">
        <v>370</v>
      </c>
      <c r="F34" t="s">
        <v>371</v>
      </c>
      <c r="J34" s="63" t="s">
        <v>1306</v>
      </c>
      <c r="K34" s="63" t="s">
        <v>1110</v>
      </c>
      <c r="O34" s="63" t="s">
        <v>352</v>
      </c>
      <c r="P34" s="63">
        <v>0.15</v>
      </c>
      <c r="Q34" s="63">
        <v>0.15</v>
      </c>
      <c r="R34" s="63">
        <v>0.21</v>
      </c>
      <c r="S34" s="107">
        <v>0.21</v>
      </c>
      <c r="T34" s="107">
        <v>0.3</v>
      </c>
      <c r="U34" s="63">
        <v>0.25</v>
      </c>
      <c r="V34" s="63">
        <v>0.3</v>
      </c>
      <c r="W34" s="63">
        <v>0.3</v>
      </c>
      <c r="X34" s="63" t="s">
        <v>1785</v>
      </c>
      <c r="Y34" s="63" t="s">
        <v>1785</v>
      </c>
      <c r="Z34" s="63" t="s">
        <v>1785</v>
      </c>
    </row>
    <row r="35" spans="1:26" x14ac:dyDescent="0.25">
      <c r="A35" t="s">
        <v>215</v>
      </c>
      <c r="E35" t="s">
        <v>374</v>
      </c>
      <c r="F35" t="s">
        <v>375</v>
      </c>
      <c r="J35" s="63" t="s">
        <v>1412</v>
      </c>
      <c r="K35" s="63" t="s">
        <v>1110</v>
      </c>
      <c r="O35" s="63" t="s">
        <v>1499</v>
      </c>
      <c r="P35" s="63">
        <v>0.75</v>
      </c>
      <c r="Q35" s="63">
        <v>0.75</v>
      </c>
      <c r="R35" s="63">
        <v>0.81</v>
      </c>
      <c r="S35" s="107">
        <v>0.81</v>
      </c>
      <c r="T35" s="107">
        <v>1</v>
      </c>
      <c r="U35" s="63">
        <v>0.97</v>
      </c>
      <c r="V35" s="63">
        <v>1</v>
      </c>
      <c r="W35" s="63">
        <v>1</v>
      </c>
      <c r="X35" s="63" t="s">
        <v>1785</v>
      </c>
      <c r="Y35" s="63" t="s">
        <v>1785</v>
      </c>
      <c r="Z35" s="63" t="s">
        <v>1785</v>
      </c>
    </row>
    <row r="36" spans="1:26" x14ac:dyDescent="0.25">
      <c r="E36" t="s">
        <v>378</v>
      </c>
      <c r="F36" t="s">
        <v>379</v>
      </c>
      <c r="J36" s="63" t="s">
        <v>1413</v>
      </c>
      <c r="K36" s="63" t="s">
        <v>1110</v>
      </c>
      <c r="O36" s="63" t="s">
        <v>1500</v>
      </c>
      <c r="P36" s="63">
        <v>1.18</v>
      </c>
      <c r="Q36" s="63">
        <v>1.18</v>
      </c>
      <c r="R36" s="63">
        <v>1.39</v>
      </c>
      <c r="S36" s="107">
        <v>1.39</v>
      </c>
      <c r="T36" s="107">
        <v>1.6</v>
      </c>
      <c r="U36" s="63">
        <v>1.39</v>
      </c>
      <c r="V36" s="63">
        <v>1.6</v>
      </c>
      <c r="W36" s="63">
        <v>1.6</v>
      </c>
      <c r="X36" s="63" t="s">
        <v>1785</v>
      </c>
      <c r="Y36" s="63" t="s">
        <v>1785</v>
      </c>
      <c r="Z36" s="63" t="s">
        <v>1785</v>
      </c>
    </row>
    <row r="37" spans="1:26" x14ac:dyDescent="0.25">
      <c r="E37" t="s">
        <v>382</v>
      </c>
      <c r="F37" t="s">
        <v>383</v>
      </c>
      <c r="J37" s="63" t="s">
        <v>1414</v>
      </c>
      <c r="K37" s="63" t="s">
        <v>1110</v>
      </c>
      <c r="O37" s="63" t="s">
        <v>2171</v>
      </c>
      <c r="P37" s="63">
        <v>0.8</v>
      </c>
      <c r="Q37" s="63">
        <v>0.8</v>
      </c>
      <c r="R37" s="63">
        <v>0.87</v>
      </c>
      <c r="S37" s="107">
        <v>0.87</v>
      </c>
      <c r="T37" s="107">
        <v>1</v>
      </c>
      <c r="U37" s="63">
        <v>0.96</v>
      </c>
      <c r="V37" s="63">
        <v>1</v>
      </c>
      <c r="W37" s="63">
        <v>1</v>
      </c>
      <c r="X37" s="63" t="s">
        <v>1785</v>
      </c>
      <c r="Y37" s="63" t="s">
        <v>1785</v>
      </c>
      <c r="Z37" s="63" t="s">
        <v>1785</v>
      </c>
    </row>
    <row r="38" spans="1:26" x14ac:dyDescent="0.25">
      <c r="A38" t="s">
        <v>466</v>
      </c>
      <c r="E38" t="s">
        <v>386</v>
      </c>
      <c r="F38" t="s">
        <v>387</v>
      </c>
      <c r="O38" s="63" t="s">
        <v>1502</v>
      </c>
      <c r="P38" s="63">
        <v>0.67</v>
      </c>
      <c r="Q38" s="63">
        <v>0.67</v>
      </c>
      <c r="R38" s="63">
        <v>0.87</v>
      </c>
      <c r="S38" s="107">
        <v>0.87</v>
      </c>
      <c r="T38" s="107">
        <v>1.1000000000000001</v>
      </c>
      <c r="U38" s="63">
        <v>0.87</v>
      </c>
      <c r="V38" s="63">
        <v>1.1000000000000001</v>
      </c>
      <c r="W38" s="63">
        <v>1.1000000000000001</v>
      </c>
      <c r="X38" s="63" t="s">
        <v>1785</v>
      </c>
      <c r="Y38" s="63" t="s">
        <v>1785</v>
      </c>
      <c r="Z38" s="63" t="s">
        <v>1785</v>
      </c>
    </row>
    <row r="39" spans="1:26" x14ac:dyDescent="0.25">
      <c r="A39" t="s">
        <v>464</v>
      </c>
      <c r="E39" t="s">
        <v>390</v>
      </c>
      <c r="F39" t="s">
        <v>391</v>
      </c>
      <c r="J39" t="s">
        <v>1099</v>
      </c>
      <c r="K39" t="s">
        <v>1100</v>
      </c>
      <c r="O39" s="63" t="s">
        <v>1503</v>
      </c>
      <c r="P39" s="63">
        <v>0.94</v>
      </c>
      <c r="Q39" s="63">
        <v>0.94</v>
      </c>
      <c r="R39" s="63">
        <v>1</v>
      </c>
      <c r="S39" s="107">
        <v>1</v>
      </c>
      <c r="T39" s="107">
        <v>1.3</v>
      </c>
      <c r="U39" s="63">
        <v>1.05</v>
      </c>
      <c r="V39" s="63">
        <v>1.3</v>
      </c>
      <c r="W39" s="63">
        <v>1.3</v>
      </c>
      <c r="X39" s="63" t="s">
        <v>1785</v>
      </c>
      <c r="Y39" s="63" t="s">
        <v>1785</v>
      </c>
      <c r="Z39" s="63" t="s">
        <v>1785</v>
      </c>
    </row>
    <row r="40" spans="1:26" x14ac:dyDescent="0.25">
      <c r="A40" t="s">
        <v>465</v>
      </c>
      <c r="E40" t="s">
        <v>394</v>
      </c>
      <c r="F40" t="s">
        <v>395</v>
      </c>
      <c r="J40" t="s">
        <v>1101</v>
      </c>
      <c r="K40">
        <v>0.10392999999999999</v>
      </c>
      <c r="O40" s="63" t="s">
        <v>353</v>
      </c>
      <c r="P40" s="63">
        <v>1.06</v>
      </c>
      <c r="Q40" s="63">
        <v>1.06</v>
      </c>
      <c r="R40" s="63">
        <v>1.26</v>
      </c>
      <c r="S40" s="107">
        <v>1.26</v>
      </c>
      <c r="T40" s="107">
        <v>1.4</v>
      </c>
      <c r="U40" s="63">
        <v>1.4</v>
      </c>
      <c r="V40" s="63">
        <v>1.5</v>
      </c>
      <c r="W40" s="63">
        <v>1.5</v>
      </c>
      <c r="X40" s="63" t="s">
        <v>1785</v>
      </c>
      <c r="Y40" s="63" t="s">
        <v>1785</v>
      </c>
      <c r="Z40" s="63" t="s">
        <v>1785</v>
      </c>
    </row>
    <row r="41" spans="1:26" x14ac:dyDescent="0.25">
      <c r="E41" t="s">
        <v>398</v>
      </c>
      <c r="F41" t="s">
        <v>399</v>
      </c>
      <c r="J41" t="s">
        <v>1102</v>
      </c>
      <c r="K41">
        <v>9.2289999999999997E-2</v>
      </c>
      <c r="O41" s="63" t="s">
        <v>1504</v>
      </c>
      <c r="P41" s="63">
        <v>0.81</v>
      </c>
      <c r="Q41" s="63">
        <v>0.81</v>
      </c>
      <c r="R41" s="63">
        <v>0.87</v>
      </c>
      <c r="S41" s="107">
        <v>0.87</v>
      </c>
      <c r="T41" s="107">
        <v>1.2</v>
      </c>
      <c r="U41" s="63">
        <v>0.99</v>
      </c>
      <c r="V41" s="63">
        <v>1.2</v>
      </c>
      <c r="W41" s="63">
        <v>1.2</v>
      </c>
      <c r="X41" s="63" t="s">
        <v>1785</v>
      </c>
      <c r="Y41" s="63" t="s">
        <v>1785</v>
      </c>
      <c r="Z41" s="63" t="s">
        <v>1785</v>
      </c>
    </row>
    <row r="42" spans="1:26" x14ac:dyDescent="0.25">
      <c r="E42" t="s">
        <v>402</v>
      </c>
      <c r="F42" t="s">
        <v>403</v>
      </c>
      <c r="J42" t="s">
        <v>1103</v>
      </c>
      <c r="K42">
        <v>8.0189999999999997E-2</v>
      </c>
      <c r="O42" s="63" t="s">
        <v>1505</v>
      </c>
      <c r="P42" s="63">
        <v>0.87</v>
      </c>
      <c r="Q42" s="63">
        <v>0.87</v>
      </c>
      <c r="R42" s="63">
        <v>0.91</v>
      </c>
      <c r="S42" s="107">
        <v>0.91</v>
      </c>
      <c r="T42" s="107">
        <v>1.1000000000000001</v>
      </c>
      <c r="U42" s="63">
        <v>0.78</v>
      </c>
      <c r="V42" s="63">
        <v>1.1000000000000001</v>
      </c>
      <c r="W42" s="63">
        <v>1.1000000000000001</v>
      </c>
      <c r="X42" s="63" t="s">
        <v>1785</v>
      </c>
      <c r="Y42" s="63" t="s">
        <v>1785</v>
      </c>
      <c r="Z42" s="63" t="s">
        <v>1785</v>
      </c>
    </row>
    <row r="43" spans="1:26" x14ac:dyDescent="0.25">
      <c r="A43" t="s">
        <v>1351</v>
      </c>
      <c r="E43" t="s">
        <v>406</v>
      </c>
      <c r="F43" t="s">
        <v>407</v>
      </c>
      <c r="J43" t="s">
        <v>1104</v>
      </c>
      <c r="K43">
        <v>6.1600000000000002E-2</v>
      </c>
      <c r="O43" s="63" t="s">
        <v>1506</v>
      </c>
      <c r="P43" s="63">
        <v>0.8</v>
      </c>
      <c r="Q43" s="63">
        <v>0.8</v>
      </c>
      <c r="R43" s="63">
        <v>0.89</v>
      </c>
      <c r="S43" s="107">
        <v>0.89</v>
      </c>
      <c r="T43" s="107">
        <v>1.1000000000000001</v>
      </c>
      <c r="U43" s="63">
        <v>0.92</v>
      </c>
      <c r="V43" s="63">
        <v>1.1000000000000001</v>
      </c>
      <c r="W43" s="63">
        <v>1.1000000000000001</v>
      </c>
      <c r="X43" s="63" t="s">
        <v>1785</v>
      </c>
      <c r="Y43" s="63" t="s">
        <v>1785</v>
      </c>
      <c r="Z43" s="63" t="s">
        <v>1785</v>
      </c>
    </row>
    <row r="44" spans="1:26" x14ac:dyDescent="0.25">
      <c r="A44" s="63" t="s">
        <v>1978</v>
      </c>
      <c r="E44" t="s">
        <v>410</v>
      </c>
      <c r="F44" t="s">
        <v>411</v>
      </c>
      <c r="J44" t="s">
        <v>1105</v>
      </c>
      <c r="K44" t="str">
        <f>""</f>
        <v/>
      </c>
      <c r="O44" s="63" t="s">
        <v>1507</v>
      </c>
      <c r="P44" s="63">
        <v>0.61</v>
      </c>
      <c r="Q44" s="63">
        <v>0.61</v>
      </c>
      <c r="R44" s="63">
        <v>0.7</v>
      </c>
      <c r="S44" s="107">
        <v>0.7</v>
      </c>
      <c r="T44" s="107">
        <v>1</v>
      </c>
      <c r="U44" s="63">
        <v>0.77</v>
      </c>
      <c r="V44" s="63">
        <v>1</v>
      </c>
      <c r="W44" s="63">
        <v>1</v>
      </c>
      <c r="X44" s="63" t="s">
        <v>1785</v>
      </c>
      <c r="Y44" s="63" t="s">
        <v>1785</v>
      </c>
      <c r="Z44" s="63" t="s">
        <v>1785</v>
      </c>
    </row>
    <row r="45" spans="1:26" x14ac:dyDescent="0.25">
      <c r="A45" s="63" t="s">
        <v>2164</v>
      </c>
      <c r="E45" t="s">
        <v>414</v>
      </c>
      <c r="F45" t="s">
        <v>415</v>
      </c>
      <c r="O45" s="63" t="s">
        <v>354</v>
      </c>
      <c r="P45" s="63">
        <v>0.48</v>
      </c>
      <c r="Q45" s="63">
        <v>0.48</v>
      </c>
      <c r="R45" s="63">
        <v>0.66</v>
      </c>
      <c r="S45" s="107">
        <v>0.66</v>
      </c>
      <c r="T45" s="107">
        <v>0.6</v>
      </c>
      <c r="U45" s="63">
        <v>0.66</v>
      </c>
      <c r="V45" s="63">
        <v>0.8</v>
      </c>
      <c r="W45" s="63">
        <v>0.8</v>
      </c>
      <c r="X45" s="63" t="s">
        <v>1785</v>
      </c>
      <c r="Y45" s="63" t="s">
        <v>1785</v>
      </c>
      <c r="Z45" s="63" t="s">
        <v>1785</v>
      </c>
    </row>
    <row r="46" spans="1:26" x14ac:dyDescent="0.25">
      <c r="A46" s="63" t="s">
        <v>1943</v>
      </c>
      <c r="E46" t="s">
        <v>418</v>
      </c>
      <c r="F46" t="s">
        <v>419</v>
      </c>
      <c r="O46" s="63" t="s">
        <v>1508</v>
      </c>
      <c r="P46" s="63">
        <v>0.9</v>
      </c>
      <c r="Q46" s="63">
        <v>0.9</v>
      </c>
      <c r="R46" s="63">
        <v>1.19</v>
      </c>
      <c r="S46" s="107">
        <v>1.19</v>
      </c>
      <c r="T46" s="107">
        <v>1.4</v>
      </c>
      <c r="U46" s="63">
        <v>1.2</v>
      </c>
      <c r="V46" s="63">
        <v>1.4</v>
      </c>
      <c r="W46" s="63">
        <v>1.4</v>
      </c>
      <c r="X46" s="63" t="s">
        <v>1785</v>
      </c>
      <c r="Y46" s="63" t="s">
        <v>1785</v>
      </c>
      <c r="Z46" s="63" t="s">
        <v>1785</v>
      </c>
    </row>
    <row r="47" spans="1:26" x14ac:dyDescent="0.25">
      <c r="A47" s="63" t="s">
        <v>2286</v>
      </c>
      <c r="E47" t="s">
        <v>422</v>
      </c>
      <c r="F47" t="s">
        <v>423</v>
      </c>
      <c r="J47" t="s">
        <v>473</v>
      </c>
      <c r="K47" t="s">
        <v>1159</v>
      </c>
    </row>
    <row r="48" spans="1:26" x14ac:dyDescent="0.25">
      <c r="A48" t="s">
        <v>1980</v>
      </c>
      <c r="E48" t="s">
        <v>426</v>
      </c>
      <c r="F48" t="s">
        <v>427</v>
      </c>
      <c r="J48" t="s">
        <v>488</v>
      </c>
      <c r="K48" t="s">
        <v>1160</v>
      </c>
    </row>
    <row r="49" spans="1:15" x14ac:dyDescent="0.25">
      <c r="A49" s="63" t="s">
        <v>1981</v>
      </c>
      <c r="E49" t="s">
        <v>430</v>
      </c>
      <c r="F49" t="s">
        <v>431</v>
      </c>
      <c r="J49" t="s">
        <v>490</v>
      </c>
      <c r="K49" t="s">
        <v>490</v>
      </c>
      <c r="O49" t="s">
        <v>1946</v>
      </c>
    </row>
    <row r="50" spans="1:15" ht="15" customHeight="1" x14ac:dyDescent="0.25">
      <c r="A50" t="s">
        <v>2163</v>
      </c>
      <c r="E50" t="s">
        <v>434</v>
      </c>
      <c r="F50" t="s">
        <v>435</v>
      </c>
      <c r="J50" t="s">
        <v>491</v>
      </c>
      <c r="K50" t="s">
        <v>1161</v>
      </c>
      <c r="O50" t="s">
        <v>1962</v>
      </c>
    </row>
    <row r="51" spans="1:15" x14ac:dyDescent="0.25">
      <c r="A51" t="s">
        <v>2181</v>
      </c>
      <c r="E51" t="s">
        <v>438</v>
      </c>
      <c r="F51" t="s">
        <v>439</v>
      </c>
      <c r="J51" t="s">
        <v>492</v>
      </c>
      <c r="K51" t="s">
        <v>1162</v>
      </c>
      <c r="O51" t="s">
        <v>1947</v>
      </c>
    </row>
    <row r="52" spans="1:15" x14ac:dyDescent="0.25">
      <c r="E52" t="s">
        <v>442</v>
      </c>
      <c r="F52" t="s">
        <v>443</v>
      </c>
      <c r="J52" t="s">
        <v>489</v>
      </c>
      <c r="K52" t="s">
        <v>489</v>
      </c>
      <c r="O52" t="s">
        <v>1948</v>
      </c>
    </row>
    <row r="53" spans="1:15" ht="15" customHeight="1" x14ac:dyDescent="0.25">
      <c r="A53" s="63" t="s">
        <v>1905</v>
      </c>
      <c r="E53" t="s">
        <v>446</v>
      </c>
      <c r="F53" t="s">
        <v>447</v>
      </c>
      <c r="O53" t="s">
        <v>1949</v>
      </c>
    </row>
    <row r="54" spans="1:15" x14ac:dyDescent="0.25">
      <c r="A54" t="s">
        <v>1938</v>
      </c>
      <c r="E54" t="s">
        <v>450</v>
      </c>
      <c r="F54" t="s">
        <v>451</v>
      </c>
      <c r="O54" t="s">
        <v>1950</v>
      </c>
    </row>
    <row r="55" spans="1:15" x14ac:dyDescent="0.25">
      <c r="A55" t="s">
        <v>2280</v>
      </c>
      <c r="E55" t="s">
        <v>454</v>
      </c>
      <c r="F55" t="s">
        <v>455</v>
      </c>
      <c r="J55" t="s">
        <v>1932</v>
      </c>
      <c r="O55" t="s">
        <v>1951</v>
      </c>
    </row>
    <row r="56" spans="1:15" x14ac:dyDescent="0.25">
      <c r="A56" s="63" t="s">
        <v>1906</v>
      </c>
      <c r="E56" t="s">
        <v>2324</v>
      </c>
      <c r="F56" t="s">
        <v>2325</v>
      </c>
      <c r="J56" t="s">
        <v>167</v>
      </c>
      <c r="O56" t="s">
        <v>1952</v>
      </c>
    </row>
    <row r="57" spans="1:15" x14ac:dyDescent="0.25">
      <c r="A57" s="63" t="s">
        <v>1940</v>
      </c>
      <c r="E57" t="s">
        <v>2326</v>
      </c>
      <c r="F57" t="s">
        <v>2327</v>
      </c>
      <c r="J57" t="s">
        <v>591</v>
      </c>
      <c r="O57" t="s">
        <v>1953</v>
      </c>
    </row>
    <row r="58" spans="1:15" s="63" customFormat="1" x14ac:dyDescent="0.25">
      <c r="A58" s="63" t="s">
        <v>1944</v>
      </c>
      <c r="E58" t="s">
        <v>2328</v>
      </c>
      <c r="F58" t="s">
        <v>2329</v>
      </c>
      <c r="O58" s="63" t="s">
        <v>1954</v>
      </c>
    </row>
    <row r="59" spans="1:15" s="63" customFormat="1" x14ac:dyDescent="0.25">
      <c r="A59" s="63" t="s">
        <v>1978</v>
      </c>
      <c r="E59" s="63" t="s">
        <v>2330</v>
      </c>
      <c r="F59" s="63" t="s">
        <v>2331</v>
      </c>
      <c r="O59" s="63" t="s">
        <v>1955</v>
      </c>
    </row>
    <row r="60" spans="1:15" x14ac:dyDescent="0.25">
      <c r="A60" t="s">
        <v>2314</v>
      </c>
      <c r="E60" s="63" t="s">
        <v>2332</v>
      </c>
      <c r="F60" s="63" t="s">
        <v>2333</v>
      </c>
      <c r="O60" t="s">
        <v>1956</v>
      </c>
    </row>
    <row r="61" spans="1:15" x14ac:dyDescent="0.25">
      <c r="E61" t="s">
        <v>2334</v>
      </c>
      <c r="F61" t="s">
        <v>2335</v>
      </c>
      <c r="O61" t="s">
        <v>1957</v>
      </c>
    </row>
    <row r="62" spans="1:15" x14ac:dyDescent="0.25">
      <c r="A62" s="73" t="s">
        <v>1058</v>
      </c>
      <c r="E62" t="s">
        <v>2336</v>
      </c>
      <c r="F62" t="s">
        <v>2337</v>
      </c>
      <c r="O62" t="s">
        <v>1958</v>
      </c>
    </row>
    <row r="63" spans="1:15" x14ac:dyDescent="0.25">
      <c r="A63" t="s">
        <v>1059</v>
      </c>
      <c r="E63" t="s">
        <v>2338</v>
      </c>
      <c r="F63" t="s">
        <v>2339</v>
      </c>
      <c r="O63" t="s">
        <v>1959</v>
      </c>
    </row>
    <row r="64" spans="1:15" x14ac:dyDescent="0.25">
      <c r="A64" t="s">
        <v>1060</v>
      </c>
      <c r="E64" t="s">
        <v>2340</v>
      </c>
      <c r="F64" t="s">
        <v>2341</v>
      </c>
      <c r="O64" t="s">
        <v>1960</v>
      </c>
    </row>
    <row r="65" spans="1:6" x14ac:dyDescent="0.25">
      <c r="A65" t="s">
        <v>1061</v>
      </c>
      <c r="E65" t="s">
        <v>2342</v>
      </c>
      <c r="F65" t="s">
        <v>2343</v>
      </c>
    </row>
    <row r="66" spans="1:6" x14ac:dyDescent="0.25">
      <c r="A66" t="s">
        <v>1062</v>
      </c>
      <c r="E66" t="s">
        <v>2344</v>
      </c>
      <c r="F66" t="s">
        <v>2345</v>
      </c>
    </row>
    <row r="67" spans="1:6" x14ac:dyDescent="0.25">
      <c r="A67" t="s">
        <v>1063</v>
      </c>
      <c r="E67" t="s">
        <v>2346</v>
      </c>
      <c r="F67" t="s">
        <v>2347</v>
      </c>
    </row>
    <row r="68" spans="1:6" x14ac:dyDescent="0.25">
      <c r="A68" t="s">
        <v>1064</v>
      </c>
      <c r="E68" t="s">
        <v>2348</v>
      </c>
      <c r="F68" t="s">
        <v>2349</v>
      </c>
    </row>
    <row r="69" spans="1:6" x14ac:dyDescent="0.25">
      <c r="A69" t="s">
        <v>1065</v>
      </c>
    </row>
    <row r="70" spans="1:6" x14ac:dyDescent="0.25">
      <c r="A70" s="63" t="s">
        <v>969</v>
      </c>
      <c r="E70" t="s">
        <v>2360</v>
      </c>
    </row>
    <row r="71" spans="1:6" x14ac:dyDescent="0.25">
      <c r="E71" t="s">
        <v>2361</v>
      </c>
    </row>
    <row r="72" spans="1:6" x14ac:dyDescent="0.25">
      <c r="A72" t="s">
        <v>1066</v>
      </c>
      <c r="E72" t="s">
        <v>2362</v>
      </c>
    </row>
    <row r="73" spans="1:6" x14ac:dyDescent="0.25">
      <c r="A73" t="s">
        <v>1067</v>
      </c>
      <c r="E73" t="s">
        <v>2363</v>
      </c>
    </row>
    <row r="74" spans="1:6" x14ac:dyDescent="0.25">
      <c r="A74" t="s">
        <v>86</v>
      </c>
      <c r="E74" t="s">
        <v>2364</v>
      </c>
    </row>
    <row r="75" spans="1:6" x14ac:dyDescent="0.25">
      <c r="A75" t="s">
        <v>1068</v>
      </c>
      <c r="E75" t="s">
        <v>2365</v>
      </c>
    </row>
    <row r="76" spans="1:6" x14ac:dyDescent="0.25">
      <c r="A76" t="s">
        <v>1069</v>
      </c>
      <c r="E76" t="s">
        <v>2366</v>
      </c>
    </row>
    <row r="77" spans="1:6" x14ac:dyDescent="0.25">
      <c r="E77" t="s">
        <v>2367</v>
      </c>
    </row>
    <row r="78" spans="1:6" x14ac:dyDescent="0.25">
      <c r="E78" t="s">
        <v>2368</v>
      </c>
    </row>
    <row r="79" spans="1:6" x14ac:dyDescent="0.25">
      <c r="A79" t="s">
        <v>495</v>
      </c>
      <c r="E79" t="s">
        <v>2369</v>
      </c>
    </row>
    <row r="80" spans="1:6" x14ac:dyDescent="0.25">
      <c r="A80" s="63" t="s">
        <v>1895</v>
      </c>
      <c r="C80" t="s">
        <v>2256</v>
      </c>
      <c r="E80" t="s">
        <v>2370</v>
      </c>
    </row>
    <row r="81" spans="1:5" x14ac:dyDescent="0.25">
      <c r="A81" s="63" t="s">
        <v>1459</v>
      </c>
      <c r="C81" t="s">
        <v>2257</v>
      </c>
      <c r="E81" t="s">
        <v>2371</v>
      </c>
    </row>
    <row r="82" spans="1:5" x14ac:dyDescent="0.25">
      <c r="A82" t="s">
        <v>1302</v>
      </c>
      <c r="C82" t="s">
        <v>2258</v>
      </c>
      <c r="E82" t="s">
        <v>2372</v>
      </c>
    </row>
    <row r="83" spans="1:5" x14ac:dyDescent="0.25">
      <c r="A83" t="s">
        <v>1896</v>
      </c>
      <c r="C83" t="s">
        <v>2259</v>
      </c>
      <c r="E83" t="s">
        <v>2373</v>
      </c>
    </row>
    <row r="84" spans="1:5" x14ac:dyDescent="0.25">
      <c r="A84" t="s">
        <v>1106</v>
      </c>
      <c r="C84" t="s">
        <v>2260</v>
      </c>
      <c r="E84" t="s">
        <v>170</v>
      </c>
    </row>
    <row r="85" spans="1:5" x14ac:dyDescent="0.25">
      <c r="A85" s="63" t="s">
        <v>1110</v>
      </c>
      <c r="C85" t="s">
        <v>2261</v>
      </c>
    </row>
    <row r="86" spans="1:5" x14ac:dyDescent="0.25">
      <c r="A86" t="s">
        <v>1371</v>
      </c>
      <c r="C86" t="s">
        <v>2262</v>
      </c>
    </row>
    <row r="90" spans="1:5" x14ac:dyDescent="0.25">
      <c r="A90" s="63" t="s">
        <v>1460</v>
      </c>
    </row>
    <row r="91" spans="1:5" x14ac:dyDescent="0.25">
      <c r="A91" s="63" t="s">
        <v>1461</v>
      </c>
    </row>
    <row r="92" spans="1:5" x14ac:dyDescent="0.25">
      <c r="A92" s="63" t="s">
        <v>1462</v>
      </c>
    </row>
    <row r="93" spans="1:5" x14ac:dyDescent="0.25">
      <c r="A93" s="63" t="s">
        <v>1463</v>
      </c>
    </row>
    <row r="94" spans="1:5" x14ac:dyDescent="0.25">
      <c r="A94" s="63" t="s">
        <v>1464</v>
      </c>
    </row>
    <row r="98" spans="1:1" x14ac:dyDescent="0.25">
      <c r="A98" s="63" t="s">
        <v>1465</v>
      </c>
    </row>
    <row r="99" spans="1:1" x14ac:dyDescent="0.25">
      <c r="A99" s="63" t="s">
        <v>1466</v>
      </c>
    </row>
    <row r="100" spans="1:1" x14ac:dyDescent="0.25">
      <c r="A100" s="63" t="s">
        <v>1467</v>
      </c>
    </row>
    <row r="101" spans="1:1" x14ac:dyDescent="0.25">
      <c r="A101" s="63" t="s">
        <v>1468</v>
      </c>
    </row>
    <row r="102" spans="1:1" x14ac:dyDescent="0.25">
      <c r="A102" t="s">
        <v>1984</v>
      </c>
    </row>
    <row r="103" spans="1:1" x14ac:dyDescent="0.25">
      <c r="A103" t="s">
        <v>2172</v>
      </c>
    </row>
    <row r="104" spans="1:1" x14ac:dyDescent="0.25">
      <c r="A104" t="s">
        <v>2173</v>
      </c>
    </row>
    <row r="105" spans="1:1" x14ac:dyDescent="0.25">
      <c r="A105" t="s">
        <v>2174</v>
      </c>
    </row>
    <row r="106" spans="1:1" x14ac:dyDescent="0.25">
      <c r="A106" t="s">
        <v>2175</v>
      </c>
    </row>
    <row r="107" spans="1:1" x14ac:dyDescent="0.25">
      <c r="A107" s="63" t="s">
        <v>1469</v>
      </c>
    </row>
    <row r="108" spans="1:1" x14ac:dyDescent="0.25">
      <c r="A108" s="63" t="s">
        <v>1470</v>
      </c>
    </row>
    <row r="109" spans="1:1" x14ac:dyDescent="0.25">
      <c r="A109" s="63" t="s">
        <v>1471</v>
      </c>
    </row>
    <row r="110" spans="1:1" x14ac:dyDescent="0.25">
      <c r="A110" s="63"/>
    </row>
    <row r="111" spans="1:1" x14ac:dyDescent="0.25">
      <c r="A111" s="63" t="s">
        <v>495</v>
      </c>
    </row>
    <row r="112" spans="1:1" x14ac:dyDescent="0.25">
      <c r="A112" s="63" t="s">
        <v>1472</v>
      </c>
    </row>
    <row r="113" spans="1:1" x14ac:dyDescent="0.25">
      <c r="A113" s="63" t="s">
        <v>1473</v>
      </c>
    </row>
    <row r="114" spans="1:1" x14ac:dyDescent="0.25">
      <c r="A114" s="63" t="s">
        <v>1474</v>
      </c>
    </row>
    <row r="115" spans="1:1" x14ac:dyDescent="0.25">
      <c r="A115" s="63" t="s">
        <v>1475</v>
      </c>
    </row>
    <row r="116" spans="1:1" x14ac:dyDescent="0.25">
      <c r="A116" s="63" t="s">
        <v>1476</v>
      </c>
    </row>
    <row r="117" spans="1:1" x14ac:dyDescent="0.25">
      <c r="A117" s="63" t="s">
        <v>1477</v>
      </c>
    </row>
    <row r="118" spans="1:1" x14ac:dyDescent="0.25">
      <c r="A118" s="63" t="s">
        <v>1478</v>
      </c>
    </row>
  </sheetData>
  <sheetProtection algorithmName="SHA-512" hashValue="hoq40XVBUjalmTudidzyy01NFV+ocB5vWGkx9SBJk+kyJFuemL98cooMhjod6//Ce/Sh4LPACtANQzj0FqpBTQ==" saltValue="B/BUcLmyA7Q+cxaaWICQvQ==" spinCount="100000" sheet="1" objects="1" scenarios="1"/>
  <pageMargins left="0.7" right="0.7" top="0.75" bottom="0.75" header="0.3" footer="0.3"/>
  <tableParts count="23">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3"/>
  <dimension ref="A1:G300"/>
  <sheetViews>
    <sheetView topLeftCell="A32" zoomScaleNormal="100" workbookViewId="0">
      <selection activeCell="B42" sqref="B42"/>
    </sheetView>
  </sheetViews>
  <sheetFormatPr defaultRowHeight="15.75" x14ac:dyDescent="0.3"/>
  <cols>
    <col min="1" max="1" width="14.140625" style="42" bestFit="1" customWidth="1"/>
    <col min="2" max="2" width="16.28515625" style="42" customWidth="1"/>
    <col min="3" max="3" width="8.28515625" style="42" bestFit="1" customWidth="1"/>
    <col min="4" max="4" width="116.5703125" style="42" customWidth="1"/>
    <col min="5" max="5" width="67.140625" customWidth="1"/>
  </cols>
  <sheetData>
    <row r="1" spans="1:7" ht="15" x14ac:dyDescent="0.25">
      <c r="A1" s="709" t="s">
        <v>187</v>
      </c>
      <c r="B1" s="709"/>
      <c r="C1" s="709"/>
      <c r="D1" s="709"/>
    </row>
    <row r="2" spans="1:7" ht="15" x14ac:dyDescent="0.25">
      <c r="A2" s="709"/>
      <c r="B2" s="709"/>
      <c r="C2" s="709"/>
      <c r="D2" s="709"/>
    </row>
    <row r="3" spans="1:7" ht="15" x14ac:dyDescent="0.25">
      <c r="A3" s="709"/>
      <c r="B3" s="709"/>
      <c r="C3" s="709"/>
      <c r="D3" s="709"/>
    </row>
    <row r="4" spans="1:7" ht="15" x14ac:dyDescent="0.25">
      <c r="A4" s="36" t="s">
        <v>190</v>
      </c>
      <c r="B4" s="36" t="s">
        <v>188</v>
      </c>
      <c r="C4" s="36" t="s">
        <v>189</v>
      </c>
      <c r="D4" s="37" t="s">
        <v>191</v>
      </c>
      <c r="F4" s="36" t="s">
        <v>1390</v>
      </c>
    </row>
    <row r="5" spans="1:7" x14ac:dyDescent="0.3">
      <c r="A5" s="535">
        <v>42464</v>
      </c>
      <c r="B5" s="536" t="s">
        <v>1333</v>
      </c>
      <c r="C5" s="537" t="s">
        <v>1334</v>
      </c>
      <c r="D5" s="538" t="s">
        <v>1335</v>
      </c>
      <c r="F5" t="s">
        <v>1386</v>
      </c>
      <c r="G5" t="s">
        <v>1389</v>
      </c>
    </row>
    <row r="6" spans="1:7" ht="54" x14ac:dyDescent="0.3">
      <c r="A6" s="535">
        <v>42467</v>
      </c>
      <c r="B6" s="536" t="s">
        <v>1333</v>
      </c>
      <c r="C6" s="537" t="s">
        <v>1365</v>
      </c>
      <c r="D6" s="538" t="s">
        <v>1383</v>
      </c>
      <c r="F6" t="s">
        <v>1387</v>
      </c>
      <c r="G6" t="s">
        <v>1405</v>
      </c>
    </row>
    <row r="7" spans="1:7" ht="40.5" x14ac:dyDescent="0.3">
      <c r="A7" s="535">
        <v>42472</v>
      </c>
      <c r="B7" s="536" t="s">
        <v>1333</v>
      </c>
      <c r="C7" s="537" t="s">
        <v>1366</v>
      </c>
      <c r="D7" s="538" t="s">
        <v>1384</v>
      </c>
      <c r="F7" t="s">
        <v>1388</v>
      </c>
      <c r="G7" t="s">
        <v>1394</v>
      </c>
    </row>
    <row r="8" spans="1:7" ht="54" x14ac:dyDescent="0.3">
      <c r="A8" s="535">
        <v>42489</v>
      </c>
      <c r="B8" s="536" t="s">
        <v>1333</v>
      </c>
      <c r="C8" s="537" t="s">
        <v>1373</v>
      </c>
      <c r="D8" s="538" t="s">
        <v>1385</v>
      </c>
    </row>
    <row r="9" spans="1:7" ht="121.5" x14ac:dyDescent="0.3">
      <c r="A9" s="535">
        <v>42510</v>
      </c>
      <c r="B9" s="536" t="s">
        <v>1333</v>
      </c>
      <c r="C9" s="537" t="s">
        <v>1392</v>
      </c>
      <c r="D9" s="538" t="s">
        <v>1391</v>
      </c>
    </row>
    <row r="10" spans="1:7" x14ac:dyDescent="0.3">
      <c r="A10" s="535">
        <v>42514</v>
      </c>
      <c r="B10" s="536" t="s">
        <v>1333</v>
      </c>
      <c r="C10" s="537" t="s">
        <v>1393</v>
      </c>
      <c r="D10" s="538" t="s">
        <v>1395</v>
      </c>
    </row>
    <row r="11" spans="1:7" x14ac:dyDescent="0.3">
      <c r="A11" s="535">
        <v>42517</v>
      </c>
      <c r="B11" s="536" t="s">
        <v>1333</v>
      </c>
      <c r="C11" s="537" t="s">
        <v>1400</v>
      </c>
      <c r="D11" s="538" t="s">
        <v>1401</v>
      </c>
    </row>
    <row r="12" spans="1:7" ht="81" x14ac:dyDescent="0.3">
      <c r="A12" s="535">
        <v>42543</v>
      </c>
      <c r="B12" s="536" t="s">
        <v>1333</v>
      </c>
      <c r="C12" s="537" t="s">
        <v>1415</v>
      </c>
      <c r="D12" s="538" t="s">
        <v>1416</v>
      </c>
    </row>
    <row r="13" spans="1:7" x14ac:dyDescent="0.3">
      <c r="A13" s="535">
        <v>42544</v>
      </c>
      <c r="B13" s="536" t="s">
        <v>1333</v>
      </c>
      <c r="C13" s="537" t="s">
        <v>1419</v>
      </c>
      <c r="D13" s="538" t="s">
        <v>1420</v>
      </c>
    </row>
    <row r="14" spans="1:7" ht="94.5" x14ac:dyDescent="0.3">
      <c r="A14" s="38">
        <v>42614</v>
      </c>
      <c r="B14" s="39" t="s">
        <v>1333</v>
      </c>
      <c r="C14" s="40" t="s">
        <v>1920</v>
      </c>
      <c r="D14" s="41" t="s">
        <v>1927</v>
      </c>
    </row>
    <row r="15" spans="1:7" ht="162" x14ac:dyDescent="0.3">
      <c r="A15" s="38">
        <v>42696</v>
      </c>
      <c r="B15" s="39" t="s">
        <v>1928</v>
      </c>
      <c r="C15" s="40" t="s">
        <v>1929</v>
      </c>
      <c r="D15" s="41" t="s">
        <v>1933</v>
      </c>
    </row>
    <row r="16" spans="1:7" x14ac:dyDescent="0.3">
      <c r="A16" s="38">
        <v>42720</v>
      </c>
      <c r="B16" s="39" t="s">
        <v>1928</v>
      </c>
      <c r="C16" s="40" t="s">
        <v>1934</v>
      </c>
      <c r="D16" s="41" t="s">
        <v>1935</v>
      </c>
    </row>
    <row r="17" spans="1:5" ht="108" x14ac:dyDescent="0.3">
      <c r="A17" s="38">
        <v>42794</v>
      </c>
      <c r="B17" s="39" t="s">
        <v>1928</v>
      </c>
      <c r="C17" s="40" t="s">
        <v>1936</v>
      </c>
      <c r="D17" s="41" t="s">
        <v>1939</v>
      </c>
    </row>
    <row r="18" spans="1:5" x14ac:dyDescent="0.3">
      <c r="A18" s="38">
        <v>42797</v>
      </c>
      <c r="B18" s="39" t="s">
        <v>1333</v>
      </c>
      <c r="C18" s="40" t="s">
        <v>1941</v>
      </c>
      <c r="D18" s="41" t="s">
        <v>1942</v>
      </c>
    </row>
    <row r="19" spans="1:5" ht="67.5" x14ac:dyDescent="0.3">
      <c r="A19" s="38">
        <v>42845</v>
      </c>
      <c r="B19" s="39" t="s">
        <v>1928</v>
      </c>
      <c r="C19" s="40" t="s">
        <v>1945</v>
      </c>
      <c r="D19" s="41" t="s">
        <v>1963</v>
      </c>
    </row>
    <row r="20" spans="1:5" ht="81" x14ac:dyDescent="0.3">
      <c r="A20" s="38">
        <v>42979</v>
      </c>
      <c r="B20" s="39" t="s">
        <v>1928</v>
      </c>
      <c r="C20" s="40" t="s">
        <v>1964</v>
      </c>
      <c r="D20" s="41" t="s">
        <v>1976</v>
      </c>
    </row>
    <row r="21" spans="1:5" ht="40.5" x14ac:dyDescent="0.3">
      <c r="A21" s="38">
        <v>43090</v>
      </c>
      <c r="B21" s="39" t="s">
        <v>1928</v>
      </c>
      <c r="C21" s="40" t="s">
        <v>1977</v>
      </c>
      <c r="D21" s="41" t="s">
        <v>1979</v>
      </c>
    </row>
    <row r="22" spans="1:5" ht="40.5" x14ac:dyDescent="0.3">
      <c r="A22" s="38">
        <v>43224</v>
      </c>
      <c r="B22" s="39" t="s">
        <v>1928</v>
      </c>
      <c r="C22" s="40" t="s">
        <v>1982</v>
      </c>
      <c r="D22" s="41" t="s">
        <v>1983</v>
      </c>
    </row>
    <row r="23" spans="1:5" ht="27" x14ac:dyDescent="0.3">
      <c r="A23" s="38">
        <v>43333</v>
      </c>
      <c r="B23" s="39" t="s">
        <v>1928</v>
      </c>
      <c r="C23" s="40" t="s">
        <v>1987</v>
      </c>
      <c r="D23" s="41" t="s">
        <v>1988</v>
      </c>
    </row>
    <row r="24" spans="1:5" ht="40.5" x14ac:dyDescent="0.3">
      <c r="A24" s="38">
        <v>43371</v>
      </c>
      <c r="B24" s="39" t="s">
        <v>1928</v>
      </c>
      <c r="C24" s="40" t="s">
        <v>1991</v>
      </c>
      <c r="D24" s="41" t="s">
        <v>1992</v>
      </c>
    </row>
    <row r="25" spans="1:5" ht="189" x14ac:dyDescent="0.3">
      <c r="A25" s="38">
        <v>43510</v>
      </c>
      <c r="B25" s="39" t="s">
        <v>1995</v>
      </c>
      <c r="C25" s="40" t="s">
        <v>1996</v>
      </c>
      <c r="D25" s="41" t="s">
        <v>1999</v>
      </c>
      <c r="E25" s="20"/>
    </row>
    <row r="26" spans="1:5" ht="54" x14ac:dyDescent="0.3">
      <c r="A26" s="38">
        <v>43525</v>
      </c>
      <c r="B26" s="39" t="s">
        <v>1928</v>
      </c>
      <c r="C26" s="40" t="s">
        <v>1996</v>
      </c>
      <c r="D26" s="41" t="s">
        <v>2149</v>
      </c>
    </row>
    <row r="27" spans="1:5" ht="40.5" x14ac:dyDescent="0.3">
      <c r="A27" s="38">
        <v>43528</v>
      </c>
      <c r="B27" s="39" t="s">
        <v>1928</v>
      </c>
      <c r="C27" s="40" t="s">
        <v>2165</v>
      </c>
      <c r="D27" s="41" t="s">
        <v>2166</v>
      </c>
    </row>
    <row r="28" spans="1:5" x14ac:dyDescent="0.3">
      <c r="A28" s="38">
        <v>43588</v>
      </c>
      <c r="B28" s="39" t="s">
        <v>1928</v>
      </c>
      <c r="C28" s="40" t="s">
        <v>2167</v>
      </c>
      <c r="D28" s="41" t="s">
        <v>2168</v>
      </c>
    </row>
    <row r="29" spans="1:5" x14ac:dyDescent="0.3">
      <c r="A29" s="38">
        <v>43616</v>
      </c>
      <c r="B29" s="39" t="s">
        <v>1928</v>
      </c>
      <c r="C29" s="40" t="s">
        <v>2169</v>
      </c>
      <c r="D29" s="41" t="s">
        <v>2170</v>
      </c>
    </row>
    <row r="30" spans="1:5" ht="27" x14ac:dyDescent="0.3">
      <c r="A30" s="38">
        <v>43649</v>
      </c>
      <c r="B30" s="39" t="s">
        <v>1928</v>
      </c>
      <c r="C30" s="40" t="s">
        <v>2177</v>
      </c>
      <c r="D30" s="41" t="s">
        <v>2178</v>
      </c>
    </row>
    <row r="31" spans="1:5" ht="40.5" x14ac:dyDescent="0.3">
      <c r="A31" s="38">
        <v>43707</v>
      </c>
      <c r="B31" s="39" t="s">
        <v>1928</v>
      </c>
      <c r="C31" s="40" t="s">
        <v>2179</v>
      </c>
      <c r="D31" s="41" t="s">
        <v>2180</v>
      </c>
    </row>
    <row r="32" spans="1:5" x14ac:dyDescent="0.3">
      <c r="A32" s="38">
        <v>43832</v>
      </c>
      <c r="B32" s="39" t="s">
        <v>1928</v>
      </c>
      <c r="C32" s="40" t="s">
        <v>2268</v>
      </c>
      <c r="D32" s="41" t="s">
        <v>2278</v>
      </c>
    </row>
    <row r="33" spans="1:4" x14ac:dyDescent="0.3">
      <c r="A33" s="38">
        <v>43847</v>
      </c>
      <c r="B33" s="39" t="s">
        <v>1928</v>
      </c>
      <c r="C33" s="40" t="s">
        <v>2277</v>
      </c>
      <c r="D33" s="41" t="s">
        <v>2269</v>
      </c>
    </row>
    <row r="34" spans="1:4" ht="54" x14ac:dyDescent="0.3">
      <c r="A34" s="38">
        <v>43861</v>
      </c>
      <c r="B34" s="39" t="s">
        <v>1928</v>
      </c>
      <c r="C34" s="40" t="s">
        <v>2279</v>
      </c>
      <c r="D34" s="41" t="s">
        <v>2282</v>
      </c>
    </row>
    <row r="35" spans="1:4" x14ac:dyDescent="0.3">
      <c r="A35" s="38">
        <v>43951</v>
      </c>
      <c r="B35" s="39" t="s">
        <v>1928</v>
      </c>
      <c r="C35" s="40" t="s">
        <v>2284</v>
      </c>
      <c r="D35" s="41" t="s">
        <v>2285</v>
      </c>
    </row>
    <row r="36" spans="1:4" ht="27" x14ac:dyDescent="0.3">
      <c r="A36" s="38">
        <v>43987</v>
      </c>
      <c r="B36" s="39" t="s">
        <v>1928</v>
      </c>
      <c r="C36" s="40" t="s">
        <v>2287</v>
      </c>
      <c r="D36" s="41" t="s">
        <v>2288</v>
      </c>
    </row>
    <row r="37" spans="1:4" ht="108" x14ac:dyDescent="0.3">
      <c r="A37" s="38">
        <v>44013</v>
      </c>
      <c r="B37" s="39" t="s">
        <v>1928</v>
      </c>
      <c r="C37" s="40" t="s">
        <v>2289</v>
      </c>
      <c r="D37" s="41" t="s">
        <v>2315</v>
      </c>
    </row>
    <row r="38" spans="1:4" ht="27" x14ac:dyDescent="0.3">
      <c r="A38" s="38">
        <v>44020</v>
      </c>
      <c r="B38" s="39" t="s">
        <v>1928</v>
      </c>
      <c r="C38" s="40" t="s">
        <v>2319</v>
      </c>
      <c r="D38" s="41" t="s">
        <v>2320</v>
      </c>
    </row>
    <row r="39" spans="1:4" x14ac:dyDescent="0.3">
      <c r="A39" s="38">
        <v>44106</v>
      </c>
      <c r="B39" s="39" t="s">
        <v>1928</v>
      </c>
      <c r="C39" s="40" t="s">
        <v>2321</v>
      </c>
      <c r="D39" s="41" t="s">
        <v>2322</v>
      </c>
    </row>
    <row r="40" spans="1:4" ht="67.5" x14ac:dyDescent="0.3">
      <c r="A40" s="38">
        <v>44249</v>
      </c>
      <c r="B40" s="39" t="s">
        <v>1928</v>
      </c>
      <c r="C40" s="40" t="s">
        <v>2323</v>
      </c>
      <c r="D40" s="41" t="s">
        <v>2358</v>
      </c>
    </row>
    <row r="41" spans="1:4" x14ac:dyDescent="0.3">
      <c r="A41" s="38">
        <v>44358</v>
      </c>
      <c r="B41" s="39" t="s">
        <v>1928</v>
      </c>
      <c r="C41" s="40" t="s">
        <v>2379</v>
      </c>
      <c r="D41" s="41" t="s">
        <v>2380</v>
      </c>
    </row>
    <row r="42" spans="1:4" x14ac:dyDescent="0.3">
      <c r="A42" s="38"/>
      <c r="B42" s="39"/>
      <c r="C42" s="40"/>
      <c r="D42" s="41"/>
    </row>
    <row r="43" spans="1:4" x14ac:dyDescent="0.3">
      <c r="A43" s="38"/>
      <c r="B43" s="39"/>
      <c r="C43" s="40"/>
      <c r="D43" s="41"/>
    </row>
    <row r="44" spans="1:4" x14ac:dyDescent="0.3">
      <c r="A44" s="38"/>
      <c r="B44" s="39"/>
      <c r="C44" s="40"/>
      <c r="D44" s="41"/>
    </row>
    <row r="45" spans="1:4" x14ac:dyDescent="0.3">
      <c r="A45" s="38"/>
      <c r="B45" s="39"/>
      <c r="C45" s="40"/>
      <c r="D45" s="41"/>
    </row>
    <row r="46" spans="1:4" x14ac:dyDescent="0.3">
      <c r="A46" s="38"/>
      <c r="B46" s="39"/>
      <c r="C46" s="40"/>
      <c r="D46" s="41"/>
    </row>
    <row r="47" spans="1:4" x14ac:dyDescent="0.3">
      <c r="A47" s="38"/>
      <c r="B47" s="39"/>
      <c r="C47" s="40"/>
      <c r="D47" s="41"/>
    </row>
    <row r="48" spans="1:4" x14ac:dyDescent="0.3">
      <c r="A48" s="38"/>
      <c r="B48" s="39"/>
      <c r="C48" s="40"/>
      <c r="D48" s="41"/>
    </row>
    <row r="49" spans="1:4" x14ac:dyDescent="0.3">
      <c r="A49" s="38"/>
      <c r="B49" s="39"/>
      <c r="C49" s="40"/>
      <c r="D49" s="41"/>
    </row>
    <row r="50" spans="1:4" x14ac:dyDescent="0.3">
      <c r="A50" s="38"/>
      <c r="B50" s="39"/>
      <c r="C50" s="40"/>
      <c r="D50" s="41"/>
    </row>
    <row r="51" spans="1:4" x14ac:dyDescent="0.3">
      <c r="A51" s="38"/>
      <c r="B51" s="39"/>
      <c r="C51" s="40"/>
      <c r="D51" s="41"/>
    </row>
    <row r="52" spans="1:4" x14ac:dyDescent="0.3">
      <c r="A52" s="38"/>
      <c r="B52" s="39"/>
      <c r="C52" s="40"/>
      <c r="D52" s="41"/>
    </row>
    <row r="53" spans="1:4" x14ac:dyDescent="0.3">
      <c r="A53" s="38"/>
      <c r="B53" s="39"/>
      <c r="C53" s="40"/>
      <c r="D53" s="41"/>
    </row>
    <row r="54" spans="1:4" x14ac:dyDescent="0.3">
      <c r="A54" s="38"/>
      <c r="B54" s="39"/>
      <c r="C54" s="40"/>
      <c r="D54" s="41"/>
    </row>
    <row r="55" spans="1:4" x14ac:dyDescent="0.3">
      <c r="A55" s="38"/>
      <c r="B55" s="39"/>
      <c r="C55" s="40"/>
      <c r="D55" s="41"/>
    </row>
    <row r="56" spans="1:4" x14ac:dyDescent="0.3">
      <c r="A56" s="38"/>
      <c r="B56" s="39"/>
      <c r="C56" s="40"/>
      <c r="D56" s="41"/>
    </row>
    <row r="57" spans="1:4" x14ac:dyDescent="0.3">
      <c r="A57" s="38"/>
      <c r="B57" s="39"/>
      <c r="C57" s="40"/>
      <c r="D57" s="41"/>
    </row>
    <row r="58" spans="1:4" x14ac:dyDescent="0.3">
      <c r="A58" s="38"/>
      <c r="B58" s="39"/>
      <c r="C58" s="40"/>
      <c r="D58" s="41"/>
    </row>
    <row r="59" spans="1:4" x14ac:dyDescent="0.3">
      <c r="A59" s="38"/>
      <c r="B59" s="39"/>
      <c r="C59" s="40"/>
      <c r="D59" s="41"/>
    </row>
    <row r="60" spans="1:4" x14ac:dyDescent="0.3">
      <c r="A60" s="38"/>
      <c r="B60" s="39"/>
      <c r="C60" s="40"/>
      <c r="D60" s="41"/>
    </row>
    <row r="61" spans="1:4" x14ac:dyDescent="0.3">
      <c r="A61" s="38"/>
      <c r="B61" s="39"/>
      <c r="C61" s="40"/>
      <c r="D61" s="41"/>
    </row>
    <row r="62" spans="1:4" x14ac:dyDescent="0.3">
      <c r="A62" s="38"/>
      <c r="B62" s="39"/>
      <c r="C62" s="40"/>
      <c r="D62" s="41"/>
    </row>
    <row r="63" spans="1:4" x14ac:dyDescent="0.3">
      <c r="A63" s="38"/>
      <c r="B63" s="39"/>
      <c r="C63" s="40"/>
      <c r="D63" s="41"/>
    </row>
    <row r="64" spans="1:4" x14ac:dyDescent="0.3">
      <c r="A64" s="38"/>
      <c r="B64" s="39"/>
      <c r="C64" s="40"/>
      <c r="D64" s="41"/>
    </row>
    <row r="65" spans="1:4" x14ac:dyDescent="0.3">
      <c r="A65" s="38"/>
      <c r="B65" s="39"/>
      <c r="C65" s="40"/>
      <c r="D65" s="41"/>
    </row>
    <row r="66" spans="1:4" x14ac:dyDescent="0.3">
      <c r="A66" s="38"/>
      <c r="B66" s="39"/>
      <c r="C66" s="40"/>
      <c r="D66" s="41"/>
    </row>
    <row r="67" spans="1:4" x14ac:dyDescent="0.3">
      <c r="A67" s="38"/>
      <c r="B67" s="39"/>
      <c r="C67" s="40"/>
      <c r="D67" s="41"/>
    </row>
    <row r="68" spans="1:4" x14ac:dyDescent="0.3">
      <c r="A68" s="38"/>
      <c r="B68" s="39"/>
      <c r="C68" s="40"/>
      <c r="D68" s="41"/>
    </row>
    <row r="69" spans="1:4" x14ac:dyDescent="0.3">
      <c r="A69" s="38"/>
      <c r="B69" s="39"/>
      <c r="C69" s="40"/>
      <c r="D69" s="41"/>
    </row>
    <row r="70" spans="1:4" x14ac:dyDescent="0.3">
      <c r="A70" s="38"/>
      <c r="B70" s="39"/>
      <c r="C70" s="40"/>
      <c r="D70" s="41"/>
    </row>
    <row r="71" spans="1:4" x14ac:dyDescent="0.3">
      <c r="A71" s="38"/>
      <c r="B71" s="39"/>
      <c r="C71" s="40"/>
      <c r="D71" s="41"/>
    </row>
    <row r="72" spans="1:4" x14ac:dyDescent="0.3">
      <c r="A72" s="38"/>
      <c r="B72" s="39"/>
      <c r="C72" s="40"/>
      <c r="D72" s="41"/>
    </row>
    <row r="73" spans="1:4" x14ac:dyDescent="0.3">
      <c r="A73" s="38"/>
      <c r="B73" s="39"/>
      <c r="C73" s="40"/>
      <c r="D73" s="41"/>
    </row>
    <row r="74" spans="1:4" x14ac:dyDescent="0.3">
      <c r="A74" s="38"/>
      <c r="B74" s="39"/>
      <c r="C74" s="40"/>
      <c r="D74" s="41"/>
    </row>
    <row r="75" spans="1:4" x14ac:dyDescent="0.3">
      <c r="A75" s="38"/>
      <c r="B75" s="39"/>
      <c r="C75" s="40"/>
      <c r="D75" s="41"/>
    </row>
    <row r="76" spans="1:4" x14ac:dyDescent="0.3">
      <c r="A76" s="38"/>
      <c r="B76" s="39"/>
      <c r="C76" s="40"/>
      <c r="D76" s="41"/>
    </row>
    <row r="77" spans="1:4" x14ac:dyDescent="0.3">
      <c r="A77" s="38"/>
      <c r="B77" s="39"/>
      <c r="C77" s="40"/>
      <c r="D77" s="41"/>
    </row>
    <row r="78" spans="1:4" x14ac:dyDescent="0.3">
      <c r="A78" s="38"/>
      <c r="B78" s="39"/>
      <c r="C78" s="40"/>
      <c r="D78" s="41"/>
    </row>
    <row r="79" spans="1:4" x14ac:dyDescent="0.3">
      <c r="A79" s="38"/>
      <c r="B79" s="39"/>
      <c r="C79" s="40"/>
      <c r="D79" s="41"/>
    </row>
    <row r="80" spans="1:4" x14ac:dyDescent="0.3">
      <c r="A80" s="38"/>
      <c r="B80" s="39"/>
      <c r="C80" s="40"/>
      <c r="D80" s="41"/>
    </row>
    <row r="81" spans="1:4" x14ac:dyDescent="0.3">
      <c r="A81" s="38"/>
      <c r="B81" s="39"/>
      <c r="C81" s="40"/>
      <c r="D81" s="41"/>
    </row>
    <row r="82" spans="1:4" x14ac:dyDescent="0.3">
      <c r="A82" s="38"/>
      <c r="B82" s="39"/>
      <c r="C82" s="40"/>
      <c r="D82" s="41"/>
    </row>
    <row r="83" spans="1:4" x14ac:dyDescent="0.3">
      <c r="A83" s="38"/>
      <c r="B83" s="39"/>
      <c r="C83" s="40"/>
      <c r="D83" s="41"/>
    </row>
    <row r="84" spans="1:4" x14ac:dyDescent="0.3">
      <c r="A84" s="38"/>
      <c r="B84" s="39"/>
      <c r="C84" s="40"/>
      <c r="D84" s="41"/>
    </row>
    <row r="85" spans="1:4" x14ac:dyDescent="0.3">
      <c r="A85" s="38"/>
      <c r="B85" s="39"/>
      <c r="C85" s="40"/>
      <c r="D85" s="41"/>
    </row>
    <row r="86" spans="1:4" x14ac:dyDescent="0.3">
      <c r="A86" s="38"/>
      <c r="B86" s="39"/>
      <c r="C86" s="40"/>
      <c r="D86" s="41"/>
    </row>
    <row r="87" spans="1:4" x14ac:dyDescent="0.3">
      <c r="A87" s="38"/>
      <c r="B87" s="39"/>
      <c r="C87" s="40"/>
      <c r="D87" s="41"/>
    </row>
    <row r="88" spans="1:4" x14ac:dyDescent="0.3">
      <c r="A88" s="38"/>
      <c r="B88" s="39"/>
      <c r="C88" s="40"/>
      <c r="D88" s="41"/>
    </row>
    <row r="89" spans="1:4" x14ac:dyDescent="0.3">
      <c r="A89" s="38"/>
      <c r="B89" s="39"/>
      <c r="C89" s="40"/>
      <c r="D89" s="41"/>
    </row>
    <row r="90" spans="1:4" x14ac:dyDescent="0.3">
      <c r="A90" s="38"/>
      <c r="B90" s="39"/>
      <c r="C90" s="40"/>
      <c r="D90" s="41"/>
    </row>
    <row r="91" spans="1:4" x14ac:dyDescent="0.3">
      <c r="A91" s="38"/>
      <c r="B91" s="39"/>
      <c r="C91" s="40"/>
      <c r="D91" s="41"/>
    </row>
    <row r="92" spans="1:4" x14ac:dyDescent="0.3">
      <c r="A92" s="38"/>
      <c r="B92" s="39"/>
      <c r="C92" s="40"/>
      <c r="D92" s="41"/>
    </row>
    <row r="93" spans="1:4" x14ac:dyDescent="0.3">
      <c r="A93" s="38"/>
      <c r="B93" s="39"/>
      <c r="C93" s="40"/>
      <c r="D93" s="41"/>
    </row>
    <row r="94" spans="1:4" x14ac:dyDescent="0.3">
      <c r="A94" s="38"/>
      <c r="B94" s="39"/>
      <c r="C94" s="40"/>
      <c r="D94" s="41"/>
    </row>
    <row r="95" spans="1:4" x14ac:dyDescent="0.3">
      <c r="A95" s="38"/>
      <c r="B95" s="39"/>
      <c r="C95" s="40"/>
      <c r="D95" s="41"/>
    </row>
    <row r="96" spans="1:4" x14ac:dyDescent="0.3">
      <c r="A96" s="38"/>
      <c r="B96" s="39"/>
      <c r="C96" s="40"/>
      <c r="D96" s="41"/>
    </row>
    <row r="97" spans="1:4" x14ac:dyDescent="0.3">
      <c r="A97" s="38"/>
      <c r="B97" s="39"/>
      <c r="C97" s="40"/>
      <c r="D97" s="41"/>
    </row>
    <row r="98" spans="1:4" x14ac:dyDescent="0.3">
      <c r="A98" s="38"/>
      <c r="B98" s="39"/>
      <c r="C98" s="40"/>
      <c r="D98" s="41"/>
    </row>
    <row r="99" spans="1:4" x14ac:dyDescent="0.3">
      <c r="A99" s="38"/>
      <c r="B99" s="39"/>
      <c r="C99" s="40"/>
      <c r="D99" s="41"/>
    </row>
    <row r="100" spans="1:4" x14ac:dyDescent="0.3">
      <c r="A100" s="38"/>
      <c r="B100" s="39"/>
      <c r="C100" s="40"/>
      <c r="D100" s="41"/>
    </row>
    <row r="101" spans="1:4" x14ac:dyDescent="0.3">
      <c r="A101" s="38"/>
      <c r="B101" s="39"/>
      <c r="C101" s="40"/>
      <c r="D101" s="41"/>
    </row>
    <row r="102" spans="1:4" x14ac:dyDescent="0.3">
      <c r="A102" s="38"/>
      <c r="B102" s="39"/>
      <c r="C102" s="40"/>
      <c r="D102" s="41"/>
    </row>
    <row r="103" spans="1:4" x14ac:dyDescent="0.3">
      <c r="A103" s="38"/>
      <c r="B103" s="39"/>
      <c r="C103" s="40"/>
      <c r="D103" s="41"/>
    </row>
    <row r="104" spans="1:4" x14ac:dyDescent="0.3">
      <c r="A104" s="38"/>
      <c r="B104" s="39"/>
      <c r="C104" s="40"/>
      <c r="D104" s="41"/>
    </row>
    <row r="105" spans="1:4" x14ac:dyDescent="0.3">
      <c r="A105" s="38"/>
      <c r="B105" s="39"/>
      <c r="C105" s="40"/>
      <c r="D105" s="41"/>
    </row>
    <row r="106" spans="1:4" x14ac:dyDescent="0.3">
      <c r="A106" s="38"/>
      <c r="B106" s="39"/>
      <c r="C106" s="40"/>
      <c r="D106" s="41"/>
    </row>
    <row r="107" spans="1:4" x14ac:dyDescent="0.3">
      <c r="A107" s="38"/>
      <c r="B107" s="39"/>
      <c r="C107" s="40"/>
      <c r="D107" s="41"/>
    </row>
    <row r="108" spans="1:4" x14ac:dyDescent="0.3">
      <c r="A108" s="38"/>
      <c r="B108" s="39"/>
      <c r="C108" s="40"/>
      <c r="D108" s="41"/>
    </row>
    <row r="109" spans="1:4" x14ac:dyDescent="0.3">
      <c r="A109" s="38"/>
      <c r="B109" s="39"/>
      <c r="C109" s="40"/>
      <c r="D109" s="41"/>
    </row>
    <row r="110" spans="1:4" x14ac:dyDescent="0.3">
      <c r="A110" s="38"/>
      <c r="B110" s="39"/>
      <c r="C110" s="40"/>
      <c r="D110" s="41"/>
    </row>
    <row r="111" spans="1:4" x14ac:dyDescent="0.3">
      <c r="A111" s="38"/>
      <c r="B111" s="39"/>
      <c r="C111" s="40"/>
      <c r="D111" s="41"/>
    </row>
    <row r="112" spans="1:4" x14ac:dyDescent="0.3">
      <c r="A112" s="38"/>
      <c r="B112" s="39"/>
      <c r="C112" s="40"/>
      <c r="D112" s="41"/>
    </row>
    <row r="113" spans="1:4" x14ac:dyDescent="0.3">
      <c r="A113" s="38"/>
      <c r="B113" s="39"/>
      <c r="C113" s="40"/>
      <c r="D113" s="41"/>
    </row>
    <row r="114" spans="1:4" x14ac:dyDescent="0.3">
      <c r="A114" s="38"/>
      <c r="B114" s="39"/>
      <c r="C114" s="40"/>
      <c r="D114" s="41"/>
    </row>
    <row r="115" spans="1:4" x14ac:dyDescent="0.3">
      <c r="A115" s="38"/>
      <c r="B115" s="39"/>
      <c r="C115" s="40"/>
      <c r="D115" s="41"/>
    </row>
    <row r="116" spans="1:4" x14ac:dyDescent="0.3">
      <c r="A116" s="38"/>
      <c r="B116" s="39"/>
      <c r="C116" s="40"/>
      <c r="D116" s="41"/>
    </row>
    <row r="117" spans="1:4" x14ac:dyDescent="0.3">
      <c r="A117" s="38"/>
      <c r="B117" s="39"/>
      <c r="C117" s="40"/>
      <c r="D117" s="41"/>
    </row>
    <row r="118" spans="1:4" x14ac:dyDescent="0.3">
      <c r="A118" s="38"/>
      <c r="B118" s="39"/>
      <c r="C118" s="40"/>
      <c r="D118" s="41"/>
    </row>
    <row r="119" spans="1:4" x14ac:dyDescent="0.3">
      <c r="A119" s="38"/>
      <c r="B119" s="39"/>
      <c r="C119" s="40"/>
      <c r="D119" s="41"/>
    </row>
    <row r="120" spans="1:4" x14ac:dyDescent="0.3">
      <c r="A120" s="38"/>
      <c r="B120" s="39"/>
      <c r="C120" s="40"/>
      <c r="D120" s="41"/>
    </row>
    <row r="121" spans="1:4" x14ac:dyDescent="0.3">
      <c r="A121" s="38"/>
      <c r="B121" s="39"/>
      <c r="C121" s="40"/>
      <c r="D121" s="41"/>
    </row>
    <row r="122" spans="1:4" x14ac:dyDescent="0.3">
      <c r="A122" s="38"/>
      <c r="B122" s="39"/>
      <c r="C122" s="40"/>
      <c r="D122" s="41"/>
    </row>
    <row r="123" spans="1:4" x14ac:dyDescent="0.3">
      <c r="A123" s="38"/>
      <c r="B123" s="39"/>
      <c r="C123" s="40"/>
      <c r="D123" s="41"/>
    </row>
    <row r="124" spans="1:4" x14ac:dyDescent="0.3">
      <c r="A124" s="38"/>
      <c r="B124" s="39"/>
      <c r="C124" s="40"/>
      <c r="D124" s="41"/>
    </row>
    <row r="125" spans="1:4" x14ac:dyDescent="0.3">
      <c r="A125" s="38"/>
      <c r="B125" s="39"/>
      <c r="C125" s="40"/>
      <c r="D125" s="41"/>
    </row>
    <row r="126" spans="1:4" x14ac:dyDescent="0.3">
      <c r="A126" s="38"/>
      <c r="B126" s="39"/>
      <c r="C126" s="40"/>
      <c r="D126" s="41"/>
    </row>
    <row r="127" spans="1:4" x14ac:dyDescent="0.3">
      <c r="A127" s="38"/>
      <c r="B127" s="39"/>
      <c r="C127" s="40"/>
      <c r="D127" s="41"/>
    </row>
    <row r="128" spans="1:4" x14ac:dyDescent="0.3">
      <c r="A128" s="38"/>
      <c r="B128" s="39"/>
      <c r="C128" s="40"/>
      <c r="D128" s="41"/>
    </row>
    <row r="129" spans="1:4" x14ac:dyDescent="0.3">
      <c r="A129" s="38"/>
      <c r="B129" s="39"/>
      <c r="C129" s="40"/>
      <c r="D129" s="41"/>
    </row>
    <row r="130" spans="1:4" x14ac:dyDescent="0.3">
      <c r="A130" s="38"/>
      <c r="B130" s="39"/>
      <c r="C130" s="40"/>
      <c r="D130" s="41"/>
    </row>
    <row r="131" spans="1:4" x14ac:dyDescent="0.3">
      <c r="A131" s="38"/>
      <c r="B131" s="39"/>
      <c r="C131" s="40"/>
      <c r="D131" s="41"/>
    </row>
    <row r="132" spans="1:4" x14ac:dyDescent="0.3">
      <c r="A132" s="38"/>
      <c r="B132" s="39"/>
      <c r="C132" s="40"/>
      <c r="D132" s="41"/>
    </row>
    <row r="133" spans="1:4" x14ac:dyDescent="0.3">
      <c r="A133" s="38"/>
      <c r="B133" s="39"/>
      <c r="C133" s="40"/>
      <c r="D133" s="41"/>
    </row>
    <row r="134" spans="1:4" x14ac:dyDescent="0.3">
      <c r="A134" s="38"/>
      <c r="B134" s="39"/>
      <c r="C134" s="40"/>
      <c r="D134" s="41"/>
    </row>
    <row r="135" spans="1:4" x14ac:dyDescent="0.3">
      <c r="A135" s="38"/>
      <c r="B135" s="39"/>
      <c r="C135" s="40"/>
      <c r="D135" s="41"/>
    </row>
    <row r="136" spans="1:4" x14ac:dyDescent="0.3">
      <c r="A136" s="38"/>
      <c r="B136" s="39"/>
      <c r="C136" s="40"/>
      <c r="D136" s="41"/>
    </row>
    <row r="137" spans="1:4" x14ac:dyDescent="0.3">
      <c r="A137" s="38"/>
      <c r="B137" s="39"/>
      <c r="C137" s="40"/>
      <c r="D137" s="41"/>
    </row>
    <row r="138" spans="1:4" x14ac:dyDescent="0.3">
      <c r="A138" s="38"/>
      <c r="B138" s="39"/>
      <c r="C138" s="40"/>
      <c r="D138" s="41"/>
    </row>
    <row r="139" spans="1:4" x14ac:dyDescent="0.3">
      <c r="A139" s="38"/>
      <c r="B139" s="39"/>
      <c r="C139" s="40"/>
      <c r="D139" s="41"/>
    </row>
    <row r="140" spans="1:4" x14ac:dyDescent="0.3">
      <c r="A140" s="38"/>
      <c r="B140" s="39"/>
      <c r="C140" s="40"/>
      <c r="D140" s="41"/>
    </row>
    <row r="141" spans="1:4" x14ac:dyDescent="0.3">
      <c r="A141" s="38"/>
      <c r="B141" s="39"/>
      <c r="C141" s="40"/>
      <c r="D141" s="41"/>
    </row>
    <row r="142" spans="1:4" x14ac:dyDescent="0.3">
      <c r="A142" s="38"/>
      <c r="B142" s="39"/>
      <c r="C142" s="40"/>
      <c r="D142" s="41"/>
    </row>
    <row r="143" spans="1:4" x14ac:dyDescent="0.3">
      <c r="A143" s="38"/>
      <c r="B143" s="39"/>
      <c r="C143" s="40"/>
      <c r="D143" s="41"/>
    </row>
    <row r="144" spans="1:4" x14ac:dyDescent="0.3">
      <c r="A144" s="38"/>
      <c r="B144" s="39"/>
      <c r="C144" s="40"/>
      <c r="D144" s="41"/>
    </row>
    <row r="145" spans="1:4" x14ac:dyDescent="0.3">
      <c r="A145" s="38"/>
      <c r="B145" s="39"/>
      <c r="C145" s="40"/>
      <c r="D145" s="41"/>
    </row>
    <row r="146" spans="1:4" x14ac:dyDescent="0.3">
      <c r="A146" s="38"/>
      <c r="B146" s="39"/>
      <c r="C146" s="40"/>
      <c r="D146" s="41"/>
    </row>
    <row r="147" spans="1:4" x14ac:dyDescent="0.3">
      <c r="A147" s="38"/>
      <c r="B147" s="39"/>
      <c r="C147" s="40"/>
      <c r="D147" s="41"/>
    </row>
    <row r="148" spans="1:4" x14ac:dyDescent="0.3">
      <c r="A148" s="38"/>
      <c r="B148" s="39"/>
      <c r="C148" s="40"/>
      <c r="D148" s="41"/>
    </row>
    <row r="149" spans="1:4" x14ac:dyDescent="0.3">
      <c r="A149" s="38"/>
      <c r="B149" s="39"/>
      <c r="C149" s="40"/>
      <c r="D149" s="41"/>
    </row>
    <row r="150" spans="1:4" x14ac:dyDescent="0.3">
      <c r="A150" s="38"/>
      <c r="B150" s="39"/>
      <c r="C150" s="40"/>
      <c r="D150" s="41"/>
    </row>
    <row r="151" spans="1:4" x14ac:dyDescent="0.3">
      <c r="A151" s="38"/>
      <c r="B151" s="39"/>
      <c r="C151" s="40"/>
      <c r="D151" s="41"/>
    </row>
    <row r="152" spans="1:4" x14ac:dyDescent="0.3">
      <c r="A152" s="38"/>
      <c r="B152" s="39"/>
      <c r="C152" s="40"/>
      <c r="D152" s="41"/>
    </row>
    <row r="153" spans="1:4" x14ac:dyDescent="0.3">
      <c r="A153" s="38"/>
      <c r="B153" s="39"/>
      <c r="C153" s="40"/>
      <c r="D153" s="41"/>
    </row>
    <row r="154" spans="1:4" x14ac:dyDescent="0.3">
      <c r="A154" s="38"/>
      <c r="B154" s="39"/>
      <c r="C154" s="40"/>
      <c r="D154" s="41"/>
    </row>
    <row r="155" spans="1:4" x14ac:dyDescent="0.3">
      <c r="A155" s="38"/>
      <c r="B155" s="39"/>
      <c r="C155" s="40"/>
      <c r="D155" s="41"/>
    </row>
    <row r="156" spans="1:4" x14ac:dyDescent="0.3">
      <c r="A156" s="38"/>
      <c r="B156" s="39"/>
      <c r="C156" s="40"/>
      <c r="D156" s="41"/>
    </row>
    <row r="157" spans="1:4" x14ac:dyDescent="0.3">
      <c r="A157" s="38"/>
      <c r="B157" s="39"/>
      <c r="C157" s="40"/>
      <c r="D157" s="41"/>
    </row>
    <row r="158" spans="1:4" x14ac:dyDescent="0.3">
      <c r="A158" s="38"/>
      <c r="B158" s="39"/>
      <c r="C158" s="40"/>
      <c r="D158" s="41"/>
    </row>
    <row r="159" spans="1:4" x14ac:dyDescent="0.3">
      <c r="A159" s="38"/>
      <c r="B159" s="39"/>
      <c r="C159" s="40"/>
      <c r="D159" s="41"/>
    </row>
    <row r="160" spans="1:4" x14ac:dyDescent="0.3">
      <c r="A160" s="38"/>
      <c r="B160" s="39"/>
      <c r="C160" s="40"/>
      <c r="D160" s="41"/>
    </row>
    <row r="161" spans="1:4" x14ac:dyDescent="0.3">
      <c r="A161" s="38"/>
      <c r="B161" s="39"/>
      <c r="C161" s="40"/>
      <c r="D161" s="41"/>
    </row>
    <row r="162" spans="1:4" x14ac:dyDescent="0.3">
      <c r="A162" s="38"/>
      <c r="B162" s="39"/>
      <c r="C162" s="40"/>
      <c r="D162" s="41"/>
    </row>
    <row r="163" spans="1:4" x14ac:dyDescent="0.3">
      <c r="A163" s="38"/>
      <c r="B163" s="39"/>
      <c r="C163" s="40"/>
      <c r="D163" s="41"/>
    </row>
    <row r="164" spans="1:4" x14ac:dyDescent="0.3">
      <c r="A164" s="38"/>
      <c r="B164" s="39"/>
      <c r="C164" s="40"/>
      <c r="D164" s="41"/>
    </row>
    <row r="165" spans="1:4" x14ac:dyDescent="0.3">
      <c r="A165" s="38"/>
      <c r="B165" s="39"/>
      <c r="C165" s="40"/>
      <c r="D165" s="41"/>
    </row>
    <row r="166" spans="1:4" x14ac:dyDescent="0.3">
      <c r="A166" s="38"/>
      <c r="B166" s="39"/>
      <c r="C166" s="40"/>
      <c r="D166" s="41"/>
    </row>
    <row r="167" spans="1:4" x14ac:dyDescent="0.3">
      <c r="A167" s="38"/>
      <c r="B167" s="39"/>
      <c r="C167" s="40"/>
      <c r="D167" s="41"/>
    </row>
    <row r="168" spans="1:4" x14ac:dyDescent="0.3">
      <c r="A168" s="38"/>
      <c r="B168" s="39"/>
      <c r="C168" s="40"/>
      <c r="D168" s="41"/>
    </row>
    <row r="169" spans="1:4" x14ac:dyDescent="0.3">
      <c r="A169" s="38"/>
      <c r="B169" s="39"/>
      <c r="C169" s="40"/>
      <c r="D169" s="41"/>
    </row>
    <row r="170" spans="1:4" x14ac:dyDescent="0.3">
      <c r="A170" s="38"/>
      <c r="B170" s="39"/>
      <c r="C170" s="40"/>
      <c r="D170" s="41"/>
    </row>
    <row r="171" spans="1:4" x14ac:dyDescent="0.3">
      <c r="A171" s="38"/>
      <c r="B171" s="39"/>
      <c r="C171" s="40"/>
      <c r="D171" s="41"/>
    </row>
    <row r="172" spans="1:4" x14ac:dyDescent="0.3">
      <c r="A172" s="38"/>
      <c r="B172" s="39"/>
      <c r="C172" s="40"/>
      <c r="D172" s="41"/>
    </row>
    <row r="173" spans="1:4" x14ac:dyDescent="0.3">
      <c r="A173" s="38"/>
      <c r="B173" s="39"/>
      <c r="C173" s="40"/>
      <c r="D173" s="41"/>
    </row>
    <row r="174" spans="1:4" x14ac:dyDescent="0.3">
      <c r="A174" s="38"/>
      <c r="B174" s="39"/>
      <c r="C174" s="40"/>
      <c r="D174" s="41"/>
    </row>
    <row r="175" spans="1:4" x14ac:dyDescent="0.3">
      <c r="A175" s="38"/>
      <c r="B175" s="39"/>
      <c r="C175" s="40"/>
      <c r="D175" s="41"/>
    </row>
    <row r="176" spans="1:4" x14ac:dyDescent="0.3">
      <c r="A176" s="38"/>
      <c r="B176" s="39"/>
      <c r="C176" s="40"/>
      <c r="D176" s="41"/>
    </row>
    <row r="177" spans="1:4" x14ac:dyDescent="0.3">
      <c r="A177" s="38"/>
      <c r="B177" s="39"/>
      <c r="C177" s="40"/>
      <c r="D177" s="41"/>
    </row>
    <row r="178" spans="1:4" x14ac:dyDescent="0.3">
      <c r="A178" s="38"/>
      <c r="B178" s="39"/>
      <c r="C178" s="40"/>
      <c r="D178" s="41"/>
    </row>
    <row r="179" spans="1:4" x14ac:dyDescent="0.3">
      <c r="A179" s="38"/>
      <c r="B179" s="39"/>
      <c r="C179" s="40"/>
      <c r="D179" s="41"/>
    </row>
    <row r="180" spans="1:4" x14ac:dyDescent="0.3">
      <c r="A180" s="38"/>
      <c r="B180" s="39"/>
      <c r="C180" s="40"/>
      <c r="D180" s="41"/>
    </row>
    <row r="181" spans="1:4" x14ac:dyDescent="0.3">
      <c r="A181" s="38"/>
      <c r="B181" s="39"/>
      <c r="C181" s="40"/>
      <c r="D181" s="41"/>
    </row>
    <row r="182" spans="1:4" x14ac:dyDescent="0.3">
      <c r="A182" s="38"/>
      <c r="B182" s="39"/>
      <c r="C182" s="40"/>
      <c r="D182" s="41"/>
    </row>
    <row r="183" spans="1:4" x14ac:dyDescent="0.3">
      <c r="A183" s="38"/>
      <c r="B183" s="39"/>
      <c r="C183" s="40"/>
      <c r="D183" s="41"/>
    </row>
    <row r="184" spans="1:4" x14ac:dyDescent="0.3">
      <c r="A184" s="38"/>
      <c r="B184" s="39"/>
      <c r="C184" s="40"/>
      <c r="D184" s="41"/>
    </row>
    <row r="185" spans="1:4" x14ac:dyDescent="0.3">
      <c r="A185" s="38"/>
      <c r="B185" s="39"/>
      <c r="C185" s="40"/>
      <c r="D185" s="41"/>
    </row>
    <row r="186" spans="1:4" x14ac:dyDescent="0.3">
      <c r="A186" s="38"/>
      <c r="B186" s="39"/>
      <c r="C186" s="40"/>
      <c r="D186" s="41"/>
    </row>
    <row r="187" spans="1:4" x14ac:dyDescent="0.3">
      <c r="A187" s="38"/>
      <c r="B187" s="39"/>
      <c r="C187" s="40"/>
      <c r="D187" s="41"/>
    </row>
    <row r="188" spans="1:4" x14ac:dyDescent="0.3">
      <c r="A188" s="38"/>
      <c r="B188" s="39"/>
      <c r="C188" s="40"/>
      <c r="D188" s="41"/>
    </row>
    <row r="189" spans="1:4" x14ac:dyDescent="0.3">
      <c r="A189" s="38"/>
      <c r="B189" s="39"/>
      <c r="C189" s="40"/>
      <c r="D189" s="41"/>
    </row>
    <row r="190" spans="1:4" x14ac:dyDescent="0.3">
      <c r="A190" s="38"/>
      <c r="B190" s="39"/>
      <c r="C190" s="40"/>
      <c r="D190" s="41"/>
    </row>
    <row r="191" spans="1:4" x14ac:dyDescent="0.3">
      <c r="A191" s="38"/>
      <c r="B191" s="39"/>
      <c r="C191" s="40"/>
      <c r="D191" s="41"/>
    </row>
    <row r="192" spans="1:4" x14ac:dyDescent="0.3">
      <c r="A192" s="38"/>
      <c r="B192" s="39"/>
      <c r="C192" s="40"/>
      <c r="D192" s="41"/>
    </row>
    <row r="193" spans="1:4" x14ac:dyDescent="0.3">
      <c r="A193" s="38"/>
      <c r="B193" s="39"/>
      <c r="C193" s="40"/>
      <c r="D193" s="41"/>
    </row>
    <row r="194" spans="1:4" x14ac:dyDescent="0.3">
      <c r="A194" s="38"/>
      <c r="B194" s="39"/>
      <c r="C194" s="40"/>
      <c r="D194" s="41"/>
    </row>
    <row r="195" spans="1:4" x14ac:dyDescent="0.3">
      <c r="A195" s="38"/>
      <c r="B195" s="39"/>
      <c r="C195" s="40"/>
      <c r="D195" s="41"/>
    </row>
    <row r="196" spans="1:4" x14ac:dyDescent="0.3">
      <c r="A196" s="38"/>
      <c r="B196" s="39"/>
      <c r="C196" s="40"/>
      <c r="D196" s="41"/>
    </row>
    <row r="197" spans="1:4" x14ac:dyDescent="0.3">
      <c r="A197" s="38"/>
      <c r="B197" s="39"/>
      <c r="C197" s="40"/>
      <c r="D197" s="41"/>
    </row>
    <row r="198" spans="1:4" x14ac:dyDescent="0.3">
      <c r="A198" s="38"/>
      <c r="B198" s="39"/>
      <c r="C198" s="40"/>
      <c r="D198" s="41"/>
    </row>
    <row r="199" spans="1:4" x14ac:dyDescent="0.3">
      <c r="A199" s="38"/>
      <c r="B199" s="39"/>
      <c r="C199" s="40"/>
      <c r="D199" s="41"/>
    </row>
    <row r="200" spans="1:4" x14ac:dyDescent="0.3">
      <c r="A200" s="38"/>
      <c r="B200" s="39"/>
      <c r="C200" s="40"/>
      <c r="D200" s="41"/>
    </row>
    <row r="201" spans="1:4" x14ac:dyDescent="0.3">
      <c r="A201" s="38"/>
      <c r="B201" s="39"/>
      <c r="C201" s="40"/>
      <c r="D201" s="41"/>
    </row>
    <row r="202" spans="1:4" x14ac:dyDescent="0.3">
      <c r="A202" s="38"/>
      <c r="B202" s="39"/>
      <c r="C202" s="40"/>
      <c r="D202" s="41"/>
    </row>
    <row r="203" spans="1:4" x14ac:dyDescent="0.3">
      <c r="A203" s="38"/>
      <c r="B203" s="39"/>
      <c r="C203" s="40"/>
      <c r="D203" s="41"/>
    </row>
    <row r="204" spans="1:4" x14ac:dyDescent="0.3">
      <c r="A204" s="38"/>
      <c r="B204" s="39"/>
      <c r="C204" s="40"/>
      <c r="D204" s="41"/>
    </row>
    <row r="205" spans="1:4" x14ac:dyDescent="0.3">
      <c r="A205" s="38"/>
      <c r="B205" s="39"/>
      <c r="C205" s="40"/>
      <c r="D205" s="41"/>
    </row>
    <row r="206" spans="1:4" x14ac:dyDescent="0.3">
      <c r="A206" s="38"/>
      <c r="B206" s="39"/>
      <c r="C206" s="40"/>
      <c r="D206" s="41"/>
    </row>
    <row r="207" spans="1:4" x14ac:dyDescent="0.3">
      <c r="A207" s="38"/>
      <c r="B207" s="39"/>
      <c r="C207" s="40"/>
      <c r="D207" s="41"/>
    </row>
    <row r="208" spans="1:4" x14ac:dyDescent="0.3">
      <c r="A208" s="38"/>
      <c r="B208" s="39"/>
      <c r="C208" s="40"/>
      <c r="D208" s="41"/>
    </row>
    <row r="209" spans="1:4" x14ac:dyDescent="0.3">
      <c r="A209" s="38"/>
      <c r="B209" s="39"/>
      <c r="C209" s="40"/>
      <c r="D209" s="41"/>
    </row>
    <row r="210" spans="1:4" x14ac:dyDescent="0.3">
      <c r="A210" s="38"/>
      <c r="B210" s="39"/>
      <c r="C210" s="40"/>
      <c r="D210" s="41"/>
    </row>
    <row r="211" spans="1:4" x14ac:dyDescent="0.3">
      <c r="A211" s="38"/>
      <c r="B211" s="39"/>
      <c r="C211" s="40"/>
      <c r="D211" s="41"/>
    </row>
    <row r="212" spans="1:4" x14ac:dyDescent="0.3">
      <c r="A212" s="38"/>
      <c r="B212" s="39"/>
      <c r="C212" s="40"/>
      <c r="D212" s="41"/>
    </row>
    <row r="213" spans="1:4" x14ac:dyDescent="0.3">
      <c r="A213" s="38"/>
      <c r="B213" s="39"/>
      <c r="C213" s="40"/>
      <c r="D213" s="41"/>
    </row>
    <row r="214" spans="1:4" x14ac:dyDescent="0.3">
      <c r="A214" s="38"/>
      <c r="B214" s="39"/>
      <c r="C214" s="40"/>
      <c r="D214" s="41"/>
    </row>
    <row r="215" spans="1:4" x14ac:dyDescent="0.3">
      <c r="A215" s="38"/>
      <c r="B215" s="39"/>
      <c r="C215" s="40"/>
      <c r="D215" s="41"/>
    </row>
    <row r="216" spans="1:4" x14ac:dyDescent="0.3">
      <c r="A216" s="38"/>
      <c r="B216" s="39"/>
      <c r="C216" s="40"/>
      <c r="D216" s="41"/>
    </row>
    <row r="217" spans="1:4" x14ac:dyDescent="0.3">
      <c r="A217" s="38"/>
      <c r="B217" s="39"/>
      <c r="C217" s="40"/>
      <c r="D217" s="41"/>
    </row>
    <row r="218" spans="1:4" x14ac:dyDescent="0.3">
      <c r="A218" s="38"/>
      <c r="B218" s="39"/>
      <c r="C218" s="40"/>
      <c r="D218" s="41"/>
    </row>
    <row r="219" spans="1:4" x14ac:dyDescent="0.3">
      <c r="A219" s="38"/>
      <c r="B219" s="39"/>
      <c r="C219" s="40"/>
      <c r="D219" s="41"/>
    </row>
    <row r="220" spans="1:4" x14ac:dyDescent="0.3">
      <c r="A220" s="38"/>
      <c r="B220" s="39"/>
      <c r="C220" s="40"/>
      <c r="D220" s="41"/>
    </row>
    <row r="221" spans="1:4" x14ac:dyDescent="0.3">
      <c r="A221" s="38"/>
      <c r="B221" s="39"/>
      <c r="C221" s="40"/>
      <c r="D221" s="41"/>
    </row>
    <row r="222" spans="1:4" x14ac:dyDescent="0.3">
      <c r="A222" s="38"/>
      <c r="B222" s="39"/>
      <c r="C222" s="40"/>
      <c r="D222" s="41"/>
    </row>
    <row r="223" spans="1:4" x14ac:dyDescent="0.3">
      <c r="A223" s="38"/>
      <c r="B223" s="39"/>
      <c r="C223" s="40"/>
      <c r="D223" s="41"/>
    </row>
    <row r="224" spans="1:4" x14ac:dyDescent="0.3">
      <c r="A224" s="38"/>
      <c r="B224" s="39"/>
      <c r="C224" s="40"/>
      <c r="D224" s="41"/>
    </row>
    <row r="225" spans="1:4" x14ac:dyDescent="0.3">
      <c r="A225" s="38"/>
      <c r="B225" s="39"/>
      <c r="C225" s="40"/>
      <c r="D225" s="41"/>
    </row>
    <row r="226" spans="1:4" x14ac:dyDescent="0.3">
      <c r="A226" s="38"/>
      <c r="B226" s="39"/>
      <c r="C226" s="40"/>
      <c r="D226" s="41"/>
    </row>
    <row r="227" spans="1:4" x14ac:dyDescent="0.3">
      <c r="A227" s="38"/>
      <c r="B227" s="39"/>
      <c r="C227" s="40"/>
      <c r="D227" s="41"/>
    </row>
    <row r="228" spans="1:4" x14ac:dyDescent="0.3">
      <c r="A228" s="38"/>
      <c r="B228" s="39"/>
      <c r="C228" s="40"/>
      <c r="D228" s="41"/>
    </row>
    <row r="229" spans="1:4" x14ac:dyDescent="0.3">
      <c r="A229" s="38"/>
      <c r="B229" s="39"/>
      <c r="C229" s="40"/>
      <c r="D229" s="41"/>
    </row>
    <row r="230" spans="1:4" x14ac:dyDescent="0.3">
      <c r="A230" s="38"/>
      <c r="B230" s="39"/>
      <c r="C230" s="40"/>
      <c r="D230" s="41"/>
    </row>
    <row r="231" spans="1:4" x14ac:dyDescent="0.3">
      <c r="A231" s="38"/>
      <c r="B231" s="39"/>
      <c r="C231" s="40"/>
      <c r="D231" s="41"/>
    </row>
    <row r="232" spans="1:4" x14ac:dyDescent="0.3">
      <c r="A232" s="38"/>
      <c r="B232" s="39"/>
      <c r="C232" s="40"/>
      <c r="D232" s="41"/>
    </row>
    <row r="233" spans="1:4" x14ac:dyDescent="0.3">
      <c r="A233" s="38"/>
      <c r="B233" s="39"/>
      <c r="C233" s="40"/>
      <c r="D233" s="41"/>
    </row>
    <row r="234" spans="1:4" x14ac:dyDescent="0.3">
      <c r="A234" s="38"/>
      <c r="B234" s="39"/>
      <c r="C234" s="40"/>
      <c r="D234" s="41"/>
    </row>
    <row r="235" spans="1:4" x14ac:dyDescent="0.3">
      <c r="A235" s="38"/>
      <c r="B235" s="39"/>
      <c r="C235" s="40"/>
      <c r="D235" s="41"/>
    </row>
    <row r="236" spans="1:4" x14ac:dyDescent="0.3">
      <c r="A236" s="38"/>
      <c r="B236" s="39"/>
      <c r="C236" s="40"/>
      <c r="D236" s="41"/>
    </row>
    <row r="237" spans="1:4" x14ac:dyDescent="0.3">
      <c r="A237" s="38"/>
      <c r="B237" s="39"/>
      <c r="C237" s="40"/>
      <c r="D237" s="41"/>
    </row>
    <row r="238" spans="1:4" x14ac:dyDescent="0.3">
      <c r="A238" s="38"/>
      <c r="B238" s="39"/>
      <c r="C238" s="40"/>
      <c r="D238" s="41"/>
    </row>
    <row r="239" spans="1:4" x14ac:dyDescent="0.3">
      <c r="A239" s="38"/>
      <c r="B239" s="39"/>
      <c r="C239" s="40"/>
      <c r="D239" s="41"/>
    </row>
    <row r="240" spans="1:4" x14ac:dyDescent="0.3">
      <c r="A240" s="38"/>
      <c r="B240" s="39"/>
      <c r="C240" s="40"/>
      <c r="D240" s="41"/>
    </row>
    <row r="241" spans="1:4" x14ac:dyDescent="0.3">
      <c r="A241" s="38"/>
      <c r="B241" s="39"/>
      <c r="C241" s="40"/>
      <c r="D241" s="41"/>
    </row>
    <row r="242" spans="1:4" x14ac:dyDescent="0.3">
      <c r="A242" s="38"/>
      <c r="B242" s="39"/>
      <c r="C242" s="40"/>
      <c r="D242" s="41"/>
    </row>
    <row r="243" spans="1:4" x14ac:dyDescent="0.3">
      <c r="A243" s="38"/>
      <c r="B243" s="39"/>
      <c r="C243" s="40"/>
      <c r="D243" s="41"/>
    </row>
    <row r="244" spans="1:4" x14ac:dyDescent="0.3">
      <c r="A244" s="38"/>
      <c r="B244" s="39"/>
      <c r="C244" s="40"/>
      <c r="D244" s="41"/>
    </row>
    <row r="245" spans="1:4" x14ac:dyDescent="0.3">
      <c r="A245" s="38"/>
      <c r="B245" s="39"/>
      <c r="C245" s="40"/>
      <c r="D245" s="41"/>
    </row>
    <row r="246" spans="1:4" x14ac:dyDescent="0.3">
      <c r="A246" s="38"/>
      <c r="B246" s="39"/>
      <c r="C246" s="40"/>
      <c r="D246" s="41"/>
    </row>
    <row r="247" spans="1:4" x14ac:dyDescent="0.3">
      <c r="A247" s="38"/>
      <c r="B247" s="39"/>
      <c r="C247" s="40"/>
      <c r="D247" s="41"/>
    </row>
    <row r="248" spans="1:4" x14ac:dyDescent="0.3">
      <c r="A248" s="38"/>
      <c r="B248" s="39"/>
      <c r="C248" s="40"/>
      <c r="D248" s="41"/>
    </row>
    <row r="249" spans="1:4" x14ac:dyDescent="0.3">
      <c r="A249" s="38"/>
      <c r="B249" s="39"/>
      <c r="C249" s="40"/>
      <c r="D249" s="41"/>
    </row>
    <row r="250" spans="1:4" x14ac:dyDescent="0.3">
      <c r="A250" s="38"/>
      <c r="B250" s="39"/>
      <c r="C250" s="40"/>
      <c r="D250" s="41"/>
    </row>
    <row r="251" spans="1:4" x14ac:dyDescent="0.3">
      <c r="A251" s="38"/>
      <c r="B251" s="39"/>
      <c r="C251" s="40"/>
      <c r="D251" s="41"/>
    </row>
    <row r="252" spans="1:4" x14ac:dyDescent="0.3">
      <c r="A252" s="38"/>
      <c r="B252" s="39"/>
      <c r="C252" s="40"/>
      <c r="D252" s="41"/>
    </row>
    <row r="253" spans="1:4" x14ac:dyDescent="0.3">
      <c r="A253" s="38"/>
      <c r="B253" s="39"/>
      <c r="C253" s="40"/>
      <c r="D253" s="41"/>
    </row>
    <row r="254" spans="1:4" x14ac:dyDescent="0.3">
      <c r="A254" s="38"/>
      <c r="B254" s="39"/>
      <c r="C254" s="40"/>
      <c r="D254" s="41"/>
    </row>
    <row r="255" spans="1:4" x14ac:dyDescent="0.3">
      <c r="A255" s="38"/>
      <c r="B255" s="39"/>
      <c r="C255" s="40"/>
      <c r="D255" s="41"/>
    </row>
    <row r="256" spans="1:4" x14ac:dyDescent="0.3">
      <c r="A256" s="38"/>
      <c r="B256" s="39"/>
      <c r="C256" s="40"/>
      <c r="D256" s="41"/>
    </row>
    <row r="257" spans="1:4" x14ac:dyDescent="0.3">
      <c r="A257" s="38"/>
      <c r="B257" s="39"/>
      <c r="C257" s="40"/>
      <c r="D257" s="41"/>
    </row>
    <row r="258" spans="1:4" x14ac:dyDescent="0.3">
      <c r="A258" s="38"/>
      <c r="B258" s="39"/>
      <c r="C258" s="40"/>
      <c r="D258" s="41"/>
    </row>
    <row r="259" spans="1:4" x14ac:dyDescent="0.3">
      <c r="A259" s="38"/>
      <c r="B259" s="39"/>
      <c r="C259" s="40"/>
      <c r="D259" s="41"/>
    </row>
    <row r="260" spans="1:4" x14ac:dyDescent="0.3">
      <c r="A260" s="38"/>
      <c r="B260" s="39"/>
      <c r="C260" s="40"/>
      <c r="D260" s="41"/>
    </row>
    <row r="261" spans="1:4" x14ac:dyDescent="0.3">
      <c r="A261" s="38"/>
      <c r="B261" s="39"/>
      <c r="C261" s="40"/>
      <c r="D261" s="41"/>
    </row>
    <row r="262" spans="1:4" x14ac:dyDescent="0.3">
      <c r="A262" s="38"/>
      <c r="B262" s="39"/>
      <c r="C262" s="40"/>
      <c r="D262" s="41"/>
    </row>
    <row r="263" spans="1:4" x14ac:dyDescent="0.3">
      <c r="A263" s="38"/>
      <c r="B263" s="39"/>
      <c r="C263" s="40"/>
      <c r="D263" s="41"/>
    </row>
    <row r="264" spans="1:4" x14ac:dyDescent="0.3">
      <c r="A264" s="38"/>
      <c r="B264" s="39"/>
      <c r="C264" s="40"/>
      <c r="D264" s="41"/>
    </row>
    <row r="265" spans="1:4" x14ac:dyDescent="0.3">
      <c r="A265" s="38"/>
      <c r="B265" s="39"/>
      <c r="C265" s="40"/>
      <c r="D265" s="41"/>
    </row>
    <row r="266" spans="1:4" x14ac:dyDescent="0.3">
      <c r="A266" s="38"/>
      <c r="B266" s="39"/>
      <c r="C266" s="40"/>
      <c r="D266" s="41"/>
    </row>
    <row r="267" spans="1:4" x14ac:dyDescent="0.3">
      <c r="A267" s="38"/>
      <c r="B267" s="39"/>
      <c r="C267" s="40"/>
      <c r="D267" s="41"/>
    </row>
    <row r="268" spans="1:4" x14ac:dyDescent="0.3">
      <c r="A268" s="38"/>
      <c r="B268" s="39"/>
      <c r="C268" s="40"/>
      <c r="D268" s="41"/>
    </row>
    <row r="269" spans="1:4" x14ac:dyDescent="0.3">
      <c r="A269" s="38"/>
      <c r="B269" s="39"/>
      <c r="C269" s="40"/>
      <c r="D269" s="41"/>
    </row>
    <row r="270" spans="1:4" x14ac:dyDescent="0.3">
      <c r="A270" s="38"/>
      <c r="B270" s="39"/>
      <c r="C270" s="40"/>
      <c r="D270" s="41"/>
    </row>
    <row r="271" spans="1:4" x14ac:dyDescent="0.3">
      <c r="A271" s="38"/>
      <c r="B271" s="39"/>
      <c r="C271" s="40"/>
      <c r="D271" s="41"/>
    </row>
    <row r="272" spans="1:4" x14ac:dyDescent="0.3">
      <c r="A272" s="38"/>
      <c r="B272" s="39"/>
      <c r="C272" s="40"/>
      <c r="D272" s="41"/>
    </row>
    <row r="273" spans="1:4" x14ac:dyDescent="0.3">
      <c r="A273" s="38"/>
      <c r="B273" s="39"/>
      <c r="C273" s="40"/>
      <c r="D273" s="41"/>
    </row>
    <row r="274" spans="1:4" x14ac:dyDescent="0.3">
      <c r="A274" s="38"/>
      <c r="B274" s="39"/>
      <c r="C274" s="40"/>
      <c r="D274" s="41"/>
    </row>
    <row r="275" spans="1:4" x14ac:dyDescent="0.3">
      <c r="A275" s="38"/>
      <c r="B275" s="39"/>
      <c r="C275" s="40"/>
      <c r="D275" s="41"/>
    </row>
    <row r="276" spans="1:4" x14ac:dyDescent="0.3">
      <c r="A276" s="38"/>
      <c r="B276" s="39"/>
      <c r="C276" s="40"/>
      <c r="D276" s="41"/>
    </row>
    <row r="277" spans="1:4" x14ac:dyDescent="0.3">
      <c r="A277" s="38"/>
      <c r="B277" s="39"/>
      <c r="C277" s="40"/>
      <c r="D277" s="41"/>
    </row>
    <row r="278" spans="1:4" x14ac:dyDescent="0.3">
      <c r="A278" s="38"/>
      <c r="B278" s="39"/>
      <c r="C278" s="40"/>
      <c r="D278" s="41"/>
    </row>
    <row r="279" spans="1:4" x14ac:dyDescent="0.3">
      <c r="A279" s="38"/>
      <c r="B279" s="39"/>
      <c r="C279" s="40"/>
      <c r="D279" s="41"/>
    </row>
    <row r="280" spans="1:4" x14ac:dyDescent="0.3">
      <c r="A280" s="38"/>
      <c r="B280" s="39"/>
      <c r="C280" s="40"/>
      <c r="D280" s="41"/>
    </row>
    <row r="281" spans="1:4" x14ac:dyDescent="0.3">
      <c r="A281" s="38"/>
      <c r="B281" s="39"/>
      <c r="C281" s="40"/>
      <c r="D281" s="41"/>
    </row>
    <row r="282" spans="1:4" x14ac:dyDescent="0.3">
      <c r="A282" s="38"/>
      <c r="B282" s="39"/>
      <c r="C282" s="40"/>
      <c r="D282" s="41"/>
    </row>
    <row r="283" spans="1:4" x14ac:dyDescent="0.3">
      <c r="A283" s="38"/>
      <c r="B283" s="39"/>
      <c r="C283" s="40"/>
      <c r="D283" s="41"/>
    </row>
    <row r="284" spans="1:4" x14ac:dyDescent="0.3">
      <c r="A284" s="38"/>
      <c r="B284" s="39"/>
      <c r="C284" s="40"/>
      <c r="D284" s="41"/>
    </row>
    <row r="285" spans="1:4" x14ac:dyDescent="0.3">
      <c r="A285" s="38"/>
      <c r="B285" s="39"/>
      <c r="C285" s="40"/>
      <c r="D285" s="41"/>
    </row>
    <row r="286" spans="1:4" x14ac:dyDescent="0.3">
      <c r="A286" s="38"/>
      <c r="B286" s="39"/>
      <c r="C286" s="40"/>
      <c r="D286" s="41"/>
    </row>
    <row r="287" spans="1:4" x14ac:dyDescent="0.3">
      <c r="A287" s="38"/>
      <c r="B287" s="39"/>
      <c r="C287" s="40"/>
      <c r="D287" s="41"/>
    </row>
    <row r="288" spans="1:4" x14ac:dyDescent="0.3">
      <c r="A288" s="38"/>
      <c r="B288" s="39"/>
      <c r="C288" s="40"/>
      <c r="D288" s="41"/>
    </row>
    <row r="289" spans="1:4" x14ac:dyDescent="0.3">
      <c r="A289" s="38"/>
      <c r="B289" s="39"/>
      <c r="C289" s="40"/>
      <c r="D289" s="41"/>
    </row>
    <row r="290" spans="1:4" x14ac:dyDescent="0.3">
      <c r="A290" s="38"/>
      <c r="B290" s="39"/>
      <c r="C290" s="40"/>
      <c r="D290" s="41"/>
    </row>
    <row r="291" spans="1:4" x14ac:dyDescent="0.3">
      <c r="A291" s="38"/>
      <c r="B291" s="39"/>
      <c r="C291" s="40"/>
      <c r="D291" s="41"/>
    </row>
    <row r="292" spans="1:4" x14ac:dyDescent="0.3">
      <c r="A292" s="38"/>
      <c r="B292" s="39"/>
      <c r="C292" s="40"/>
      <c r="D292" s="41"/>
    </row>
    <row r="293" spans="1:4" x14ac:dyDescent="0.3">
      <c r="A293" s="38"/>
      <c r="B293" s="39"/>
      <c r="C293" s="40"/>
      <c r="D293" s="41"/>
    </row>
    <row r="294" spans="1:4" x14ac:dyDescent="0.3">
      <c r="A294" s="38"/>
      <c r="B294" s="39"/>
      <c r="C294" s="40"/>
      <c r="D294" s="41"/>
    </row>
    <row r="295" spans="1:4" x14ac:dyDescent="0.3">
      <c r="A295" s="38"/>
      <c r="B295" s="39"/>
      <c r="C295" s="40"/>
      <c r="D295" s="41"/>
    </row>
    <row r="296" spans="1:4" x14ac:dyDescent="0.3">
      <c r="A296" s="38"/>
      <c r="B296" s="39"/>
      <c r="C296" s="40"/>
      <c r="D296" s="41"/>
    </row>
    <row r="297" spans="1:4" x14ac:dyDescent="0.3">
      <c r="A297" s="38"/>
      <c r="B297" s="39"/>
      <c r="C297" s="40"/>
      <c r="D297" s="41"/>
    </row>
    <row r="298" spans="1:4" x14ac:dyDescent="0.3">
      <c r="A298" s="38"/>
      <c r="B298" s="39"/>
      <c r="C298" s="40"/>
      <c r="D298" s="41"/>
    </row>
    <row r="299" spans="1:4" x14ac:dyDescent="0.3">
      <c r="A299" s="38"/>
      <c r="B299" s="39"/>
      <c r="C299" s="40"/>
      <c r="D299" s="41"/>
    </row>
    <row r="300" spans="1:4" x14ac:dyDescent="0.3">
      <c r="A300" s="38"/>
      <c r="B300" s="39"/>
      <c r="C300" s="40"/>
      <c r="D300" s="41"/>
    </row>
  </sheetData>
  <sheetProtection algorithmName="SHA-512" hashValue="QgBAziKOsqvWSM1h8wS5o5WNAw24+mqmDPp8eqyFv/1LcELjZoxER5xpYg2/ExwACB7YF4+E0lMsWVUpJ+7NRw==" saltValue="HUMQLotNsSW2Bqv7xoAulw==" spinCount="100000" sheet="1" objects="1" scenarios="1"/>
  <mergeCells count="1">
    <mergeCell ref="A1:D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2"/>
  <dimension ref="A1:FD441"/>
  <sheetViews>
    <sheetView zoomScale="85" zoomScaleNormal="85" workbookViewId="0">
      <pane ySplit="1" topLeftCell="A2" activePane="bottomLeft" state="frozen"/>
      <selection activeCell="C6" sqref="C6"/>
      <selection pane="bottomLeft" activeCell="BO2" sqref="BO2"/>
    </sheetView>
  </sheetViews>
  <sheetFormatPr defaultColWidth="0" defaultRowHeight="15" zeroHeight="1" x14ac:dyDescent="0.25"/>
  <cols>
    <col min="1" max="1" width="9.140625" style="301" customWidth="1"/>
    <col min="2" max="2" width="11.140625" style="301" customWidth="1"/>
    <col min="3" max="3" width="9.140625" style="301" customWidth="1"/>
    <col min="4" max="4" width="9.140625" customWidth="1"/>
    <col min="5" max="5" width="12.140625" style="301" customWidth="1"/>
    <col min="6" max="6" width="7.5703125" style="277" customWidth="1"/>
    <col min="7" max="7" width="8.5703125" customWidth="1"/>
    <col min="8" max="8" width="11.28515625" style="107" customWidth="1"/>
    <col min="9" max="10" width="11.7109375" style="107" customWidth="1"/>
    <col min="11" max="11" width="8" customWidth="1"/>
    <col min="12" max="12" width="7.5703125" style="277" customWidth="1"/>
    <col min="13" max="13" width="10.28515625" style="277" customWidth="1"/>
    <col min="14" max="14" width="17.140625" style="335" customWidth="1"/>
    <col min="15" max="15" width="10" style="107" customWidth="1"/>
    <col min="16" max="16" width="11.5703125" style="277" customWidth="1"/>
    <col min="17" max="17" width="16.85546875" style="335" customWidth="1"/>
    <col min="18" max="18" width="11.85546875" style="63" customWidth="1"/>
    <col min="19" max="20" width="9.140625" style="282" customWidth="1"/>
    <col min="21" max="21" width="5.140625" style="277" customWidth="1"/>
    <col min="22" max="22" width="9.140625" style="104" customWidth="1"/>
    <col min="23" max="23" width="7.85546875" style="104" customWidth="1"/>
    <col min="24" max="25" width="15.7109375" customWidth="1"/>
    <col min="26" max="26" width="7.5703125" style="63" customWidth="1"/>
    <col min="27" max="27" width="17.5703125" customWidth="1"/>
    <col min="28" max="28" width="17.140625" customWidth="1"/>
    <col min="29" max="29" width="15" customWidth="1"/>
    <col min="30" max="30" width="14.5703125" customWidth="1"/>
    <col min="31" max="31" width="11.5703125" style="277" customWidth="1"/>
    <col min="32" max="32" width="9.42578125" style="277" customWidth="1"/>
    <col min="33" max="33" width="8.85546875" style="277" customWidth="1"/>
    <col min="34" max="35" width="9.140625" style="277" customWidth="1"/>
    <col min="36" max="37" width="9.28515625" style="107" customWidth="1"/>
    <col min="38" max="38" width="10" style="107" customWidth="1"/>
    <col min="39" max="39" width="5.5703125" style="107" customWidth="1"/>
    <col min="40" max="40" width="8.42578125" style="107" customWidth="1"/>
    <col min="41" max="41" width="6.42578125" style="277" customWidth="1"/>
    <col min="42" max="44" width="9.140625" style="256" customWidth="1"/>
    <col min="45" max="45" width="9.140625" customWidth="1"/>
    <col min="46" max="46" width="10.7109375" customWidth="1"/>
    <col min="47" max="48" width="9.140625" customWidth="1"/>
    <col min="49" max="49" width="10.140625" customWidth="1"/>
    <col min="50" max="140" width="9.140625" customWidth="1"/>
    <col min="141" max="142" width="9.140625" style="63" customWidth="1"/>
    <col min="143" max="160" width="9.140625" customWidth="1"/>
    <col min="161" max="16384" width="9.140625" hidden="1"/>
  </cols>
  <sheetData>
    <row r="1" spans="1:154" ht="24.75" customHeight="1" x14ac:dyDescent="0.25">
      <c r="A1" s="248" t="s">
        <v>570</v>
      </c>
      <c r="B1" s="248" t="s">
        <v>572</v>
      </c>
      <c r="C1" s="248" t="s">
        <v>571</v>
      </c>
      <c r="D1" s="248" t="s">
        <v>0</v>
      </c>
      <c r="E1" s="248" t="s">
        <v>1086</v>
      </c>
      <c r="F1" s="276" t="s">
        <v>1087</v>
      </c>
      <c r="G1" s="20" t="s">
        <v>95</v>
      </c>
      <c r="H1" s="279" t="s">
        <v>1088</v>
      </c>
      <c r="I1" s="279" t="s">
        <v>1089</v>
      </c>
      <c r="J1" s="279" t="s">
        <v>1090</v>
      </c>
      <c r="K1" s="249" t="s">
        <v>1091</v>
      </c>
      <c r="L1" s="276" t="s">
        <v>1092</v>
      </c>
      <c r="M1" s="276" t="s">
        <v>1112</v>
      </c>
      <c r="N1" s="250" t="s">
        <v>1113</v>
      </c>
      <c r="O1" s="279" t="s">
        <v>1114</v>
      </c>
      <c r="P1" s="276" t="s">
        <v>1115</v>
      </c>
      <c r="Q1" s="250" t="s">
        <v>1116</v>
      </c>
      <c r="R1" s="20" t="s">
        <v>1117</v>
      </c>
      <c r="S1" s="281" t="s">
        <v>1118</v>
      </c>
      <c r="T1" s="281" t="s">
        <v>1119</v>
      </c>
      <c r="U1" s="276" t="s">
        <v>584</v>
      </c>
      <c r="V1" s="251" t="s">
        <v>181</v>
      </c>
      <c r="W1" s="251" t="s">
        <v>183</v>
      </c>
      <c r="X1" s="20" t="s">
        <v>1123</v>
      </c>
      <c r="Y1" s="20" t="s">
        <v>1121</v>
      </c>
      <c r="Z1" s="20" t="s">
        <v>2148</v>
      </c>
      <c r="AA1" s="20" t="s">
        <v>1122</v>
      </c>
      <c r="AB1" s="20" t="s">
        <v>1125</v>
      </c>
      <c r="AC1" s="20" t="s">
        <v>1120</v>
      </c>
      <c r="AD1" s="20" t="s">
        <v>1124</v>
      </c>
      <c r="AE1" s="276" t="s">
        <v>1135</v>
      </c>
      <c r="AF1" s="276" t="s">
        <v>1126</v>
      </c>
      <c r="AG1" s="276" t="s">
        <v>1127</v>
      </c>
      <c r="AH1" s="276" t="s">
        <v>1130</v>
      </c>
      <c r="AI1" s="276" t="s">
        <v>1131</v>
      </c>
      <c r="AJ1" s="279" t="s">
        <v>1132</v>
      </c>
      <c r="AK1" s="279" t="s">
        <v>1133</v>
      </c>
      <c r="AL1" s="279" t="s">
        <v>1134</v>
      </c>
      <c r="AM1" s="279" t="s">
        <v>573</v>
      </c>
      <c r="AN1" s="279" t="s">
        <v>1128</v>
      </c>
      <c r="AO1" s="276" t="s">
        <v>1129</v>
      </c>
      <c r="AP1" s="279" t="s">
        <v>2146</v>
      </c>
      <c r="AQ1" s="276" t="s">
        <v>2147</v>
      </c>
      <c r="AR1" s="255"/>
      <c r="AS1" s="20" t="s">
        <v>1364</v>
      </c>
      <c r="AT1" s="20" t="s">
        <v>1136</v>
      </c>
      <c r="AU1" s="20" t="s">
        <v>1137</v>
      </c>
      <c r="AV1" s="20" t="s">
        <v>1138</v>
      </c>
      <c r="AW1" s="252" t="s">
        <v>1139</v>
      </c>
      <c r="AX1" s="250" t="s">
        <v>576</v>
      </c>
      <c r="AY1" s="20" t="s">
        <v>577</v>
      </c>
      <c r="AZ1" s="20" t="s">
        <v>578</v>
      </c>
      <c r="BA1" s="20" t="s">
        <v>579</v>
      </c>
      <c r="BB1" s="20" t="s">
        <v>580</v>
      </c>
      <c r="BC1" s="250" t="s">
        <v>581</v>
      </c>
      <c r="BD1" s="20" t="s">
        <v>582</v>
      </c>
      <c r="BE1" s="20" t="s">
        <v>583</v>
      </c>
      <c r="BF1" s="20" t="s">
        <v>1140</v>
      </c>
      <c r="BG1" s="20" t="s">
        <v>1141</v>
      </c>
      <c r="BH1" s="20" t="s">
        <v>1345</v>
      </c>
      <c r="BI1" s="20"/>
      <c r="BJ1" s="20" t="s">
        <v>1142</v>
      </c>
      <c r="BK1" s="20" t="s">
        <v>1143</v>
      </c>
      <c r="BL1" s="20" t="s">
        <v>1144</v>
      </c>
      <c r="BM1" s="20" t="s">
        <v>1145</v>
      </c>
      <c r="BN1" s="20" t="s">
        <v>1146</v>
      </c>
      <c r="BO1" s="20" t="s">
        <v>2374</v>
      </c>
      <c r="BP1" s="20" t="s">
        <v>2375</v>
      </c>
      <c r="BQ1" s="20"/>
      <c r="BR1" s="20" t="s">
        <v>1147</v>
      </c>
      <c r="BS1" s="20" t="s">
        <v>1148</v>
      </c>
      <c r="BT1" s="20" t="s">
        <v>1149</v>
      </c>
      <c r="BU1" s="20" t="s">
        <v>1150</v>
      </c>
      <c r="BV1" s="20" t="s">
        <v>1151</v>
      </c>
      <c r="BW1" s="20" t="s">
        <v>2357</v>
      </c>
      <c r="BX1" s="20"/>
      <c r="BY1" s="20" t="s">
        <v>1374</v>
      </c>
      <c r="BZ1" s="20" t="s">
        <v>1152</v>
      </c>
      <c r="CA1" s="20" t="s">
        <v>1153</v>
      </c>
      <c r="CB1" s="20" t="s">
        <v>1154</v>
      </c>
      <c r="CC1" s="20" t="s">
        <v>1155</v>
      </c>
      <c r="CD1" s="20" t="s">
        <v>537</v>
      </c>
      <c r="CE1" s="20" t="s">
        <v>1156</v>
      </c>
      <c r="CF1" s="20" t="s">
        <v>1157</v>
      </c>
      <c r="CG1" s="20" t="s">
        <v>1158</v>
      </c>
      <c r="CH1" s="20"/>
      <c r="CI1" s="20" t="s">
        <v>1308</v>
      </c>
      <c r="CJ1" s="20" t="s">
        <v>1309</v>
      </c>
      <c r="CK1" s="20"/>
      <c r="CL1" s="253"/>
      <c r="CM1" s="20" t="s">
        <v>466</v>
      </c>
      <c r="CN1" s="20" t="s">
        <v>575</v>
      </c>
      <c r="CO1" s="20" t="s">
        <v>596</v>
      </c>
      <c r="CP1" s="20" t="s">
        <v>597</v>
      </c>
      <c r="CQ1" s="20" t="s">
        <v>598</v>
      </c>
      <c r="CR1" s="20" t="s">
        <v>599</v>
      </c>
      <c r="CS1" s="20" t="s">
        <v>600</v>
      </c>
      <c r="CT1" s="20" t="s">
        <v>601</v>
      </c>
      <c r="CU1" s="20" t="s">
        <v>602</v>
      </c>
      <c r="CV1" s="20" t="s">
        <v>603</v>
      </c>
      <c r="CW1" s="20" t="s">
        <v>604</v>
      </c>
      <c r="CX1" s="20" t="s">
        <v>605</v>
      </c>
      <c r="CY1" s="20" t="s">
        <v>606</v>
      </c>
      <c r="CZ1" s="20" t="s">
        <v>607</v>
      </c>
      <c r="DA1" s="20" t="s">
        <v>608</v>
      </c>
      <c r="DB1" s="20" t="s">
        <v>609</v>
      </c>
      <c r="DC1" s="20" t="s">
        <v>610</v>
      </c>
      <c r="DD1" s="20" t="s">
        <v>611</v>
      </c>
      <c r="DE1" s="20" t="s">
        <v>612</v>
      </c>
      <c r="DF1" s="20" t="s">
        <v>613</v>
      </c>
      <c r="DG1" s="20" t="s">
        <v>614</v>
      </c>
      <c r="DH1" s="20" t="s">
        <v>615</v>
      </c>
      <c r="DI1" s="20" t="s">
        <v>616</v>
      </c>
      <c r="DJ1" s="20" t="s">
        <v>617</v>
      </c>
      <c r="DK1" s="20" t="s">
        <v>618</v>
      </c>
      <c r="DL1" s="20" t="s">
        <v>619</v>
      </c>
      <c r="DM1" s="20" t="s">
        <v>620</v>
      </c>
      <c r="DN1" s="20" t="s">
        <v>621</v>
      </c>
      <c r="DO1" s="20" t="s">
        <v>622</v>
      </c>
      <c r="DP1" s="20" t="s">
        <v>623</v>
      </c>
      <c r="DQ1" s="20" t="s">
        <v>624</v>
      </c>
      <c r="DR1" s="20" t="s">
        <v>625</v>
      </c>
      <c r="DS1" s="20" t="s">
        <v>574</v>
      </c>
      <c r="DT1" s="20" t="s">
        <v>574</v>
      </c>
      <c r="DV1" s="247"/>
      <c r="EC1" t="s">
        <v>1352</v>
      </c>
      <c r="ED1" t="s">
        <v>1361</v>
      </c>
      <c r="EE1" t="s">
        <v>1354</v>
      </c>
      <c r="EF1" t="s">
        <v>1355</v>
      </c>
      <c r="EG1" t="s">
        <v>1362</v>
      </c>
      <c r="EH1" t="s">
        <v>1363</v>
      </c>
      <c r="EI1" t="s">
        <v>1917</v>
      </c>
      <c r="EL1" s="63" t="s">
        <v>1912</v>
      </c>
      <c r="EM1" t="s">
        <v>1901</v>
      </c>
      <c r="EN1" t="s">
        <v>1902</v>
      </c>
      <c r="EO1" t="s">
        <v>1903</v>
      </c>
      <c r="EQ1" t="s">
        <v>1911</v>
      </c>
      <c r="ER1" t="s">
        <v>1913</v>
      </c>
      <c r="EU1" t="s">
        <v>1916</v>
      </c>
      <c r="EV1" t="s">
        <v>1914</v>
      </c>
      <c r="EX1" t="s">
        <v>1915</v>
      </c>
    </row>
    <row r="2" spans="1:154" x14ac:dyDescent="0.25">
      <c r="A2" s="301">
        <f t="shared" ref="A2:A6" si="0">PROJID</f>
        <v>0</v>
      </c>
      <c r="G2" s="63"/>
      <c r="K2" s="63"/>
      <c r="X2" s="63"/>
      <c r="Y2" s="63"/>
      <c r="AP2" s="107"/>
      <c r="AQ2" s="277"/>
      <c r="AS2" t="str">
        <f>IF(M05S07F02=0,"",M05S07F02)</f>
        <v/>
      </c>
      <c r="AT2" s="118">
        <f>PROJID</f>
        <v>0</v>
      </c>
      <c r="AU2">
        <f>M02S02F13</f>
        <v>0</v>
      </c>
      <c r="AV2" s="63" t="str">
        <f>VERSION</f>
        <v>New Construction v3.8.0</v>
      </c>
      <c r="AW2" t="s">
        <v>254</v>
      </c>
      <c r="AX2" s="63" t="str">
        <f>M02S04F02</f>
        <v/>
      </c>
      <c r="AY2" s="63" t="str">
        <f>IF(M02S04F01="Site (Bill Credit)",CONCATENATE("Bill Credit ",M02S04F06.1),CONCATENATE(M02S04F03," ",M02S04F04))</f>
        <v xml:space="preserve"> </v>
      </c>
      <c r="AZ2" s="63" t="str">
        <f>M02S04F07</f>
        <v/>
      </c>
      <c r="BB2" s="63" t="str">
        <f>M02S04F08</f>
        <v/>
      </c>
      <c r="BC2" s="63" t="str">
        <f>M02S04F09</f>
        <v/>
      </c>
      <c r="BD2" s="63" t="str">
        <f>M02S04F10</f>
        <v/>
      </c>
      <c r="BE2" s="106" t="str">
        <f>M02S04F05</f>
        <v/>
      </c>
      <c r="BF2" s="63" t="str">
        <f>IFERROR(INDEX(TAXENTITY[System Text],MATCH(M02S04F11,TAXENTITY[Tax Entity],0)),"")</f>
        <v/>
      </c>
      <c r="BG2" s="63" t="str">
        <f>CONCATENATE(M02S04F12,"-",M02S04F12.1)</f>
        <v>-</v>
      </c>
      <c r="BH2" s="63" t="str">
        <f>IFERROR(INDEX(PAYMENT[Payment Preference],MATCH(M02S04F01,PAYMENT[Payment to],0)),"")</f>
        <v/>
      </c>
      <c r="BJ2">
        <f>M02S03F13</f>
        <v>0</v>
      </c>
      <c r="BK2" s="105" t="str">
        <f>IF(M02S03F16=0,"",M02S03F16)</f>
        <v/>
      </c>
      <c r="BL2" s="105" t="str">
        <f>IF(M02S03F17=0,"",M02S03F17)</f>
        <v/>
      </c>
      <c r="BM2" s="118">
        <f>M02S03F15</f>
        <v>0</v>
      </c>
      <c r="BN2">
        <f>M02S03F14</f>
        <v>0</v>
      </c>
      <c r="BO2">
        <f>IF(ISNUMBER(SEARCH("Participant",M02S01F04)),"Past Program Participant",M02S01F04)</f>
        <v>0</v>
      </c>
      <c r="BP2" t="str">
        <f>M02S01F05</f>
        <v/>
      </c>
      <c r="BR2">
        <f>M02S02F11.1</f>
        <v>0</v>
      </c>
      <c r="BS2" s="105" t="str">
        <f>IF(M02S02F11.4=0,"",M02S02F11.4)</f>
        <v/>
      </c>
      <c r="BT2" s="105" t="str">
        <f>IF(M02S02F11.5=0,"",M02S02F11.5)</f>
        <v/>
      </c>
      <c r="BU2" s="118">
        <f>M02S02F11.3</f>
        <v>0</v>
      </c>
      <c r="BV2">
        <f>M02S02F11.2</f>
        <v>0</v>
      </c>
      <c r="BW2" s="301">
        <f>CUSTSUBAPP</f>
        <v>0</v>
      </c>
      <c r="BX2" s="105"/>
      <c r="BY2" t="str">
        <f>M02S02F12</f>
        <v>New Construction</v>
      </c>
      <c r="BZ2" s="277">
        <f>M02S02F29</f>
        <v>0</v>
      </c>
      <c r="CA2" s="277">
        <f>M02S02F28</f>
        <v>0</v>
      </c>
      <c r="CB2" s="277"/>
      <c r="CC2" s="277">
        <f>M02S02F30</f>
        <v>0</v>
      </c>
      <c r="CD2">
        <f>M02S02F27</f>
        <v>0</v>
      </c>
      <c r="CE2">
        <f>M02S02F26</f>
        <v>0</v>
      </c>
      <c r="CF2">
        <f>M02S02F33</f>
        <v>0</v>
      </c>
      <c r="CG2">
        <f>M02S02F32</f>
        <v>0</v>
      </c>
      <c r="CI2" s="63" t="str">
        <f>IF(M05S02F01=0,"",M05S02F01)</f>
        <v/>
      </c>
      <c r="CJ2" s="63" t="str">
        <f>IF(M05S02F02=0,"",M05S02F02)</f>
        <v/>
      </c>
      <c r="CK2" s="63"/>
      <c r="CL2" s="247"/>
      <c r="CM2" s="63">
        <f>M02S03F01</f>
        <v>0</v>
      </c>
      <c r="CN2" s="105" t="str">
        <f>IF(ENDDATE=0,"",ENDDATE)</f>
        <v/>
      </c>
      <c r="CO2" s="63">
        <f>M02S02F02</f>
        <v>0</v>
      </c>
      <c r="CP2" s="63">
        <f>M02S02F03</f>
        <v>0</v>
      </c>
      <c r="CQ2" s="63">
        <f>M02S02F04</f>
        <v>0</v>
      </c>
      <c r="CR2" s="63">
        <f>M02S02F01</f>
        <v>0</v>
      </c>
      <c r="CS2" s="63">
        <f>M02S02F05</f>
        <v>0</v>
      </c>
      <c r="CT2" s="63">
        <f>M02S02F07</f>
        <v>0</v>
      </c>
      <c r="CU2" s="63">
        <f>M02S02F08</f>
        <v>0</v>
      </c>
      <c r="CV2" s="63">
        <f>M02S02F09</f>
        <v>0</v>
      </c>
      <c r="CW2" s="63">
        <f>M02S02F10</f>
        <v>0</v>
      </c>
      <c r="CX2" s="63">
        <f>M02S02F11</f>
        <v>0</v>
      </c>
      <c r="CY2" s="63">
        <f>M02S02F02</f>
        <v>0</v>
      </c>
      <c r="CZ2" s="63">
        <f>M02S02F03</f>
        <v>0</v>
      </c>
      <c r="DA2" s="63">
        <f>M02S02F04</f>
        <v>0</v>
      </c>
      <c r="DB2" s="63">
        <f>M02S02F01</f>
        <v>0</v>
      </c>
      <c r="DC2" s="63">
        <f>M02S02F05</f>
        <v>0</v>
      </c>
      <c r="DD2" s="63">
        <f>M02S02F07</f>
        <v>0</v>
      </c>
      <c r="DE2" s="63">
        <f>M02S02F08</f>
        <v>0</v>
      </c>
      <c r="DF2" s="63">
        <f>M02S02F09</f>
        <v>0</v>
      </c>
      <c r="DG2" s="63">
        <f>M02S02F10</f>
        <v>0</v>
      </c>
      <c r="DH2" s="63">
        <f>M02S02F11</f>
        <v>0</v>
      </c>
      <c r="DI2" s="63">
        <f>M02S03F03</f>
        <v>0</v>
      </c>
      <c r="DJ2" s="63">
        <f>M02S03F04</f>
        <v>0</v>
      </c>
      <c r="DK2" s="63">
        <f>M02S03F05</f>
        <v>0</v>
      </c>
      <c r="DL2" s="63">
        <f>M02S03F02</f>
        <v>0</v>
      </c>
      <c r="DM2" s="63">
        <f>M02S03F06</f>
        <v>0</v>
      </c>
      <c r="DN2" s="63">
        <f>M02S03F08</f>
        <v>0</v>
      </c>
      <c r="DO2" s="63">
        <f>M02S03F09</f>
        <v>0</v>
      </c>
      <c r="DP2" s="63">
        <f>M02S03F10</f>
        <v>0</v>
      </c>
      <c r="DQ2" s="63">
        <f>M02S03F11</f>
        <v>0</v>
      </c>
      <c r="DR2" s="63">
        <f>M02S03F12</f>
        <v>0</v>
      </c>
      <c r="DS2" s="63"/>
      <c r="DT2" s="63"/>
      <c r="EC2" t="str">
        <f>M05S07F07</f>
        <v>Received</v>
      </c>
      <c r="ED2" t="str">
        <f>M05S07F08</f>
        <v>Not Required</v>
      </c>
      <c r="EE2" t="str">
        <f>M05S07F09</f>
        <v>Not Required</v>
      </c>
      <c r="EF2" t="str">
        <f>M05S07F10</f>
        <v>Not Required</v>
      </c>
      <c r="EG2" t="str">
        <f>M05S07F11</f>
        <v>Not Required</v>
      </c>
      <c r="EH2" t="str">
        <f>M05S07F12</f>
        <v>Received</v>
      </c>
      <c r="EI2">
        <f>M05S07F06</f>
        <v>0</v>
      </c>
      <c r="EL2" s="118">
        <f>PROJGP</f>
        <v>0</v>
      </c>
      <c r="EM2" s="105" t="str">
        <f>IF(M02S02F17=0,"",M02S02F17)</f>
        <v/>
      </c>
      <c r="EN2" s="105" t="str">
        <f>IF(M02S02F18=0,"",M02S02F18)</f>
        <v/>
      </c>
      <c r="EO2" s="105" t="str">
        <f>IF(M02S02F19=0,"",M02S02F19)</f>
        <v/>
      </c>
      <c r="EP2" s="105" t="str">
        <f>IF(M02S02F20=0,"",M02S02F20)</f>
        <v/>
      </c>
      <c r="EQ2" s="63">
        <f>M02S02F16</f>
        <v>0</v>
      </c>
      <c r="ER2">
        <f>M02S02F21</f>
        <v>0</v>
      </c>
      <c r="EU2" s="277">
        <f>M02S02F29</f>
        <v>0</v>
      </c>
      <c r="EV2" s="277">
        <f>M02S02F28</f>
        <v>0</v>
      </c>
      <c r="EX2" s="301">
        <f>M02S02F45</f>
        <v>0</v>
      </c>
    </row>
    <row r="3" spans="1:154" x14ac:dyDescent="0.25">
      <c r="A3" s="552" t="str">
        <f>CONCATENATE(MAIN3," ",M3S1)</f>
        <v>CODE-BASELINE MEASURES Whole Building Performance</v>
      </c>
      <c r="B3" s="553"/>
      <c r="C3" s="553"/>
      <c r="D3" s="302"/>
      <c r="E3" s="310"/>
      <c r="F3" s="303"/>
      <c r="G3" s="304"/>
      <c r="H3" s="305"/>
      <c r="I3" s="305"/>
      <c r="J3" s="305"/>
      <c r="K3" s="304"/>
      <c r="L3" s="303"/>
      <c r="M3" s="303"/>
      <c r="N3" s="336"/>
      <c r="O3" s="305"/>
      <c r="P3" s="303"/>
      <c r="Q3" s="336"/>
      <c r="R3" s="304"/>
      <c r="S3" s="306"/>
      <c r="T3" s="306"/>
      <c r="U3" s="303"/>
      <c r="V3" s="304"/>
      <c r="W3" s="307"/>
      <c r="X3" s="304"/>
      <c r="Y3" s="304"/>
      <c r="Z3" s="304"/>
      <c r="AA3" s="302"/>
      <c r="AB3" s="302"/>
      <c r="AC3" s="302"/>
      <c r="AD3" s="302"/>
      <c r="AE3" s="303"/>
      <c r="AF3" s="303"/>
      <c r="AG3" s="303"/>
      <c r="AH3" s="308"/>
      <c r="AI3" s="308"/>
      <c r="AJ3" s="305"/>
      <c r="AK3" s="309"/>
      <c r="AL3" s="309"/>
      <c r="AM3" s="305"/>
      <c r="AN3" s="309"/>
      <c r="AO3" s="303"/>
      <c r="AP3" s="309"/>
      <c r="AQ3" s="303"/>
    </row>
    <row r="4" spans="1:154" x14ac:dyDescent="0.25">
      <c r="A4" s="118">
        <f>PROJID</f>
        <v>0</v>
      </c>
      <c r="B4" s="118" t="str">
        <f>IF(C4="","",CONCATENATE(ROW(),"-",C4))</f>
        <v/>
      </c>
      <c r="C4" s="118" t="str">
        <f>IFERROR(IF(AND(O4&gt;0,O4&lt;&gt;""),'M03-S01'!AU16,""),"")</f>
        <v/>
      </c>
      <c r="D4" t="s">
        <v>215</v>
      </c>
      <c r="E4" s="532" t="str">
        <f>'M03-S01'!AW18</f>
        <v>Building Shell</v>
      </c>
      <c r="F4" s="277">
        <f>M02S02F28</f>
        <v>0</v>
      </c>
      <c r="G4" s="278"/>
      <c r="H4" s="278"/>
      <c r="I4" s="107">
        <f>M03S01F04</f>
        <v>0</v>
      </c>
      <c r="J4" s="107">
        <f>M03S01F04</f>
        <v>0</v>
      </c>
      <c r="K4" s="63" t="s">
        <v>134</v>
      </c>
      <c r="L4" s="277" t="str">
        <f>IF(AND(C4&lt;&gt;0,C4&lt;&gt;""),1,"")</f>
        <v/>
      </c>
      <c r="M4" s="277">
        <v>0</v>
      </c>
      <c r="N4" s="335">
        <v>0</v>
      </c>
      <c r="O4" s="107" t="str">
        <f>M03S01F17</f>
        <v/>
      </c>
      <c r="P4" s="278"/>
      <c r="Q4" s="340"/>
      <c r="R4" s="254"/>
      <c r="S4" s="254"/>
      <c r="T4" s="254"/>
      <c r="U4" s="277">
        <v>1</v>
      </c>
      <c r="V4" s="104" t="s">
        <v>1870</v>
      </c>
      <c r="W4" s="104" t="s">
        <v>1870</v>
      </c>
      <c r="X4" s="254"/>
      <c r="Y4" s="254"/>
      <c r="Z4" s="254"/>
      <c r="AA4" s="254"/>
      <c r="AB4" s="254"/>
      <c r="AC4" s="254"/>
      <c r="AD4" s="254"/>
      <c r="AE4" s="278"/>
      <c r="AF4" s="278"/>
      <c r="AG4" s="278"/>
      <c r="AH4" s="278"/>
      <c r="AJ4" s="107" t="str">
        <f>IFERROR(O4/M4,"")</f>
        <v/>
      </c>
      <c r="AK4" s="107" t="str">
        <f>IFERROR(O4/N4,"")</f>
        <v/>
      </c>
      <c r="AL4" s="107" t="str">
        <f>IFERROR(O4/L4,"")</f>
        <v/>
      </c>
      <c r="AM4" s="280"/>
      <c r="AN4" s="107" t="str">
        <f t="shared" ref="AN4:AN5" si="1">IFERROR(J4/M4/M02S02F35,"")</f>
        <v/>
      </c>
      <c r="AO4" s="277">
        <v>1</v>
      </c>
      <c r="AP4" s="278"/>
      <c r="AQ4" s="278"/>
    </row>
    <row r="5" spans="1:154" x14ac:dyDescent="0.25">
      <c r="A5" s="118">
        <f t="shared" si="0"/>
        <v>0</v>
      </c>
      <c r="B5" s="118" t="str">
        <f t="shared" ref="B5:B8" si="2">IF(C5="","",CONCATENATE(ROW(),"-",C5))</f>
        <v/>
      </c>
      <c r="C5" s="118" t="str">
        <f>IFERROR(IF(AND(M5&gt;0,M5&lt;&gt;""),'M03-S01'!AU18,""),"")</f>
        <v/>
      </c>
      <c r="D5" s="63" t="s">
        <v>215</v>
      </c>
      <c r="E5" s="301" t="str">
        <f>'M03-S01'!AW18</f>
        <v>Building Shell</v>
      </c>
      <c r="F5" s="277">
        <f>M02S02F28</f>
        <v>0</v>
      </c>
      <c r="G5" s="278"/>
      <c r="H5" s="278"/>
      <c r="I5" s="107">
        <v>0</v>
      </c>
      <c r="J5" s="107">
        <v>0</v>
      </c>
      <c r="K5" s="63" t="s">
        <v>134</v>
      </c>
      <c r="L5" s="277" t="str">
        <f t="shared" ref="L5:L8" si="3">IF(AND(C5&lt;&gt;0,C5&lt;&gt;""),1,"")</f>
        <v/>
      </c>
      <c r="M5" s="277">
        <f>'M05-S07'!AN45</f>
        <v>0</v>
      </c>
      <c r="N5" s="335">
        <f>IFERROR(ROUND(M5*INDEX(ENDUSEALL[Factor],MATCH(E5,ENDUSEALL[End Use to Coincident Peak Demand Factors],0)),4),"")</f>
        <v>0</v>
      </c>
      <c r="O5" s="107">
        <v>0</v>
      </c>
      <c r="P5" s="278"/>
      <c r="Q5" s="340"/>
      <c r="R5" s="254"/>
      <c r="S5" s="254"/>
      <c r="T5" s="254"/>
      <c r="U5" s="277">
        <v>2</v>
      </c>
      <c r="V5" s="104" t="s">
        <v>1872</v>
      </c>
      <c r="W5" s="104" t="s">
        <v>1871</v>
      </c>
      <c r="X5" s="254"/>
      <c r="Y5" s="254"/>
      <c r="Z5" s="254"/>
      <c r="AA5" s="254"/>
      <c r="AB5" s="254"/>
      <c r="AC5" s="254"/>
      <c r="AD5" s="254"/>
      <c r="AE5" s="278"/>
      <c r="AF5" s="278"/>
      <c r="AG5" s="278"/>
      <c r="AH5" s="278"/>
      <c r="AJ5" s="107" t="str">
        <f t="shared" ref="AJ5:AJ9" si="4">IFERROR(O5/M5,"")</f>
        <v/>
      </c>
      <c r="AK5" s="107" t="str">
        <f t="shared" ref="AK5:AK9" si="5">IFERROR(O5/N5,"")</f>
        <v/>
      </c>
      <c r="AM5" s="280"/>
      <c r="AN5" s="107" t="str">
        <f t="shared" si="1"/>
        <v/>
      </c>
      <c r="AO5" s="277">
        <v>1</v>
      </c>
      <c r="AP5" s="278"/>
      <c r="AQ5" s="278"/>
    </row>
    <row r="6" spans="1:154" s="63" customFormat="1" x14ac:dyDescent="0.25">
      <c r="A6" s="118">
        <f t="shared" si="0"/>
        <v>0</v>
      </c>
      <c r="B6" s="118" t="str">
        <f>IF(C6="","",CONCATENATE(ROW(),"-",C6))</f>
        <v>6-4110200</v>
      </c>
      <c r="C6" s="118" t="str">
        <f>'M05-S07'!G49</f>
        <v>4110200</v>
      </c>
      <c r="D6" s="63" t="s">
        <v>215</v>
      </c>
      <c r="E6" s="301" t="s">
        <v>161</v>
      </c>
      <c r="F6" s="277"/>
      <c r="G6" s="278"/>
      <c r="H6" s="278"/>
      <c r="I6" s="107"/>
      <c r="J6" s="107"/>
      <c r="K6" s="63" t="s">
        <v>134</v>
      </c>
      <c r="L6" s="277">
        <f>IF('M05-S07'!G52="Yes",0,1)</f>
        <v>1</v>
      </c>
      <c r="M6" s="277">
        <f>'M05-S07'!G50</f>
        <v>0</v>
      </c>
      <c r="N6" s="335">
        <f>IFERROR(ROUND(M6*INDEX(ENDUSEALL[Factor],MATCH(E6,ENDUSEALL[End Use to Coincident Peak Demand Factors],0)),4),"")</f>
        <v>0</v>
      </c>
      <c r="O6" s="107">
        <f>'M05-S07'!G51</f>
        <v>0</v>
      </c>
      <c r="P6" s="278"/>
      <c r="Q6" s="340"/>
      <c r="R6" s="254"/>
      <c r="S6" s="254"/>
      <c r="T6" s="254"/>
      <c r="U6" s="277">
        <v>3</v>
      </c>
      <c r="V6" s="104" t="s">
        <v>1897</v>
      </c>
      <c r="W6" s="104"/>
      <c r="X6" s="254"/>
      <c r="Y6" s="254"/>
      <c r="Z6" s="254"/>
      <c r="AA6" s="254"/>
      <c r="AB6" s="254"/>
      <c r="AC6" s="254"/>
      <c r="AD6" s="254"/>
      <c r="AE6" s="278"/>
      <c r="AF6" s="278"/>
      <c r="AG6" s="278"/>
      <c r="AH6" s="278"/>
      <c r="AI6" s="277"/>
      <c r="AJ6" s="107"/>
      <c r="AK6" s="107"/>
      <c r="AL6" s="107"/>
      <c r="AM6" s="280"/>
      <c r="AN6" s="107"/>
      <c r="AO6" s="277">
        <v>1</v>
      </c>
      <c r="AP6" s="278"/>
      <c r="AQ6" s="278"/>
      <c r="AR6" s="256"/>
    </row>
    <row r="7" spans="1:154" x14ac:dyDescent="0.25">
      <c r="A7" s="552" t="str">
        <f>CONCATENATE(MAIN3," ",M3S2)</f>
        <v>CODE-BASELINE MEASURES LPD Interior Lighting</v>
      </c>
      <c r="B7" s="310"/>
      <c r="C7" s="310"/>
      <c r="D7" s="302"/>
      <c r="E7" s="310"/>
      <c r="F7" s="308"/>
      <c r="G7" s="302"/>
      <c r="H7" s="309"/>
      <c r="I7" s="309"/>
      <c r="J7" s="309"/>
      <c r="K7" s="302"/>
      <c r="L7" s="308"/>
      <c r="M7" s="308"/>
      <c r="N7" s="337"/>
      <c r="O7" s="309"/>
      <c r="P7" s="308"/>
      <c r="Q7" s="337"/>
      <c r="R7" s="302"/>
      <c r="S7" s="311"/>
      <c r="T7" s="311"/>
      <c r="U7" s="308"/>
      <c r="V7" s="302"/>
      <c r="W7" s="312"/>
      <c r="X7" s="302"/>
      <c r="Y7" s="302"/>
      <c r="Z7" s="302"/>
      <c r="AA7" s="302"/>
      <c r="AB7" s="302"/>
      <c r="AC7" s="302"/>
      <c r="AD7" s="302"/>
      <c r="AE7" s="308"/>
      <c r="AF7" s="308"/>
      <c r="AG7" s="308"/>
      <c r="AH7" s="308"/>
      <c r="AI7" s="308"/>
      <c r="AJ7" s="309" t="str">
        <f t="shared" si="4"/>
        <v/>
      </c>
      <c r="AK7" s="309" t="str">
        <f t="shared" si="5"/>
        <v/>
      </c>
      <c r="AL7" s="309" t="str">
        <f t="shared" ref="AL7:AL9" si="6">IFERROR(O7/L7,"")</f>
        <v/>
      </c>
      <c r="AM7" s="309"/>
      <c r="AN7" s="309" t="str">
        <f t="shared" ref="AN7:AN9" si="7">IFERROR(J7/M7/M02S02F35,"")</f>
        <v/>
      </c>
      <c r="AO7" s="308"/>
      <c r="AP7" s="308"/>
      <c r="AQ7" s="308"/>
    </row>
    <row r="8" spans="1:154" x14ac:dyDescent="0.25">
      <c r="A8" s="118">
        <f t="shared" ref="A8" si="8">PROJID</f>
        <v>0</v>
      </c>
      <c r="B8" s="118" t="str">
        <f t="shared" si="2"/>
        <v/>
      </c>
      <c r="C8" s="118" t="str">
        <f>IFERROR(IF(J8&gt;0,'M03-S02'!AU16,""),"")</f>
        <v/>
      </c>
      <c r="D8" s="63" t="s">
        <v>215</v>
      </c>
      <c r="E8" s="301" t="str">
        <f>'M03-S02'!$AW$16</f>
        <v>Lighting</v>
      </c>
      <c r="F8" s="277">
        <f>M02S02F28</f>
        <v>0</v>
      </c>
      <c r="G8" s="254"/>
      <c r="H8" s="107">
        <f>'M03-S02'!$C$15</f>
        <v>0</v>
      </c>
      <c r="I8" s="107">
        <f>'M03-S02'!$J$15</f>
        <v>0</v>
      </c>
      <c r="J8" s="107">
        <f>'M03-S02'!$V$12</f>
        <v>0</v>
      </c>
      <c r="K8" s="63" t="s">
        <v>134</v>
      </c>
      <c r="L8" s="277" t="str">
        <f t="shared" si="3"/>
        <v/>
      </c>
      <c r="M8" s="277">
        <f>'M03-S02'!$Z$12</f>
        <v>0</v>
      </c>
      <c r="N8" s="335">
        <f>'M03-S02'!$AV$16</f>
        <v>0</v>
      </c>
      <c r="O8" s="107">
        <f>'M03-S02'!$R$12</f>
        <v>0</v>
      </c>
      <c r="P8" s="278"/>
      <c r="Q8" s="340"/>
      <c r="R8" s="340"/>
      <c r="S8" s="282">
        <f>M03S01F13</f>
        <v>0</v>
      </c>
      <c r="T8" s="282">
        <f>M03S01F13</f>
        <v>0</v>
      </c>
      <c r="U8" s="277">
        <v>1</v>
      </c>
      <c r="V8" s="104" t="s">
        <v>1864</v>
      </c>
      <c r="W8" s="104" t="s">
        <v>1865</v>
      </c>
      <c r="X8" s="254"/>
      <c r="Y8" s="254"/>
      <c r="Z8" s="254"/>
      <c r="AA8" s="254"/>
      <c r="AB8" s="254"/>
      <c r="AC8" s="254"/>
      <c r="AD8" s="254"/>
      <c r="AE8" s="254"/>
      <c r="AJ8" s="107" t="str">
        <f t="shared" ref="AJ8" si="9">IFERROR(O8/M8,"")</f>
        <v/>
      </c>
      <c r="AK8" s="107" t="str">
        <f t="shared" ref="AK8" si="10">IFERROR(O8/N8,"")</f>
        <v/>
      </c>
      <c r="AM8" s="280"/>
      <c r="AN8" s="107" t="str">
        <f t="shared" ref="AN8" si="11">IFERROR(J8/M8/M02S02F35,"")</f>
        <v/>
      </c>
      <c r="AO8" s="277">
        <v>1</v>
      </c>
      <c r="AP8" s="278"/>
      <c r="AQ8" s="278"/>
    </row>
    <row r="9" spans="1:154" x14ac:dyDescent="0.25">
      <c r="A9" s="552" t="str">
        <f>CONCATENATE(MAIN3," ",M3S3)</f>
        <v>CODE-BASELINE MEASURES M3S3</v>
      </c>
      <c r="B9" s="310"/>
      <c r="C9" s="310"/>
      <c r="D9" s="302"/>
      <c r="E9" s="310"/>
      <c r="F9" s="308"/>
      <c r="G9" s="302"/>
      <c r="H9" s="309"/>
      <c r="I9" s="309"/>
      <c r="J9" s="309"/>
      <c r="K9" s="302"/>
      <c r="L9" s="308"/>
      <c r="M9" s="308"/>
      <c r="N9" s="337"/>
      <c r="O9" s="309"/>
      <c r="P9" s="308"/>
      <c r="Q9" s="337"/>
      <c r="R9" s="302"/>
      <c r="S9" s="311"/>
      <c r="T9" s="311"/>
      <c r="U9" s="308"/>
      <c r="V9" s="313"/>
      <c r="W9" s="312"/>
      <c r="X9" s="313"/>
      <c r="Y9" s="302"/>
      <c r="Z9" s="302"/>
      <c r="AA9" s="302"/>
      <c r="AB9" s="302"/>
      <c r="AC9" s="302"/>
      <c r="AD9" s="302"/>
      <c r="AE9" s="308"/>
      <c r="AF9" s="308"/>
      <c r="AG9" s="308"/>
      <c r="AH9" s="308"/>
      <c r="AI9" s="308"/>
      <c r="AJ9" s="309" t="str">
        <f t="shared" si="4"/>
        <v/>
      </c>
      <c r="AK9" s="309" t="str">
        <f t="shared" si="5"/>
        <v/>
      </c>
      <c r="AL9" s="309" t="str">
        <f t="shared" si="6"/>
        <v/>
      </c>
      <c r="AM9" s="314"/>
      <c r="AN9" s="309" t="str">
        <f t="shared" si="7"/>
        <v/>
      </c>
      <c r="AO9" s="308"/>
      <c r="AP9" s="308"/>
      <c r="AQ9" s="308"/>
    </row>
    <row r="10" spans="1:154" x14ac:dyDescent="0.25">
      <c r="A10" s="301">
        <f t="shared" ref="A10" si="12">PROJID</f>
        <v>0</v>
      </c>
      <c r="B10" s="301" t="str">
        <f t="shared" ref="B10" si="13">IF(C10="","",CONCATENATE(ROW(),"-",C10))</f>
        <v/>
      </c>
      <c r="C10" s="301" t="str">
        <f>IFERROR(IF(OR(P10&gt;0,O10&gt;0),INDEX(PMEREFRI[Measure '#],MATCH(W10,PMEREFRI[Eff Desc 1],0)),""),"")</f>
        <v/>
      </c>
      <c r="D10" s="63"/>
      <c r="G10" s="63"/>
      <c r="K10" s="63"/>
      <c r="X10" s="301"/>
      <c r="Y10" s="63"/>
      <c r="Z10" s="254"/>
      <c r="AA10" s="254"/>
      <c r="AB10" s="254"/>
      <c r="AC10" s="254"/>
      <c r="AD10" s="254"/>
      <c r="AM10" s="280"/>
      <c r="AP10" s="277"/>
      <c r="AQ10" s="280"/>
    </row>
    <row r="11" spans="1:154" hidden="1" x14ac:dyDescent="0.25">
      <c r="A11" s="118"/>
      <c r="B11" s="118"/>
      <c r="C11" s="118"/>
      <c r="D11" s="63"/>
      <c r="G11" s="63"/>
      <c r="K11" s="63"/>
      <c r="X11" s="301"/>
      <c r="Y11" s="63"/>
      <c r="Z11" s="254"/>
      <c r="AA11" s="254"/>
      <c r="AB11" s="254"/>
      <c r="AC11" s="254"/>
      <c r="AD11" s="254"/>
      <c r="AM11" s="280"/>
      <c r="AP11" s="277"/>
      <c r="AQ11" s="280"/>
    </row>
    <row r="12" spans="1:154" hidden="1" x14ac:dyDescent="0.25">
      <c r="A12" s="118"/>
      <c r="B12" s="118"/>
      <c r="C12" s="118"/>
      <c r="D12" s="63"/>
      <c r="G12" s="63"/>
      <c r="K12" s="63"/>
      <c r="X12" s="301"/>
      <c r="Y12" s="63"/>
      <c r="Z12" s="254"/>
      <c r="AA12" s="254"/>
      <c r="AB12" s="254"/>
      <c r="AC12" s="254"/>
      <c r="AD12" s="254"/>
      <c r="AM12" s="280"/>
      <c r="AP12" s="277"/>
      <c r="AQ12" s="280"/>
    </row>
    <row r="13" spans="1:154" hidden="1" x14ac:dyDescent="0.25">
      <c r="A13" s="118"/>
      <c r="B13" s="118"/>
      <c r="C13" s="118"/>
      <c r="D13" s="63"/>
      <c r="G13" s="63"/>
      <c r="K13" s="63"/>
      <c r="X13" s="301"/>
      <c r="Y13" s="63"/>
      <c r="Z13" s="254"/>
      <c r="AA13" s="254"/>
      <c r="AB13" s="254"/>
      <c r="AC13" s="254"/>
      <c r="AD13" s="254"/>
      <c r="AM13" s="280"/>
      <c r="AP13" s="277"/>
      <c r="AQ13" s="280"/>
    </row>
    <row r="14" spans="1:154" x14ac:dyDescent="0.25">
      <c r="A14" s="552" t="str">
        <f>CONCATENATE(MAIN3," ",M3S4)</f>
        <v>CODE-BASELINE MEASURES M3S4</v>
      </c>
      <c r="B14" s="310"/>
      <c r="C14" s="310"/>
      <c r="D14" s="302"/>
      <c r="E14" s="310"/>
      <c r="F14" s="308"/>
      <c r="G14" s="302"/>
      <c r="H14" s="309"/>
      <c r="I14" s="309"/>
      <c r="J14" s="309"/>
      <c r="K14" s="302"/>
      <c r="L14" s="308"/>
      <c r="M14" s="308"/>
      <c r="N14" s="337"/>
      <c r="O14" s="309"/>
      <c r="P14" s="315"/>
      <c r="Q14" s="341"/>
      <c r="R14" s="313"/>
      <c r="S14" s="316"/>
      <c r="T14" s="316"/>
      <c r="U14" s="308"/>
      <c r="V14" s="313"/>
      <c r="W14" s="312"/>
      <c r="X14" s="313"/>
      <c r="Y14" s="302"/>
      <c r="Z14" s="302"/>
      <c r="AA14" s="302"/>
      <c r="AB14" s="302"/>
      <c r="AC14" s="302"/>
      <c r="AD14" s="302"/>
      <c r="AE14" s="315"/>
      <c r="AF14" s="315"/>
      <c r="AG14" s="315"/>
      <c r="AH14" s="315"/>
      <c r="AI14" s="315"/>
      <c r="AJ14" s="309" t="str">
        <f t="shared" ref="AJ14:AJ78" si="14">IFERROR(O14/M14,"")</f>
        <v/>
      </c>
      <c r="AK14" s="309" t="str">
        <f t="shared" ref="AK14:AK78" si="15">IFERROR(O14/N14,"")</f>
        <v/>
      </c>
      <c r="AL14" s="309" t="str">
        <f t="shared" ref="AL14:AL78" si="16">IFERROR(O14/L14,"")</f>
        <v/>
      </c>
      <c r="AM14" s="314"/>
      <c r="AN14" s="309" t="str">
        <f t="shared" ref="AN14:AN37" si="17">IFERROR(J14/M14/M02S02F35,"")</f>
        <v/>
      </c>
      <c r="AO14" s="308"/>
      <c r="AP14" s="308"/>
      <c r="AQ14" s="308"/>
    </row>
    <row r="15" spans="1:154" x14ac:dyDescent="0.25">
      <c r="A15" s="301">
        <f t="shared" ref="A15:A29" si="18">PROJID</f>
        <v>0</v>
      </c>
      <c r="B15" s="301" t="str">
        <f t="shared" ref="B15:B31" si="19">IF(C15="","",CONCATENATE(ROW(),"-",C15))</f>
        <v/>
      </c>
      <c r="C15" s="301" t="str">
        <f>IFERROR(IF(OR(P15&gt;0,O15&gt;0),INDEX(PMEREFRI[Measure '#],MATCH(W15,PMEREFRI[Eff Desc 1],0)),""),"")</f>
        <v/>
      </c>
      <c r="D15" s="63"/>
      <c r="E15" s="301" t="str">
        <f>IFERROR(INDEX(PMEREFRI[End Use Category],MATCH(W15,PMEREFRI[Eff Desc 1],0)),"")</f>
        <v/>
      </c>
      <c r="F15" s="278"/>
      <c r="G15" s="63">
        <f>INDEX('M03-S04'!$AB$16:$AB$198,2*(ROWS($G$15:G15)-1)+1)</f>
        <v>0</v>
      </c>
      <c r="H15" s="107">
        <f>INDEX('M03-S04'!$V$16:$V$198,2*(ROWS($H$15:H15)-1)+1)*INDEX('M03-S04'!$AE$16:$AE$198,2*(ROWS($H$15:H15)-1)+1)</f>
        <v>0</v>
      </c>
      <c r="I15" s="107">
        <f>INDEX('M03-S04'!$V$16:$V$198,2*(ROWS($I$15:I15)-1)+1)*INDEX('M03-S04'!$AG$16:$AG$198,2*(ROWS($I$15:I15)-1)+1)</f>
        <v>0</v>
      </c>
      <c r="J15" s="107" t="str">
        <f>INDEX('M03-S04'!$AU$16:$AU$198,2*(ROWS($J$15:J15)-1)+1)</f>
        <v/>
      </c>
      <c r="K15" s="63" t="str">
        <f>IFERROR(INDEX(PMEREFRI[Cost Basis],MATCH(W15,PMEREFRI[Eff Desc 1],0)),"")</f>
        <v/>
      </c>
      <c r="L15" s="277">
        <f>INDEX('M03-S04'!$V$16:$V$198,2*(ROWS($L$15:L15)-1)+1)</f>
        <v>0</v>
      </c>
      <c r="M15" s="277" t="str">
        <f>IFERROR(INDEX('M03-S04'!$AK$16:$AK$198,2*(ROWS($M$15:M15)-1)+1),"")</f>
        <v/>
      </c>
      <c r="N15" s="335" t="str">
        <f>IFERROR(INDEX('M03-S04'!$AV$16:$AV$198,2*(ROWS($N$15:N15)-1)+1),"")</f>
        <v/>
      </c>
      <c r="O15" s="107" t="str">
        <f>IFERROR(INDEX('M03-S04'!$AO$16:$AO$198,2*(ROWS($O$15:O15)-1)+1),"")</f>
        <v/>
      </c>
      <c r="P15" s="278"/>
      <c r="Q15" s="340"/>
      <c r="R15" s="254"/>
      <c r="S15" s="283"/>
      <c r="T15" s="283"/>
      <c r="U15" s="277">
        <f>INDEX('M03-S04'!$B$16:$B$198,2*(ROWS($U$15:U15)-1)+1)</f>
        <v>1</v>
      </c>
      <c r="V15" s="254"/>
      <c r="W15" s="104">
        <f>INDEX('M03-S04'!$C$16:$C$198,2*(ROWS($W$15:W15)-1)+1)</f>
        <v>0</v>
      </c>
      <c r="X15" s="254"/>
      <c r="Y15" s="63">
        <f>INDEX('M03-S04'!$X$16:$X$198,2*(ROWS($Y$15:Y15)-1)+1)</f>
        <v>0</v>
      </c>
      <c r="Z15" s="254"/>
      <c r="AA15" s="254"/>
      <c r="AB15" s="254"/>
      <c r="AC15" s="254"/>
      <c r="AD15" s="254"/>
      <c r="AE15" s="278"/>
      <c r="AF15" s="278"/>
      <c r="AG15" s="278"/>
      <c r="AH15" s="278"/>
      <c r="AI15" s="278"/>
      <c r="AJ15" s="107" t="str">
        <f t="shared" si="14"/>
        <v/>
      </c>
      <c r="AK15" s="107" t="str">
        <f t="shared" si="15"/>
        <v/>
      </c>
      <c r="AL15" s="107" t="str">
        <f t="shared" si="16"/>
        <v/>
      </c>
      <c r="AM15" s="280"/>
      <c r="AN15" s="107" t="str">
        <f t="shared" si="17"/>
        <v/>
      </c>
      <c r="AO15" s="278"/>
      <c r="AP15" s="278"/>
      <c r="AQ15" s="278"/>
    </row>
    <row r="16" spans="1:154" x14ac:dyDescent="0.25">
      <c r="A16" s="301">
        <f t="shared" si="18"/>
        <v>0</v>
      </c>
      <c r="B16" s="301" t="str">
        <f t="shared" ref="B16:B29" si="20">IF(C16="","",CONCATENATE(ROW(),"-",C16))</f>
        <v/>
      </c>
      <c r="C16" s="301" t="str">
        <f>IFERROR(IF(OR(P16&gt;0,O16&gt;0),INDEX(PMEREFRI[Measure '#],MATCH(W16,PMEREFRI[Eff Desc 1],0)),""),"")</f>
        <v/>
      </c>
      <c r="D16" s="63"/>
      <c r="E16" s="301" t="str">
        <f>IFERROR(INDEX(PMEREFRI[End Use Category],MATCH(W16,PMEREFRI[Eff Desc 1],0)),"")</f>
        <v/>
      </c>
      <c r="F16" s="278"/>
      <c r="G16" s="63">
        <f>INDEX('M03-S04'!$AB$16:$AB$198,2*(ROWS($G$15:G16)-1)+1)</f>
        <v>0</v>
      </c>
      <c r="H16" s="107">
        <f>INDEX('M03-S04'!$V$16:$V$198,2*(ROWS($H$15:H16)-1)+1)*INDEX('M03-S04'!$AE$16:$AE$198,2*(ROWS($H$15:H16)-1)+1)</f>
        <v>0</v>
      </c>
      <c r="I16" s="107">
        <f>INDEX('M03-S04'!$V$16:$V$198,2*(ROWS($I$15:I16)-1)+1)*INDEX('M03-S04'!$AG$16:$AG$198,2*(ROWS($I$15:I16)-1)+1)</f>
        <v>0</v>
      </c>
      <c r="J16" s="107" t="str">
        <f>INDEX('M03-S04'!$AU$16:$AU$198,2*(ROWS($J$15:J16)-1)+1)</f>
        <v/>
      </c>
      <c r="K16" s="63" t="str">
        <f>IFERROR(INDEX(PMEREFRI[Cost Basis],MATCH(W16,PMEREFRI[Eff Desc 1],0)),"")</f>
        <v/>
      </c>
      <c r="L16" s="277">
        <f>INDEX('M03-S04'!$V$16:$V$198,2*(ROWS($L$15:L16)-1)+1)</f>
        <v>0</v>
      </c>
      <c r="M16" s="277" t="str">
        <f>IFERROR(INDEX('M03-S04'!$AK$16:$AK$198,2*(ROWS($M$15:M16)-1)+1),"")</f>
        <v/>
      </c>
      <c r="N16" s="335" t="str">
        <f>IFERROR(INDEX('M03-S04'!$AV$16:$AV$198,2*(ROWS($N$15:N16)-1)+1),"")</f>
        <v/>
      </c>
      <c r="O16" s="107" t="str">
        <f>IFERROR(INDEX('M03-S04'!$AO$16:$AO$198,2*(ROWS($O$15:O16)-1)+1),"")</f>
        <v/>
      </c>
      <c r="P16" s="278"/>
      <c r="Q16" s="340"/>
      <c r="R16" s="254"/>
      <c r="S16" s="283"/>
      <c r="T16" s="283"/>
      <c r="U16" s="277">
        <f>INDEX('M03-S04'!$B$16:$B$198,2*(ROWS($U$15:U16)-1)+1)</f>
        <v>2</v>
      </c>
      <c r="V16" s="254"/>
      <c r="W16" s="104">
        <f>INDEX('M03-S04'!$C$16:$C$198,2*(ROWS($W$15:W16)-1)+1)</f>
        <v>0</v>
      </c>
      <c r="X16" s="254"/>
      <c r="Y16" s="63">
        <f>INDEX('M03-S04'!$X$16:$X$198,2*(ROWS($Y$15:Y16)-1)+1)</f>
        <v>0</v>
      </c>
      <c r="Z16" s="254"/>
      <c r="AA16" s="254"/>
      <c r="AB16" s="254"/>
      <c r="AC16" s="254"/>
      <c r="AD16" s="254"/>
      <c r="AE16" s="278"/>
      <c r="AF16" s="278"/>
      <c r="AG16" s="278"/>
      <c r="AH16" s="278"/>
      <c r="AI16" s="278"/>
      <c r="AJ16" s="107" t="str">
        <f t="shared" si="14"/>
        <v/>
      </c>
      <c r="AK16" s="107" t="str">
        <f t="shared" si="15"/>
        <v/>
      </c>
      <c r="AL16" s="107" t="str">
        <f t="shared" si="16"/>
        <v/>
      </c>
      <c r="AM16" s="280"/>
      <c r="AN16" s="107" t="str">
        <f t="shared" si="17"/>
        <v/>
      </c>
      <c r="AO16" s="278"/>
      <c r="AP16" s="278"/>
      <c r="AQ16" s="278"/>
    </row>
    <row r="17" spans="1:43" x14ac:dyDescent="0.25">
      <c r="A17" s="301">
        <f t="shared" si="18"/>
        <v>0</v>
      </c>
      <c r="B17" s="301" t="str">
        <f t="shared" si="20"/>
        <v/>
      </c>
      <c r="C17" s="301" t="str">
        <f>IFERROR(IF(OR(P17&gt;0,O17&gt;0),INDEX(PMEREFRI[Measure '#],MATCH(W17,PMEREFRI[Eff Desc 1],0)),""),"")</f>
        <v/>
      </c>
      <c r="D17" s="63"/>
      <c r="E17" s="301" t="str">
        <f>IFERROR(INDEX(PMEREFRI[End Use Category],MATCH(W17,PMEREFRI[Eff Desc 1],0)),"")</f>
        <v/>
      </c>
      <c r="F17" s="278"/>
      <c r="G17" s="63">
        <f>INDEX('M03-S04'!$AB$16:$AB$198,2*(ROWS($G$15:G17)-1)+1)</f>
        <v>0</v>
      </c>
      <c r="H17" s="107">
        <f>INDEX('M03-S04'!$V$16:$V$198,2*(ROWS($H$15:H17)-1)+1)*INDEX('M03-S04'!$AE$16:$AE$198,2*(ROWS($H$15:H17)-1)+1)</f>
        <v>0</v>
      </c>
      <c r="I17" s="107">
        <f>INDEX('M03-S04'!$V$16:$V$198,2*(ROWS($I$15:I17)-1)+1)*INDEX('M03-S04'!$AG$16:$AG$198,2*(ROWS($I$15:I17)-1)+1)</f>
        <v>0</v>
      </c>
      <c r="J17" s="107" t="str">
        <f>INDEX('M03-S04'!$AU$16:$AU$198,2*(ROWS($J$15:J17)-1)+1)</f>
        <v/>
      </c>
      <c r="K17" s="63" t="str">
        <f>IFERROR(INDEX(PMEREFRI[Cost Basis],MATCH(W17,PMEREFRI[Eff Desc 1],0)),"")</f>
        <v/>
      </c>
      <c r="L17" s="277">
        <f>INDEX('M03-S04'!$V$16:$V$198,2*(ROWS($L$15:L17)-1)+1)</f>
        <v>0</v>
      </c>
      <c r="M17" s="277" t="str">
        <f>IFERROR(INDEX('M03-S04'!$AK$16:$AK$198,2*(ROWS($M$15:M17)-1)+1),"")</f>
        <v/>
      </c>
      <c r="N17" s="335" t="str">
        <f>IFERROR(INDEX('M03-S04'!$AV$16:$AV$198,2*(ROWS($N$15:N17)-1)+1),"")</f>
        <v/>
      </c>
      <c r="O17" s="107" t="str">
        <f>IFERROR(INDEX('M03-S04'!$AO$16:$AO$198,2*(ROWS($O$15:O17)-1)+1),"")</f>
        <v/>
      </c>
      <c r="P17" s="278"/>
      <c r="Q17" s="340"/>
      <c r="R17" s="254"/>
      <c r="S17" s="283"/>
      <c r="T17" s="283"/>
      <c r="U17" s="277">
        <f>INDEX('M03-S04'!$B$16:$B$198,2*(ROWS($U$15:U17)-1)+1)</f>
        <v>3</v>
      </c>
      <c r="V17" s="254"/>
      <c r="W17" s="104">
        <f>INDEX('M03-S04'!$C$16:$C$198,2*(ROWS($W$15:W17)-1)+1)</f>
        <v>0</v>
      </c>
      <c r="X17" s="254"/>
      <c r="Y17" s="63">
        <f>INDEX('M03-S04'!$X$16:$X$198,2*(ROWS($Y$15:Y17)-1)+1)</f>
        <v>0</v>
      </c>
      <c r="Z17" s="254"/>
      <c r="AA17" s="254"/>
      <c r="AB17" s="254"/>
      <c r="AC17" s="254"/>
      <c r="AD17" s="254"/>
      <c r="AE17" s="278"/>
      <c r="AF17" s="278"/>
      <c r="AG17" s="278"/>
      <c r="AH17" s="278"/>
      <c r="AI17" s="278"/>
      <c r="AJ17" s="107" t="str">
        <f t="shared" si="14"/>
        <v/>
      </c>
      <c r="AK17" s="107" t="str">
        <f t="shared" si="15"/>
        <v/>
      </c>
      <c r="AL17" s="107" t="str">
        <f t="shared" si="16"/>
        <v/>
      </c>
      <c r="AM17" s="280"/>
      <c r="AN17" s="107" t="str">
        <f t="shared" si="17"/>
        <v/>
      </c>
      <c r="AO17" s="278"/>
      <c r="AP17" s="278"/>
      <c r="AQ17" s="278"/>
    </row>
    <row r="18" spans="1:43" x14ac:dyDescent="0.25">
      <c r="A18" s="301">
        <f t="shared" si="18"/>
        <v>0</v>
      </c>
      <c r="B18" s="301" t="str">
        <f t="shared" si="20"/>
        <v/>
      </c>
      <c r="C18" s="301" t="str">
        <f>IFERROR(IF(OR(P18&gt;0,O18&gt;0),INDEX(PMEREFRI[Measure '#],MATCH(W18,PMEREFRI[Eff Desc 1],0)),""),"")</f>
        <v/>
      </c>
      <c r="D18" s="63"/>
      <c r="E18" s="301" t="str">
        <f>IFERROR(INDEX(PMEREFRI[End Use Category],MATCH(W18,PMEREFRI[Eff Desc 1],0)),"")</f>
        <v/>
      </c>
      <c r="F18" s="278"/>
      <c r="G18" s="63">
        <f>INDEX('M03-S04'!$AB$16:$AB$198,2*(ROWS($G$15:G18)-1)+1)</f>
        <v>0</v>
      </c>
      <c r="H18" s="107">
        <f>INDEX('M03-S04'!$V$16:$V$198,2*(ROWS($H$15:H18)-1)+1)*INDEX('M03-S04'!$AE$16:$AE$198,2*(ROWS($H$15:H18)-1)+1)</f>
        <v>0</v>
      </c>
      <c r="I18" s="107">
        <f>INDEX('M03-S04'!$V$16:$V$198,2*(ROWS($I$15:I18)-1)+1)*INDEX('M03-S04'!$AG$16:$AG$198,2*(ROWS($I$15:I18)-1)+1)</f>
        <v>0</v>
      </c>
      <c r="J18" s="107" t="str">
        <f>INDEX('M03-S04'!$AU$16:$AU$198,2*(ROWS($J$15:J18)-1)+1)</f>
        <v/>
      </c>
      <c r="K18" s="63" t="str">
        <f>IFERROR(INDEX(PMEREFRI[Cost Basis],MATCH(W18,PMEREFRI[Eff Desc 1],0)),"")</f>
        <v/>
      </c>
      <c r="L18" s="277">
        <f>INDEX('M03-S04'!$V$16:$V$198,2*(ROWS($L$15:L18)-1)+1)</f>
        <v>0</v>
      </c>
      <c r="M18" s="277" t="str">
        <f>IFERROR(INDEX('M03-S04'!$AK$16:$AK$198,2*(ROWS($M$15:M18)-1)+1),"")</f>
        <v/>
      </c>
      <c r="N18" s="335" t="str">
        <f>IFERROR(INDEX('M03-S04'!$AV$16:$AV$198,2*(ROWS($N$15:N18)-1)+1),"")</f>
        <v/>
      </c>
      <c r="O18" s="107" t="str">
        <f>IFERROR(INDEX('M03-S04'!$AO$16:$AO$198,2*(ROWS($O$15:O18)-1)+1),"")</f>
        <v/>
      </c>
      <c r="P18" s="278"/>
      <c r="Q18" s="340"/>
      <c r="R18" s="254"/>
      <c r="S18" s="283"/>
      <c r="T18" s="283"/>
      <c r="U18" s="277">
        <f>INDEX('M03-S04'!$B$16:$B$198,2*(ROWS($U$15:U18)-1)+1)</f>
        <v>4</v>
      </c>
      <c r="V18" s="254"/>
      <c r="W18" s="104">
        <f>INDEX('M03-S04'!$C$16:$C$198,2*(ROWS($W$15:W18)-1)+1)</f>
        <v>0</v>
      </c>
      <c r="X18" s="254"/>
      <c r="Y18" s="63">
        <f>INDEX('M03-S04'!$X$16:$X$198,2*(ROWS($Y$15:Y18)-1)+1)</f>
        <v>0</v>
      </c>
      <c r="Z18" s="254"/>
      <c r="AA18" s="254"/>
      <c r="AB18" s="254"/>
      <c r="AC18" s="254"/>
      <c r="AD18" s="254"/>
      <c r="AE18" s="278"/>
      <c r="AF18" s="278"/>
      <c r="AG18" s="278"/>
      <c r="AH18" s="278"/>
      <c r="AI18" s="278"/>
      <c r="AJ18" s="107" t="str">
        <f t="shared" si="14"/>
        <v/>
      </c>
      <c r="AK18" s="107" t="str">
        <f t="shared" si="15"/>
        <v/>
      </c>
      <c r="AL18" s="107" t="str">
        <f t="shared" si="16"/>
        <v/>
      </c>
      <c r="AM18" s="280"/>
      <c r="AN18" s="107" t="str">
        <f t="shared" si="17"/>
        <v/>
      </c>
      <c r="AO18" s="278"/>
      <c r="AP18" s="278"/>
      <c r="AQ18" s="278"/>
    </row>
    <row r="19" spans="1:43" x14ac:dyDescent="0.25">
      <c r="A19" s="301">
        <f t="shared" si="18"/>
        <v>0</v>
      </c>
      <c r="B19" s="301" t="str">
        <f t="shared" si="20"/>
        <v/>
      </c>
      <c r="C19" s="301" t="str">
        <f>IFERROR(IF(OR(P19&gt;0,O19&gt;0),INDEX(PMEREFRI[Measure '#],MATCH(W19,PMEREFRI[Eff Desc 1],0)),""),"")</f>
        <v/>
      </c>
      <c r="D19" s="63"/>
      <c r="E19" s="301" t="str">
        <f>IFERROR(INDEX(PMEREFRI[End Use Category],MATCH(W19,PMEREFRI[Eff Desc 1],0)),"")</f>
        <v/>
      </c>
      <c r="F19" s="278"/>
      <c r="G19" s="63">
        <f>INDEX('M03-S04'!$AB$16:$AB$198,2*(ROWS($G$15:G19)-1)+1)</f>
        <v>0</v>
      </c>
      <c r="H19" s="107">
        <f>INDEX('M03-S04'!$V$16:$V$198,2*(ROWS($H$15:H19)-1)+1)*INDEX('M03-S04'!$AE$16:$AE$198,2*(ROWS($H$15:H19)-1)+1)</f>
        <v>0</v>
      </c>
      <c r="I19" s="107">
        <f>INDEX('M03-S04'!$V$16:$V$198,2*(ROWS($I$15:I19)-1)+1)*INDEX('M03-S04'!$AG$16:$AG$198,2*(ROWS($I$15:I19)-1)+1)</f>
        <v>0</v>
      </c>
      <c r="J19" s="107" t="str">
        <f>INDEX('M03-S04'!$AU$16:$AU$198,2*(ROWS($J$15:J19)-1)+1)</f>
        <v/>
      </c>
      <c r="K19" s="63" t="str">
        <f>IFERROR(INDEX(PMEREFRI[Cost Basis],MATCH(W19,PMEREFRI[Eff Desc 1],0)),"")</f>
        <v/>
      </c>
      <c r="L19" s="277">
        <f>INDEX('M03-S04'!$V$16:$V$198,2*(ROWS($L$15:L19)-1)+1)</f>
        <v>0</v>
      </c>
      <c r="M19" s="277" t="str">
        <f>IFERROR(INDEX('M03-S04'!$AK$16:$AK$198,2*(ROWS($M$15:M19)-1)+1),"")</f>
        <v/>
      </c>
      <c r="N19" s="335" t="str">
        <f>IFERROR(INDEX('M03-S04'!$AV$16:$AV$198,2*(ROWS($N$15:N19)-1)+1),"")</f>
        <v/>
      </c>
      <c r="O19" s="107" t="str">
        <f>IFERROR(INDEX('M03-S04'!$AO$16:$AO$198,2*(ROWS($O$15:O19)-1)+1),"")</f>
        <v/>
      </c>
      <c r="P19" s="278"/>
      <c r="Q19" s="340"/>
      <c r="R19" s="254"/>
      <c r="S19" s="283"/>
      <c r="T19" s="283"/>
      <c r="U19" s="277">
        <f>INDEX('M03-S04'!$B$16:$B$198,2*(ROWS($U$15:U19)-1)+1)</f>
        <v>5</v>
      </c>
      <c r="V19" s="254"/>
      <c r="W19" s="104">
        <f>INDEX('M03-S04'!$C$16:$C$198,2*(ROWS($W$15:W19)-1)+1)</f>
        <v>0</v>
      </c>
      <c r="X19" s="254"/>
      <c r="Y19" s="63">
        <f>INDEX('M03-S04'!$X$16:$X$198,2*(ROWS($Y$15:Y19)-1)+1)</f>
        <v>0</v>
      </c>
      <c r="Z19" s="254"/>
      <c r="AA19" s="254"/>
      <c r="AB19" s="254"/>
      <c r="AC19" s="254"/>
      <c r="AD19" s="254"/>
      <c r="AE19" s="278"/>
      <c r="AF19" s="278"/>
      <c r="AG19" s="278"/>
      <c r="AH19" s="278"/>
      <c r="AI19" s="278"/>
      <c r="AJ19" s="107" t="str">
        <f t="shared" si="14"/>
        <v/>
      </c>
      <c r="AK19" s="107" t="str">
        <f t="shared" si="15"/>
        <v/>
      </c>
      <c r="AL19" s="107" t="str">
        <f t="shared" si="16"/>
        <v/>
      </c>
      <c r="AM19" s="280"/>
      <c r="AN19" s="107" t="str">
        <f t="shared" si="17"/>
        <v/>
      </c>
      <c r="AO19" s="278"/>
      <c r="AP19" s="278"/>
      <c r="AQ19" s="278"/>
    </row>
    <row r="20" spans="1:43" x14ac:dyDescent="0.25">
      <c r="A20" s="301">
        <f t="shared" si="18"/>
        <v>0</v>
      </c>
      <c r="B20" s="301" t="str">
        <f t="shared" si="20"/>
        <v/>
      </c>
      <c r="C20" s="301" t="str">
        <f>IFERROR(IF(OR(P20&gt;0,O20&gt;0),INDEX(PMEREFRI[Measure '#],MATCH(W20,PMEREFRI[Eff Desc 1],0)),""),"")</f>
        <v/>
      </c>
      <c r="D20" s="63"/>
      <c r="E20" s="301" t="str">
        <f>IFERROR(INDEX(PMEREFRI[End Use Category],MATCH(W20,PMEREFRI[Eff Desc 1],0)),"")</f>
        <v/>
      </c>
      <c r="F20" s="278"/>
      <c r="G20" s="63">
        <f>INDEX('M03-S04'!$AB$16:$AB$198,2*(ROWS($G$15:G20)-1)+1)</f>
        <v>0</v>
      </c>
      <c r="H20" s="107">
        <f>INDEX('M03-S04'!$V$16:$V$198,2*(ROWS($H$15:H20)-1)+1)*INDEX('M03-S04'!$AE$16:$AE$198,2*(ROWS($H$15:H20)-1)+1)</f>
        <v>0</v>
      </c>
      <c r="I20" s="107">
        <f>INDEX('M03-S04'!$V$16:$V$198,2*(ROWS($I$15:I20)-1)+1)*INDEX('M03-S04'!$AG$16:$AG$198,2*(ROWS($I$15:I20)-1)+1)</f>
        <v>0</v>
      </c>
      <c r="J20" s="107" t="str">
        <f>INDEX('M03-S04'!$AU$16:$AU$198,2*(ROWS($J$15:J20)-1)+1)</f>
        <v/>
      </c>
      <c r="K20" s="63" t="str">
        <f>IFERROR(INDEX(PMEREFRI[Cost Basis],MATCH(W20,PMEREFRI[Eff Desc 1],0)),"")</f>
        <v/>
      </c>
      <c r="L20" s="277">
        <f>INDEX('M03-S04'!$V$16:$V$198,2*(ROWS($L$15:L20)-1)+1)</f>
        <v>0</v>
      </c>
      <c r="M20" s="277" t="str">
        <f>IFERROR(INDEX('M03-S04'!$AK$16:$AK$198,2*(ROWS($M$15:M20)-1)+1),"")</f>
        <v/>
      </c>
      <c r="N20" s="335" t="str">
        <f>IFERROR(INDEX('M03-S04'!$AV$16:$AV$198,2*(ROWS($N$15:N20)-1)+1),"")</f>
        <v/>
      </c>
      <c r="O20" s="107" t="str">
        <f>IFERROR(INDEX('M03-S04'!$AO$16:$AO$198,2*(ROWS($O$15:O20)-1)+1),"")</f>
        <v/>
      </c>
      <c r="P20" s="278"/>
      <c r="Q20" s="340"/>
      <c r="R20" s="254"/>
      <c r="S20" s="283"/>
      <c r="T20" s="283"/>
      <c r="U20" s="277">
        <f>INDEX('M03-S04'!$B$16:$B$198,2*(ROWS($U$15:U20)-1)+1)</f>
        <v>6</v>
      </c>
      <c r="V20" s="254"/>
      <c r="W20" s="104">
        <f>INDEX('M03-S04'!$C$16:$C$198,2*(ROWS($W$15:W20)-1)+1)</f>
        <v>0</v>
      </c>
      <c r="X20" s="254"/>
      <c r="Y20" s="63">
        <f>INDEX('M03-S04'!$X$16:$X$198,2*(ROWS($Y$15:Y20)-1)+1)</f>
        <v>0</v>
      </c>
      <c r="Z20" s="254"/>
      <c r="AA20" s="254"/>
      <c r="AB20" s="254"/>
      <c r="AC20" s="254"/>
      <c r="AD20" s="254"/>
      <c r="AE20" s="278"/>
      <c r="AF20" s="278"/>
      <c r="AG20" s="278"/>
      <c r="AH20" s="278"/>
      <c r="AI20" s="278"/>
      <c r="AJ20" s="107" t="str">
        <f t="shared" si="14"/>
        <v/>
      </c>
      <c r="AK20" s="107" t="str">
        <f t="shared" si="15"/>
        <v/>
      </c>
      <c r="AL20" s="107" t="str">
        <f t="shared" si="16"/>
        <v/>
      </c>
      <c r="AM20" s="280"/>
      <c r="AN20" s="107" t="str">
        <f t="shared" si="17"/>
        <v/>
      </c>
      <c r="AO20" s="278"/>
      <c r="AP20" s="278"/>
      <c r="AQ20" s="278"/>
    </row>
    <row r="21" spans="1:43" x14ac:dyDescent="0.25">
      <c r="A21" s="301">
        <f t="shared" si="18"/>
        <v>0</v>
      </c>
      <c r="B21" s="301" t="str">
        <f t="shared" si="20"/>
        <v/>
      </c>
      <c r="C21" s="301" t="str">
        <f>IFERROR(IF(OR(P21&gt;0,O21&gt;0),INDEX(PMEREFRI[Measure '#],MATCH(W21,PMEREFRI[Eff Desc 1],0)),""),"")</f>
        <v/>
      </c>
      <c r="D21" s="63"/>
      <c r="E21" s="301" t="str">
        <f>IFERROR(INDEX(PMEREFRI[End Use Category],MATCH(W21,PMEREFRI[Eff Desc 1],0)),"")</f>
        <v/>
      </c>
      <c r="F21" s="278"/>
      <c r="G21" s="63">
        <f>INDEX('M03-S04'!$AB$16:$AB$198,2*(ROWS($G$15:G21)-1)+1)</f>
        <v>0</v>
      </c>
      <c r="H21" s="107">
        <f>INDEX('M03-S04'!$V$16:$V$198,2*(ROWS($H$15:H21)-1)+1)*INDEX('M03-S04'!$AE$16:$AE$198,2*(ROWS($H$15:H21)-1)+1)</f>
        <v>0</v>
      </c>
      <c r="I21" s="107">
        <f>INDEX('M03-S04'!$V$16:$V$198,2*(ROWS($I$15:I21)-1)+1)*INDEX('M03-S04'!$AG$16:$AG$198,2*(ROWS($I$15:I21)-1)+1)</f>
        <v>0</v>
      </c>
      <c r="J21" s="107" t="str">
        <f>INDEX('M03-S04'!$AU$16:$AU$198,2*(ROWS($J$15:J21)-1)+1)</f>
        <v/>
      </c>
      <c r="K21" s="63" t="str">
        <f>IFERROR(INDEX(PMEREFRI[Cost Basis],MATCH(W21,PMEREFRI[Eff Desc 1],0)),"")</f>
        <v/>
      </c>
      <c r="L21" s="277">
        <f>INDEX('M03-S04'!$V$16:$V$198,2*(ROWS($L$15:L21)-1)+1)</f>
        <v>0</v>
      </c>
      <c r="M21" s="277" t="str">
        <f>IFERROR(INDEX('M03-S04'!$AK$16:$AK$198,2*(ROWS($M$15:M21)-1)+1),"")</f>
        <v/>
      </c>
      <c r="N21" s="335" t="str">
        <f>IFERROR(INDEX('M03-S04'!$AV$16:$AV$198,2*(ROWS($N$15:N21)-1)+1),"")</f>
        <v/>
      </c>
      <c r="O21" s="107" t="str">
        <f>IFERROR(INDEX('M03-S04'!$AO$16:$AO$198,2*(ROWS($O$15:O21)-1)+1),"")</f>
        <v/>
      </c>
      <c r="P21" s="278"/>
      <c r="Q21" s="340"/>
      <c r="R21" s="254"/>
      <c r="S21" s="283"/>
      <c r="T21" s="283"/>
      <c r="U21" s="277">
        <f>INDEX('M03-S04'!$B$16:$B$198,2*(ROWS($U$15:U21)-1)+1)</f>
        <v>7</v>
      </c>
      <c r="V21" s="254"/>
      <c r="W21" s="104">
        <f>INDEX('M03-S04'!$C$16:$C$198,2*(ROWS($W$15:W21)-1)+1)</f>
        <v>0</v>
      </c>
      <c r="X21" s="254"/>
      <c r="Y21" s="63">
        <f>INDEX('M03-S04'!$X$16:$X$198,2*(ROWS($Y$15:Y21)-1)+1)</f>
        <v>0</v>
      </c>
      <c r="Z21" s="254"/>
      <c r="AA21" s="254"/>
      <c r="AB21" s="254"/>
      <c r="AC21" s="254"/>
      <c r="AD21" s="254"/>
      <c r="AE21" s="278"/>
      <c r="AF21" s="278"/>
      <c r="AG21" s="278"/>
      <c r="AH21" s="278"/>
      <c r="AI21" s="278"/>
      <c r="AJ21" s="107" t="str">
        <f t="shared" si="14"/>
        <v/>
      </c>
      <c r="AK21" s="107" t="str">
        <f t="shared" si="15"/>
        <v/>
      </c>
      <c r="AL21" s="107" t="str">
        <f t="shared" si="16"/>
        <v/>
      </c>
      <c r="AM21" s="280"/>
      <c r="AN21" s="107" t="str">
        <f t="shared" si="17"/>
        <v/>
      </c>
      <c r="AO21" s="278"/>
      <c r="AP21" s="278"/>
      <c r="AQ21" s="278"/>
    </row>
    <row r="22" spans="1:43" x14ac:dyDescent="0.25">
      <c r="A22" s="301">
        <f t="shared" si="18"/>
        <v>0</v>
      </c>
      <c r="B22" s="301" t="str">
        <f t="shared" si="20"/>
        <v/>
      </c>
      <c r="C22" s="301" t="str">
        <f>IFERROR(IF(OR(P22&gt;0,O22&gt;0),INDEX(PMEREFRI[Measure '#],MATCH(W22,PMEREFRI[Eff Desc 1],0)),""),"")</f>
        <v/>
      </c>
      <c r="D22" s="63"/>
      <c r="E22" s="301" t="str">
        <f>IFERROR(INDEX(PMEREFRI[End Use Category],MATCH(W22,PMEREFRI[Eff Desc 1],0)),"")</f>
        <v/>
      </c>
      <c r="F22" s="278"/>
      <c r="G22" s="63">
        <f>INDEX('M03-S04'!$AB$16:$AB$198,2*(ROWS($G$15:G22)-1)+1)</f>
        <v>0</v>
      </c>
      <c r="H22" s="107">
        <f>INDEX('M03-S04'!$V$16:$V$198,2*(ROWS($H$15:H22)-1)+1)*INDEX('M03-S04'!$AE$16:$AE$198,2*(ROWS($H$15:H22)-1)+1)</f>
        <v>0</v>
      </c>
      <c r="I22" s="107">
        <f>INDEX('M03-S04'!$V$16:$V$198,2*(ROWS($I$15:I22)-1)+1)*INDEX('M03-S04'!$AG$16:$AG$198,2*(ROWS($I$15:I22)-1)+1)</f>
        <v>0</v>
      </c>
      <c r="J22" s="107" t="str">
        <f>INDEX('M03-S04'!$AU$16:$AU$198,2*(ROWS($J$15:J22)-1)+1)</f>
        <v/>
      </c>
      <c r="K22" s="63" t="str">
        <f>IFERROR(INDEX(PMEREFRI[Cost Basis],MATCH(W22,PMEREFRI[Eff Desc 1],0)),"")</f>
        <v/>
      </c>
      <c r="L22" s="277">
        <f>INDEX('M03-S04'!$V$16:$V$198,2*(ROWS($L$15:L22)-1)+1)</f>
        <v>0</v>
      </c>
      <c r="M22" s="277" t="str">
        <f>IFERROR(INDEX('M03-S04'!$AK$16:$AK$198,2*(ROWS($M$15:M22)-1)+1),"")</f>
        <v/>
      </c>
      <c r="N22" s="335" t="str">
        <f>IFERROR(INDEX('M03-S04'!$AV$16:$AV$198,2*(ROWS($N$15:N22)-1)+1),"")</f>
        <v/>
      </c>
      <c r="O22" s="107" t="str">
        <f>IFERROR(INDEX('M03-S04'!$AO$16:$AO$198,2*(ROWS($O$15:O22)-1)+1),"")</f>
        <v/>
      </c>
      <c r="P22" s="278"/>
      <c r="Q22" s="340"/>
      <c r="R22" s="254"/>
      <c r="S22" s="283"/>
      <c r="T22" s="283"/>
      <c r="U22" s="277">
        <f>INDEX('M03-S04'!$B$16:$B$198,2*(ROWS($U$15:U22)-1)+1)</f>
        <v>8</v>
      </c>
      <c r="V22" s="254"/>
      <c r="W22" s="104">
        <f>INDEX('M03-S04'!$C$16:$C$198,2*(ROWS($W$15:W22)-1)+1)</f>
        <v>0</v>
      </c>
      <c r="X22" s="254"/>
      <c r="Y22" s="63">
        <f>INDEX('M03-S04'!$X$16:$X$198,2*(ROWS($Y$15:Y22)-1)+1)</f>
        <v>0</v>
      </c>
      <c r="Z22" s="254"/>
      <c r="AA22" s="254"/>
      <c r="AB22" s="254"/>
      <c r="AC22" s="254"/>
      <c r="AD22" s="254"/>
      <c r="AE22" s="278"/>
      <c r="AF22" s="278"/>
      <c r="AG22" s="278"/>
      <c r="AH22" s="278"/>
      <c r="AI22" s="278"/>
      <c r="AJ22" s="107" t="str">
        <f t="shared" si="14"/>
        <v/>
      </c>
      <c r="AK22" s="107" t="str">
        <f t="shared" si="15"/>
        <v/>
      </c>
      <c r="AL22" s="107" t="str">
        <f t="shared" si="16"/>
        <v/>
      </c>
      <c r="AM22" s="280"/>
      <c r="AN22" s="107" t="str">
        <f t="shared" si="17"/>
        <v/>
      </c>
      <c r="AO22" s="278"/>
      <c r="AP22" s="278"/>
      <c r="AQ22" s="278"/>
    </row>
    <row r="23" spans="1:43" x14ac:dyDescent="0.25">
      <c r="A23" s="301">
        <f t="shared" si="18"/>
        <v>0</v>
      </c>
      <c r="B23" s="301" t="str">
        <f t="shared" si="20"/>
        <v/>
      </c>
      <c r="C23" s="301" t="str">
        <f>IFERROR(IF(OR(P23&gt;0,O23&gt;0),INDEX(PMEREFRI[Measure '#],MATCH(W23,PMEREFRI[Eff Desc 1],0)),""),"")</f>
        <v/>
      </c>
      <c r="D23" s="63"/>
      <c r="E23" s="301" t="str">
        <f>IFERROR(INDEX(PMEREFRI[End Use Category],MATCH(W23,PMEREFRI[Eff Desc 1],0)),"")</f>
        <v/>
      </c>
      <c r="F23" s="278"/>
      <c r="G23" s="63">
        <f>INDEX('M03-S04'!$AB$16:$AB$198,2*(ROWS($G$15:G23)-1)+1)</f>
        <v>0</v>
      </c>
      <c r="H23" s="107">
        <f>INDEX('M03-S04'!$V$16:$V$198,2*(ROWS($H$15:H23)-1)+1)*INDEX('M03-S04'!$AE$16:$AE$198,2*(ROWS($H$15:H23)-1)+1)</f>
        <v>0</v>
      </c>
      <c r="I23" s="107">
        <f>INDEX('M03-S04'!$V$16:$V$198,2*(ROWS($I$15:I23)-1)+1)*INDEX('M03-S04'!$AG$16:$AG$198,2*(ROWS($I$15:I23)-1)+1)</f>
        <v>0</v>
      </c>
      <c r="J23" s="107" t="str">
        <f>INDEX('M03-S04'!$AU$16:$AU$198,2*(ROWS($J$15:J23)-1)+1)</f>
        <v/>
      </c>
      <c r="K23" s="63" t="str">
        <f>IFERROR(INDEX(PMEREFRI[Cost Basis],MATCH(W23,PMEREFRI[Eff Desc 1],0)),"")</f>
        <v/>
      </c>
      <c r="L23" s="277">
        <f>INDEX('M03-S04'!$V$16:$V$198,2*(ROWS($L$15:L23)-1)+1)</f>
        <v>0</v>
      </c>
      <c r="M23" s="277" t="str">
        <f>IFERROR(INDEX('M03-S04'!$AK$16:$AK$198,2*(ROWS($M$15:M23)-1)+1),"")</f>
        <v/>
      </c>
      <c r="N23" s="335" t="str">
        <f>IFERROR(INDEX('M03-S04'!$AV$16:$AV$198,2*(ROWS($N$15:N23)-1)+1),"")</f>
        <v/>
      </c>
      <c r="O23" s="107" t="str">
        <f>IFERROR(INDEX('M03-S04'!$AO$16:$AO$198,2*(ROWS($O$15:O23)-1)+1),"")</f>
        <v/>
      </c>
      <c r="P23" s="278"/>
      <c r="Q23" s="340"/>
      <c r="R23" s="254"/>
      <c r="S23" s="283"/>
      <c r="T23" s="283"/>
      <c r="U23" s="277">
        <f>INDEX('M03-S04'!$B$16:$B$198,2*(ROWS($U$15:U23)-1)+1)</f>
        <v>9</v>
      </c>
      <c r="V23" s="254"/>
      <c r="W23" s="104">
        <f>INDEX('M03-S04'!$C$16:$C$198,2*(ROWS($W$15:W23)-1)+1)</f>
        <v>0</v>
      </c>
      <c r="X23" s="254"/>
      <c r="Y23" s="63">
        <f>INDEX('M03-S04'!$X$16:$X$198,2*(ROWS($Y$15:Y23)-1)+1)</f>
        <v>0</v>
      </c>
      <c r="Z23" s="254"/>
      <c r="AA23" s="254"/>
      <c r="AB23" s="254"/>
      <c r="AC23" s="254"/>
      <c r="AD23" s="254"/>
      <c r="AE23" s="278"/>
      <c r="AF23" s="278"/>
      <c r="AG23" s="278"/>
      <c r="AH23" s="278"/>
      <c r="AI23" s="278"/>
      <c r="AJ23" s="107" t="str">
        <f t="shared" si="14"/>
        <v/>
      </c>
      <c r="AK23" s="107" t="str">
        <f t="shared" si="15"/>
        <v/>
      </c>
      <c r="AL23" s="107" t="str">
        <f t="shared" si="16"/>
        <v/>
      </c>
      <c r="AM23" s="280"/>
      <c r="AN23" s="107" t="str">
        <f t="shared" si="17"/>
        <v/>
      </c>
      <c r="AO23" s="278"/>
      <c r="AP23" s="278"/>
      <c r="AQ23" s="278"/>
    </row>
    <row r="24" spans="1:43" x14ac:dyDescent="0.25">
      <c r="A24" s="301">
        <f t="shared" si="18"/>
        <v>0</v>
      </c>
      <c r="B24" s="301" t="str">
        <f t="shared" si="20"/>
        <v/>
      </c>
      <c r="C24" s="301" t="str">
        <f>IFERROR(IF(OR(P24&gt;0,O24&gt;0),INDEX(PMEREFRI[Measure '#],MATCH(W24,PMEREFRI[Eff Desc 1],0)),""),"")</f>
        <v/>
      </c>
      <c r="D24" s="63"/>
      <c r="E24" s="301" t="str">
        <f>IFERROR(INDEX(PMEREFRI[End Use Category],MATCH(W24,PMEREFRI[Eff Desc 1],0)),"")</f>
        <v/>
      </c>
      <c r="F24" s="278"/>
      <c r="G24" s="63">
        <f>INDEX('M03-S04'!$AB$16:$AB$198,2*(ROWS($G$15:G24)-1)+1)</f>
        <v>0</v>
      </c>
      <c r="H24" s="107">
        <f>INDEX('M03-S04'!$V$16:$V$198,2*(ROWS($H$15:H24)-1)+1)*INDEX('M03-S04'!$AE$16:$AE$198,2*(ROWS($H$15:H24)-1)+1)</f>
        <v>0</v>
      </c>
      <c r="I24" s="107">
        <f>INDEX('M03-S04'!$V$16:$V$198,2*(ROWS($I$15:I24)-1)+1)*INDEX('M03-S04'!$AG$16:$AG$198,2*(ROWS($I$15:I24)-1)+1)</f>
        <v>0</v>
      </c>
      <c r="J24" s="107" t="str">
        <f>INDEX('M03-S04'!$AU$16:$AU$198,2*(ROWS($J$15:J24)-1)+1)</f>
        <v/>
      </c>
      <c r="K24" s="63" t="str">
        <f>IFERROR(INDEX(PMEREFRI[Cost Basis],MATCH(W24,PMEREFRI[Eff Desc 1],0)),"")</f>
        <v/>
      </c>
      <c r="L24" s="277">
        <f>INDEX('M03-S04'!$V$16:$V$198,2*(ROWS($L$15:L24)-1)+1)</f>
        <v>0</v>
      </c>
      <c r="M24" s="277" t="str">
        <f>IFERROR(INDEX('M03-S04'!$AK$16:$AK$198,2*(ROWS($M$15:M24)-1)+1),"")</f>
        <v/>
      </c>
      <c r="N24" s="335" t="str">
        <f>IFERROR(INDEX('M03-S04'!$AV$16:$AV$198,2*(ROWS($N$15:N24)-1)+1),"")</f>
        <v/>
      </c>
      <c r="O24" s="107" t="str">
        <f>IFERROR(INDEX('M03-S04'!$AO$16:$AO$198,2*(ROWS($O$15:O24)-1)+1),"")</f>
        <v/>
      </c>
      <c r="P24" s="278"/>
      <c r="Q24" s="340"/>
      <c r="R24" s="254"/>
      <c r="S24" s="283"/>
      <c r="T24" s="283"/>
      <c r="U24" s="277">
        <f>INDEX('M03-S04'!$B$16:$B$198,2*(ROWS($U$15:U24)-1)+1)</f>
        <v>10</v>
      </c>
      <c r="V24" s="254"/>
      <c r="W24" s="104">
        <f>INDEX('M03-S04'!$C$16:$C$198,2*(ROWS($W$15:W24)-1)+1)</f>
        <v>0</v>
      </c>
      <c r="X24" s="254"/>
      <c r="Y24" s="63">
        <f>INDEX('M03-S04'!$X$16:$X$198,2*(ROWS($Y$15:Y24)-1)+1)</f>
        <v>0</v>
      </c>
      <c r="Z24" s="254"/>
      <c r="AA24" s="254"/>
      <c r="AB24" s="254"/>
      <c r="AC24" s="254"/>
      <c r="AD24" s="254"/>
      <c r="AE24" s="278"/>
      <c r="AF24" s="278"/>
      <c r="AG24" s="278"/>
      <c r="AH24" s="278"/>
      <c r="AI24" s="278"/>
      <c r="AJ24" s="107" t="str">
        <f t="shared" si="14"/>
        <v/>
      </c>
      <c r="AK24" s="107" t="str">
        <f t="shared" si="15"/>
        <v/>
      </c>
      <c r="AL24" s="107" t="str">
        <f t="shared" si="16"/>
        <v/>
      </c>
      <c r="AM24" s="280"/>
      <c r="AN24" s="107" t="str">
        <f t="shared" si="17"/>
        <v/>
      </c>
      <c r="AO24" s="278"/>
      <c r="AP24" s="278"/>
      <c r="AQ24" s="278"/>
    </row>
    <row r="25" spans="1:43" x14ac:dyDescent="0.25">
      <c r="A25" s="301">
        <f t="shared" si="18"/>
        <v>0</v>
      </c>
      <c r="B25" s="301" t="str">
        <f t="shared" si="20"/>
        <v/>
      </c>
      <c r="C25" s="301" t="str">
        <f>IFERROR(IF(OR(P25&gt;0,O25&gt;0),INDEX(PMEREFRI[Measure '#],MATCH(W25,PMEREFRI[Eff Desc 1],0)),""),"")</f>
        <v/>
      </c>
      <c r="D25" s="63"/>
      <c r="E25" s="301" t="str">
        <f>IFERROR(INDEX(PMEREFRI[End Use Category],MATCH(W25,PMEREFRI[Eff Desc 1],0)),"")</f>
        <v/>
      </c>
      <c r="F25" s="278"/>
      <c r="G25" s="63">
        <f>INDEX('M03-S04'!$AB$16:$AB$198,2*(ROWS($G$15:G25)-1)+1)</f>
        <v>0</v>
      </c>
      <c r="H25" s="107">
        <f>INDEX('M03-S04'!$V$16:$V$198,2*(ROWS($H$15:H25)-1)+1)*INDEX('M03-S04'!$AE$16:$AE$198,2*(ROWS($H$15:H25)-1)+1)</f>
        <v>0</v>
      </c>
      <c r="I25" s="107">
        <f>INDEX('M03-S04'!$V$16:$V$198,2*(ROWS($I$15:I25)-1)+1)*INDEX('M03-S04'!$AG$16:$AG$198,2*(ROWS($I$15:I25)-1)+1)</f>
        <v>0</v>
      </c>
      <c r="J25" s="107" t="str">
        <f>INDEX('M03-S04'!$AU$16:$AU$198,2*(ROWS($J$15:J25)-1)+1)</f>
        <v/>
      </c>
      <c r="K25" s="63" t="str">
        <f>IFERROR(INDEX(PMEREFRI[Cost Basis],MATCH(W25,PMEREFRI[Eff Desc 1],0)),"")</f>
        <v/>
      </c>
      <c r="L25" s="277">
        <f>INDEX('M03-S04'!$V$16:$V$198,2*(ROWS($L$15:L25)-1)+1)</f>
        <v>0</v>
      </c>
      <c r="M25" s="277" t="str">
        <f>IFERROR(INDEX('M03-S04'!$AK$16:$AK$198,2*(ROWS($M$15:M25)-1)+1),"")</f>
        <v/>
      </c>
      <c r="N25" s="335" t="str">
        <f>IFERROR(INDEX('M03-S04'!$AV$16:$AV$198,2*(ROWS($N$15:N25)-1)+1),"")</f>
        <v/>
      </c>
      <c r="O25" s="107" t="str">
        <f>IFERROR(INDEX('M03-S04'!$AO$16:$AO$198,2*(ROWS($O$15:O25)-1)+1),"")</f>
        <v/>
      </c>
      <c r="P25" s="278"/>
      <c r="Q25" s="340"/>
      <c r="R25" s="254"/>
      <c r="S25" s="283"/>
      <c r="T25" s="283"/>
      <c r="U25" s="277">
        <f>INDEX('M03-S04'!$B$16:$B$198,2*(ROWS($U$15:U25)-1)+1)</f>
        <v>11</v>
      </c>
      <c r="V25" s="254"/>
      <c r="W25" s="104">
        <f>INDEX('M03-S04'!$C$16:$C$198,2*(ROWS($W$15:W25)-1)+1)</f>
        <v>0</v>
      </c>
      <c r="X25" s="254"/>
      <c r="Y25" s="63">
        <f>INDEX('M03-S04'!$X$16:$X$198,2*(ROWS($Y$15:Y25)-1)+1)</f>
        <v>0</v>
      </c>
      <c r="Z25" s="254"/>
      <c r="AA25" s="254"/>
      <c r="AB25" s="254"/>
      <c r="AC25" s="254"/>
      <c r="AD25" s="254"/>
      <c r="AE25" s="278"/>
      <c r="AF25" s="278"/>
      <c r="AG25" s="278"/>
      <c r="AH25" s="278"/>
      <c r="AI25" s="278"/>
      <c r="AJ25" s="107" t="str">
        <f t="shared" si="14"/>
        <v/>
      </c>
      <c r="AK25" s="107" t="str">
        <f t="shared" si="15"/>
        <v/>
      </c>
      <c r="AL25" s="107" t="str">
        <f t="shared" si="16"/>
        <v/>
      </c>
      <c r="AM25" s="280"/>
      <c r="AN25" s="107" t="str">
        <f t="shared" si="17"/>
        <v/>
      </c>
      <c r="AO25" s="278"/>
      <c r="AP25" s="278"/>
      <c r="AQ25" s="278"/>
    </row>
    <row r="26" spans="1:43" x14ac:dyDescent="0.25">
      <c r="A26" s="301">
        <f t="shared" si="18"/>
        <v>0</v>
      </c>
      <c r="B26" s="301" t="str">
        <f t="shared" si="20"/>
        <v/>
      </c>
      <c r="C26" s="301" t="str">
        <f>IFERROR(IF(OR(P26&gt;0,O26&gt;0),INDEX(PMEREFRI[Measure '#],MATCH(W26,PMEREFRI[Eff Desc 1],0)),""),"")</f>
        <v/>
      </c>
      <c r="D26" s="63"/>
      <c r="E26" s="301" t="str">
        <f>IFERROR(INDEX(PMEREFRI[End Use Category],MATCH(W26,PMEREFRI[Eff Desc 1],0)),"")</f>
        <v/>
      </c>
      <c r="F26" s="278"/>
      <c r="G26" s="63">
        <f>INDEX('M03-S04'!$AB$16:$AB$198,2*(ROWS($G$15:G26)-1)+1)</f>
        <v>0</v>
      </c>
      <c r="H26" s="107">
        <f>INDEX('M03-S04'!$V$16:$V$198,2*(ROWS($H$15:H26)-1)+1)*INDEX('M03-S04'!$AE$16:$AE$198,2*(ROWS($H$15:H26)-1)+1)</f>
        <v>0</v>
      </c>
      <c r="I26" s="107">
        <f>INDEX('M03-S04'!$V$16:$V$198,2*(ROWS($I$15:I26)-1)+1)*INDEX('M03-S04'!$AG$16:$AG$198,2*(ROWS($I$15:I26)-1)+1)</f>
        <v>0</v>
      </c>
      <c r="J26" s="107" t="str">
        <f>INDEX('M03-S04'!$AU$16:$AU$198,2*(ROWS($J$15:J26)-1)+1)</f>
        <v/>
      </c>
      <c r="K26" s="63" t="str">
        <f>IFERROR(INDEX(PMEREFRI[Cost Basis],MATCH(W26,PMEREFRI[Eff Desc 1],0)),"")</f>
        <v/>
      </c>
      <c r="L26" s="277">
        <f>INDEX('M03-S04'!$V$16:$V$198,2*(ROWS($L$15:L26)-1)+1)</f>
        <v>0</v>
      </c>
      <c r="M26" s="277" t="str">
        <f>IFERROR(INDEX('M03-S04'!$AK$16:$AK$198,2*(ROWS($M$15:M26)-1)+1),"")</f>
        <v/>
      </c>
      <c r="N26" s="335" t="str">
        <f>IFERROR(INDEX('M03-S04'!$AV$16:$AV$198,2*(ROWS($N$15:N26)-1)+1),"")</f>
        <v/>
      </c>
      <c r="O26" s="107" t="str">
        <f>IFERROR(INDEX('M03-S04'!$AO$16:$AO$198,2*(ROWS($O$15:O26)-1)+1),"")</f>
        <v/>
      </c>
      <c r="P26" s="278"/>
      <c r="Q26" s="340"/>
      <c r="R26" s="254"/>
      <c r="S26" s="283"/>
      <c r="T26" s="283"/>
      <c r="U26" s="277">
        <f>INDEX('M03-S04'!$B$16:$B$198,2*(ROWS($U$15:U26)-1)+1)</f>
        <v>12</v>
      </c>
      <c r="V26" s="254"/>
      <c r="W26" s="104">
        <f>INDEX('M03-S04'!$C$16:$C$198,2*(ROWS($W$15:W26)-1)+1)</f>
        <v>0</v>
      </c>
      <c r="X26" s="254"/>
      <c r="Y26" s="63">
        <f>INDEX('M03-S04'!$X$16:$X$198,2*(ROWS($Y$15:Y26)-1)+1)</f>
        <v>0</v>
      </c>
      <c r="Z26" s="254"/>
      <c r="AA26" s="254"/>
      <c r="AB26" s="254"/>
      <c r="AC26" s="254"/>
      <c r="AD26" s="254"/>
      <c r="AE26" s="278"/>
      <c r="AF26" s="278"/>
      <c r="AG26" s="278"/>
      <c r="AH26" s="278"/>
      <c r="AI26" s="278"/>
      <c r="AJ26" s="107" t="str">
        <f t="shared" si="14"/>
        <v/>
      </c>
      <c r="AK26" s="107" t="str">
        <f t="shared" si="15"/>
        <v/>
      </c>
      <c r="AL26" s="107" t="str">
        <f t="shared" si="16"/>
        <v/>
      </c>
      <c r="AM26" s="280"/>
      <c r="AN26" s="107" t="str">
        <f t="shared" si="17"/>
        <v/>
      </c>
      <c r="AO26" s="278"/>
      <c r="AP26" s="278"/>
      <c r="AQ26" s="278"/>
    </row>
    <row r="27" spans="1:43" x14ac:dyDescent="0.25">
      <c r="A27" s="301">
        <f t="shared" si="18"/>
        <v>0</v>
      </c>
      <c r="B27" s="301" t="str">
        <f t="shared" si="20"/>
        <v/>
      </c>
      <c r="C27" s="301" t="str">
        <f>IFERROR(IF(OR(P27&gt;0,O27&gt;0),INDEX(PMEREFRI[Measure '#],MATCH(W27,PMEREFRI[Eff Desc 1],0)),""),"")</f>
        <v/>
      </c>
      <c r="D27" s="63"/>
      <c r="E27" s="301" t="str">
        <f>IFERROR(INDEX(PMEREFRI[End Use Category],MATCH(W27,PMEREFRI[Eff Desc 1],0)),"")</f>
        <v/>
      </c>
      <c r="F27" s="278"/>
      <c r="G27" s="63">
        <f>INDEX('M03-S04'!$AB$16:$AB$198,2*(ROWS($G$15:G27)-1)+1)</f>
        <v>0</v>
      </c>
      <c r="H27" s="107">
        <f>INDEX('M03-S04'!$V$16:$V$198,2*(ROWS($H$15:H27)-1)+1)*INDEX('M03-S04'!$AE$16:$AE$198,2*(ROWS($H$15:H27)-1)+1)</f>
        <v>0</v>
      </c>
      <c r="I27" s="107">
        <f>INDEX('M03-S04'!$V$16:$V$198,2*(ROWS($I$15:I27)-1)+1)*INDEX('M03-S04'!$AG$16:$AG$198,2*(ROWS($I$15:I27)-1)+1)</f>
        <v>0</v>
      </c>
      <c r="J27" s="107" t="str">
        <f>INDEX('M03-S04'!$AU$16:$AU$198,2*(ROWS($J$15:J27)-1)+1)</f>
        <v/>
      </c>
      <c r="K27" s="63" t="str">
        <f>IFERROR(INDEX(PMEREFRI[Cost Basis],MATCH(W27,PMEREFRI[Eff Desc 1],0)),"")</f>
        <v/>
      </c>
      <c r="L27" s="277">
        <f>INDEX('M03-S04'!$V$16:$V$198,2*(ROWS($L$15:L27)-1)+1)</f>
        <v>0</v>
      </c>
      <c r="M27" s="277" t="str">
        <f>IFERROR(INDEX('M03-S04'!$AK$16:$AK$198,2*(ROWS($M$15:M27)-1)+1),"")</f>
        <v/>
      </c>
      <c r="N27" s="335" t="str">
        <f>IFERROR(INDEX('M03-S04'!$AV$16:$AV$198,2*(ROWS($N$15:N27)-1)+1),"")</f>
        <v/>
      </c>
      <c r="O27" s="107" t="str">
        <f>IFERROR(INDEX('M03-S04'!$AO$16:$AO$198,2*(ROWS($O$15:O27)-1)+1),"")</f>
        <v/>
      </c>
      <c r="P27" s="278"/>
      <c r="Q27" s="340"/>
      <c r="R27" s="254"/>
      <c r="S27" s="283"/>
      <c r="T27" s="283"/>
      <c r="U27" s="277">
        <f>INDEX('M03-S04'!$B$16:$B$198,2*(ROWS($U$15:U27)-1)+1)</f>
        <v>13</v>
      </c>
      <c r="V27" s="254"/>
      <c r="W27" s="104">
        <f>INDEX('M03-S04'!$C$16:$C$198,2*(ROWS($W$15:W27)-1)+1)</f>
        <v>0</v>
      </c>
      <c r="X27" s="254"/>
      <c r="Y27" s="63">
        <f>INDEX('M03-S04'!$X$16:$X$198,2*(ROWS($Y$15:Y27)-1)+1)</f>
        <v>0</v>
      </c>
      <c r="Z27" s="254"/>
      <c r="AA27" s="254"/>
      <c r="AB27" s="254"/>
      <c r="AC27" s="254"/>
      <c r="AD27" s="254"/>
      <c r="AE27" s="278"/>
      <c r="AF27" s="278"/>
      <c r="AG27" s="278"/>
      <c r="AH27" s="278"/>
      <c r="AI27" s="278"/>
      <c r="AJ27" s="107" t="str">
        <f t="shared" si="14"/>
        <v/>
      </c>
      <c r="AK27" s="107" t="str">
        <f t="shared" si="15"/>
        <v/>
      </c>
      <c r="AL27" s="107" t="str">
        <f t="shared" si="16"/>
        <v/>
      </c>
      <c r="AM27" s="280"/>
      <c r="AN27" s="107" t="str">
        <f t="shared" si="17"/>
        <v/>
      </c>
      <c r="AO27" s="278"/>
      <c r="AP27" s="278"/>
      <c r="AQ27" s="278"/>
    </row>
    <row r="28" spans="1:43" x14ac:dyDescent="0.25">
      <c r="A28" s="301">
        <f t="shared" si="18"/>
        <v>0</v>
      </c>
      <c r="B28" s="301" t="str">
        <f t="shared" si="20"/>
        <v/>
      </c>
      <c r="C28" s="301" t="str">
        <f>IFERROR(IF(OR(P28&gt;0,O28&gt;0),INDEX(PMEREFRI[Measure '#],MATCH(W28,PMEREFRI[Eff Desc 1],0)),""),"")</f>
        <v/>
      </c>
      <c r="D28" s="63"/>
      <c r="E28" s="301" t="str">
        <f>IFERROR(INDEX(PMEREFRI[End Use Category],MATCH(W28,PMEREFRI[Eff Desc 1],0)),"")</f>
        <v/>
      </c>
      <c r="F28" s="278"/>
      <c r="G28" s="63">
        <f>INDEX('M03-S04'!$AB$16:$AB$198,2*(ROWS($G$15:G28)-1)+1)</f>
        <v>0</v>
      </c>
      <c r="H28" s="107">
        <f>INDEX('M03-S04'!$V$16:$V$198,2*(ROWS($H$15:H28)-1)+1)*INDEX('M03-S04'!$AE$16:$AE$198,2*(ROWS($H$15:H28)-1)+1)</f>
        <v>0</v>
      </c>
      <c r="I28" s="107">
        <f>INDEX('M03-S04'!$V$16:$V$198,2*(ROWS($I$15:I28)-1)+1)*INDEX('M03-S04'!$AG$16:$AG$198,2*(ROWS($I$15:I28)-1)+1)</f>
        <v>0</v>
      </c>
      <c r="J28" s="107" t="str">
        <f>INDEX('M03-S04'!$AU$16:$AU$198,2*(ROWS($J$15:J28)-1)+1)</f>
        <v/>
      </c>
      <c r="K28" s="63" t="str">
        <f>IFERROR(INDEX(PMEREFRI[Cost Basis],MATCH(W28,PMEREFRI[Eff Desc 1],0)),"")</f>
        <v/>
      </c>
      <c r="L28" s="277">
        <f>INDEX('M03-S04'!$V$16:$V$198,2*(ROWS($L$15:L28)-1)+1)</f>
        <v>0</v>
      </c>
      <c r="M28" s="277" t="str">
        <f>IFERROR(INDEX('M03-S04'!$AK$16:$AK$198,2*(ROWS($M$15:M28)-1)+1),"")</f>
        <v/>
      </c>
      <c r="N28" s="335" t="str">
        <f>IFERROR(INDEX('M03-S04'!$AV$16:$AV$198,2*(ROWS($N$15:N28)-1)+1),"")</f>
        <v/>
      </c>
      <c r="O28" s="107" t="str">
        <f>IFERROR(INDEX('M03-S04'!$AO$16:$AO$198,2*(ROWS($O$15:O28)-1)+1),"")</f>
        <v/>
      </c>
      <c r="P28" s="278"/>
      <c r="Q28" s="340"/>
      <c r="R28" s="254"/>
      <c r="S28" s="283"/>
      <c r="T28" s="283"/>
      <c r="U28" s="277">
        <f>INDEX('M03-S04'!$B$16:$B$198,2*(ROWS($U$15:U28)-1)+1)</f>
        <v>14</v>
      </c>
      <c r="V28" s="254"/>
      <c r="W28" s="104">
        <f>INDEX('M03-S04'!$C$16:$C$198,2*(ROWS($W$15:W28)-1)+1)</f>
        <v>0</v>
      </c>
      <c r="X28" s="254"/>
      <c r="Y28" s="63">
        <f>INDEX('M03-S04'!$X$16:$X$198,2*(ROWS($Y$15:Y28)-1)+1)</f>
        <v>0</v>
      </c>
      <c r="Z28" s="254"/>
      <c r="AA28" s="254"/>
      <c r="AB28" s="254"/>
      <c r="AC28" s="254"/>
      <c r="AD28" s="254"/>
      <c r="AE28" s="278"/>
      <c r="AF28" s="278"/>
      <c r="AG28" s="278"/>
      <c r="AH28" s="278"/>
      <c r="AI28" s="278"/>
      <c r="AJ28" s="107" t="str">
        <f t="shared" si="14"/>
        <v/>
      </c>
      <c r="AK28" s="107" t="str">
        <f t="shared" si="15"/>
        <v/>
      </c>
      <c r="AL28" s="107" t="str">
        <f t="shared" si="16"/>
        <v/>
      </c>
      <c r="AM28" s="280"/>
      <c r="AN28" s="107" t="str">
        <f t="shared" si="17"/>
        <v/>
      </c>
      <c r="AO28" s="278"/>
      <c r="AP28" s="278"/>
      <c r="AQ28" s="278"/>
    </row>
    <row r="29" spans="1:43" x14ac:dyDescent="0.25">
      <c r="A29" s="301">
        <f t="shared" si="18"/>
        <v>0</v>
      </c>
      <c r="B29" s="301" t="str">
        <f t="shared" si="20"/>
        <v/>
      </c>
      <c r="C29" s="301" t="str">
        <f>IFERROR(IF(OR(P29&gt;0,O29&gt;0),INDEX(PMEREFRI[Measure '#],MATCH(W29,PMEREFRI[Eff Desc 1],0)),""),"")</f>
        <v/>
      </c>
      <c r="D29" s="63"/>
      <c r="E29" s="301" t="str">
        <f>IFERROR(INDEX(PMEREFRI[End Use Category],MATCH(W29,PMEREFRI[Eff Desc 1],0)),"")</f>
        <v/>
      </c>
      <c r="F29" s="278"/>
      <c r="G29" s="63">
        <f>INDEX('M03-S04'!$AB$16:$AB$198,2*(ROWS($G$15:G29)-1)+1)</f>
        <v>0</v>
      </c>
      <c r="H29" s="107">
        <f>INDEX('M03-S04'!$V$16:$V$198,2*(ROWS($H$15:H29)-1)+1)*INDEX('M03-S04'!$AE$16:$AE$198,2*(ROWS($H$15:H29)-1)+1)</f>
        <v>0</v>
      </c>
      <c r="I29" s="107">
        <f>INDEX('M03-S04'!$V$16:$V$198,2*(ROWS($I$15:I29)-1)+1)*INDEX('M03-S04'!$AG$16:$AG$198,2*(ROWS($I$15:I29)-1)+1)</f>
        <v>0</v>
      </c>
      <c r="J29" s="107" t="str">
        <f>INDEX('M03-S04'!$AU$16:$AU$198,2*(ROWS($J$15:J29)-1)+1)</f>
        <v/>
      </c>
      <c r="K29" s="63" t="str">
        <f>IFERROR(INDEX(PMEREFRI[Cost Basis],MATCH(W29,PMEREFRI[Eff Desc 1],0)),"")</f>
        <v/>
      </c>
      <c r="L29" s="277">
        <f>INDEX('M03-S04'!$V$16:$V$198,2*(ROWS($L$15:L29)-1)+1)</f>
        <v>0</v>
      </c>
      <c r="M29" s="277" t="str">
        <f>IFERROR(INDEX('M03-S04'!$AK$16:$AK$198,2*(ROWS($M$15:M29)-1)+1),"")</f>
        <v/>
      </c>
      <c r="N29" s="335" t="str">
        <f>IFERROR(INDEX('M03-S04'!$AV$16:$AV$198,2*(ROWS($N$15:N29)-1)+1),"")</f>
        <v/>
      </c>
      <c r="O29" s="107" t="str">
        <f>IFERROR(INDEX('M03-S04'!$AO$16:$AO$198,2*(ROWS($O$15:O29)-1)+1),"")</f>
        <v/>
      </c>
      <c r="P29" s="278"/>
      <c r="Q29" s="340"/>
      <c r="R29" s="254"/>
      <c r="S29" s="283"/>
      <c r="T29" s="283"/>
      <c r="U29" s="277">
        <f>INDEX('M03-S04'!$B$16:$B$198,2*(ROWS($U$15:U29)-1)+1)</f>
        <v>15</v>
      </c>
      <c r="V29" s="254"/>
      <c r="W29" s="104">
        <f>INDEX('M03-S04'!$C$16:$C$198,2*(ROWS($W$15:W29)-1)+1)</f>
        <v>0</v>
      </c>
      <c r="X29" s="254"/>
      <c r="Y29" s="63">
        <f>INDEX('M03-S04'!$X$16:$X$198,2*(ROWS($Y$15:Y29)-1)+1)</f>
        <v>0</v>
      </c>
      <c r="Z29" s="254"/>
      <c r="AA29" s="254"/>
      <c r="AB29" s="254"/>
      <c r="AC29" s="254"/>
      <c r="AD29" s="254"/>
      <c r="AE29" s="278"/>
      <c r="AF29" s="278"/>
      <c r="AG29" s="278"/>
      <c r="AH29" s="278"/>
      <c r="AI29" s="278"/>
      <c r="AJ29" s="107" t="str">
        <f t="shared" si="14"/>
        <v/>
      </c>
      <c r="AK29" s="107" t="str">
        <f t="shared" si="15"/>
        <v/>
      </c>
      <c r="AL29" s="107" t="str">
        <f t="shared" si="16"/>
        <v/>
      </c>
      <c r="AM29" s="280"/>
      <c r="AN29" s="107" t="str">
        <f t="shared" si="17"/>
        <v/>
      </c>
      <c r="AO29" s="278"/>
      <c r="AP29" s="278"/>
      <c r="AQ29" s="278"/>
    </row>
    <row r="30" spans="1:43" x14ac:dyDescent="0.25">
      <c r="A30" s="552" t="str">
        <f>CONCATENATE(MAIN3," ",M3S5)</f>
        <v>CODE-BASELINE MEASURES M3S5</v>
      </c>
      <c r="B30" s="310"/>
      <c r="C30" s="310"/>
      <c r="D30" s="302"/>
      <c r="E30" s="310"/>
      <c r="F30" s="308"/>
      <c r="G30" s="302"/>
      <c r="H30" s="309"/>
      <c r="I30" s="309"/>
      <c r="J30" s="309"/>
      <c r="K30" s="302"/>
      <c r="L30" s="308"/>
      <c r="M30" s="308"/>
      <c r="N30" s="337"/>
      <c r="O30" s="309"/>
      <c r="P30" s="315"/>
      <c r="Q30" s="341"/>
      <c r="R30" s="313"/>
      <c r="S30" s="316"/>
      <c r="T30" s="316"/>
      <c r="U30" s="308"/>
      <c r="V30" s="313"/>
      <c r="W30" s="312"/>
      <c r="X30" s="313"/>
      <c r="Y30" s="302"/>
      <c r="Z30" s="302"/>
      <c r="AA30" s="302"/>
      <c r="AB30" s="302"/>
      <c r="AC30" s="302"/>
      <c r="AD30" s="302"/>
      <c r="AE30" s="315"/>
      <c r="AF30" s="315"/>
      <c r="AG30" s="315"/>
      <c r="AH30" s="315"/>
      <c r="AI30" s="315"/>
      <c r="AJ30" s="309" t="str">
        <f t="shared" si="14"/>
        <v/>
      </c>
      <c r="AK30" s="309" t="str">
        <f t="shared" si="15"/>
        <v/>
      </c>
      <c r="AL30" s="309" t="str">
        <f t="shared" si="16"/>
        <v/>
      </c>
      <c r="AM30" s="314"/>
      <c r="AN30" s="309" t="str">
        <f t="shared" si="17"/>
        <v/>
      </c>
      <c r="AO30" s="308"/>
      <c r="AP30" s="308"/>
      <c r="AQ30" s="308"/>
    </row>
    <row r="31" spans="1:43" x14ac:dyDescent="0.25">
      <c r="A31" s="301">
        <f t="shared" ref="A31:A61" si="21">PROJID</f>
        <v>0</v>
      </c>
      <c r="B31" s="301" t="str">
        <f t="shared" si="19"/>
        <v/>
      </c>
      <c r="C31" s="301" t="str">
        <f>IFERROR(IF(OR(P31&gt;0,O31&gt;0),INDEX(PMEKITCHEN[Measure '#],MATCH(W31,PMEKITCHEN[Eff Desc 1],0)),""),"")</f>
        <v/>
      </c>
      <c r="D31" s="63"/>
      <c r="E31" s="301" t="str">
        <f>IFERROR(INDEX(PMEKITCHEN[End Use Category],MATCH(W31,PMEKITCHEN[Eff Desc 1],0)),"")</f>
        <v/>
      </c>
      <c r="F31" s="278"/>
      <c r="G31" s="63">
        <f>INDEX('M03-S05'!$AB$16:$AB$198,2*(ROWS($G$31:G31)-1)+1)</f>
        <v>0</v>
      </c>
      <c r="H31" s="107">
        <f>INDEX('M03-S05'!$V$16:$V$198,2*(ROWS($H$31:H31)-1)+1)*INDEX('M03-S05'!$AE$16:$AE$198,2*(ROWS($H$31:H31)-1)+1)</f>
        <v>0</v>
      </c>
      <c r="I31" s="107">
        <f>INDEX('M03-S05'!$V$16:$V$198,2*(ROWS($I$31:I31)-1)+1)*INDEX('M03-S05'!$AG$16:$AG$198,2*(ROWS($I$31:I31)-1)+1)</f>
        <v>0</v>
      </c>
      <c r="J31" s="107" t="str">
        <f>INDEX('M03-S05'!$AU$16:$AU$198,2*(ROWS($J$31:J31)-1)+1)</f>
        <v/>
      </c>
      <c r="K31" s="63" t="str">
        <f>IFERROR(INDEX(PMEKITCHEN[Cost Basis],MATCH(W31,PMEKITCHEN[Eff Desc 1],0)),"")</f>
        <v/>
      </c>
      <c r="L31" s="277">
        <f>INDEX('M03-S05'!$V$16:$V$198,2*(ROWS($L$31:L31)-1)+1)</f>
        <v>0</v>
      </c>
      <c r="M31" s="277" t="str">
        <f>IFERROR(INDEX('M03-S05'!$AK$16:$AK$198,2*(ROWS($M$31:M31)-1)+1),"")</f>
        <v/>
      </c>
      <c r="N31" s="335" t="str">
        <f>IFERROR(INDEX('M03-S05'!$AV$16:$AV$198,2*(ROWS($N$31:N31)-1)+1),"")</f>
        <v/>
      </c>
      <c r="O31" s="107" t="str">
        <f>IFERROR(INDEX('M03-S05'!$AO$16:$AO$198,2*(ROWS($O$31:O31)-1)+1),"")</f>
        <v/>
      </c>
      <c r="P31" s="278"/>
      <c r="Q31" s="340"/>
      <c r="R31" s="254"/>
      <c r="S31" s="283"/>
      <c r="T31" s="283"/>
      <c r="U31" s="277">
        <f>INDEX('M03-S05'!$B$16:$B$198,2*(ROWS($U$31:U31)-1)+1)</f>
        <v>1</v>
      </c>
      <c r="V31" s="254"/>
      <c r="W31" s="104">
        <f>INDEX('M03-S05'!$C$16:$C$198,2*(ROWS($W$31:W31)-1)+1)</f>
        <v>0</v>
      </c>
      <c r="X31" s="254"/>
      <c r="Y31" s="63">
        <f>INDEX('M03-S05'!$X$16:$X$198,2*(ROWS($Y$31:Y31)-1)+1)</f>
        <v>0</v>
      </c>
      <c r="Z31" s="254"/>
      <c r="AA31" s="254"/>
      <c r="AB31" s="254"/>
      <c r="AC31" s="254"/>
      <c r="AD31" s="254"/>
      <c r="AE31" s="278"/>
      <c r="AF31" s="278"/>
      <c r="AG31" s="278"/>
      <c r="AH31" s="278"/>
      <c r="AI31" s="278"/>
      <c r="AJ31" s="107" t="str">
        <f t="shared" si="14"/>
        <v/>
      </c>
      <c r="AK31" s="107" t="str">
        <f t="shared" si="15"/>
        <v/>
      </c>
      <c r="AL31" s="107" t="str">
        <f t="shared" si="16"/>
        <v/>
      </c>
      <c r="AM31" s="280"/>
      <c r="AN31" s="107" t="str">
        <f t="shared" si="17"/>
        <v/>
      </c>
      <c r="AO31" s="278"/>
      <c r="AP31" s="278"/>
      <c r="AQ31" s="278"/>
    </row>
    <row r="32" spans="1:43" x14ac:dyDescent="0.25">
      <c r="A32" s="301">
        <f t="shared" si="21"/>
        <v>0</v>
      </c>
      <c r="B32" s="301" t="str">
        <f t="shared" ref="B32:B45" si="22">IF(C32="","",CONCATENATE(ROW(),"-",C32))</f>
        <v/>
      </c>
      <c r="C32" s="301" t="str">
        <f>IFERROR(IF(OR(P32&gt;0,O32&gt;0),INDEX(PMEKITCHEN[Measure '#],MATCH(W32,PMEKITCHEN[Eff Desc 1],0)),""),"")</f>
        <v/>
      </c>
      <c r="D32" s="63"/>
      <c r="E32" s="301" t="str">
        <f>IFERROR(INDEX(PMEKITCHEN[End Use Category],MATCH(W32,PMEKITCHEN[Eff Desc 1],0)),"")</f>
        <v/>
      </c>
      <c r="F32" s="278"/>
      <c r="G32" s="63">
        <f>INDEX('M03-S05'!$AB$16:$AB$198,2*(ROWS($G$31:G32)-1)+1)</f>
        <v>0</v>
      </c>
      <c r="H32" s="107">
        <f>INDEX('M03-S05'!$V$16:$V$198,2*(ROWS($H$31:H32)-1)+1)*INDEX('M03-S05'!$AE$16:$AE$198,2*(ROWS($H$31:H32)-1)+1)</f>
        <v>0</v>
      </c>
      <c r="I32" s="107">
        <f>INDEX('M03-S05'!$V$16:$V$198,2*(ROWS($I$31:I32)-1)+1)*INDEX('M03-S05'!$AG$16:$AG$198,2*(ROWS($I$31:I32)-1)+1)</f>
        <v>0</v>
      </c>
      <c r="J32" s="107" t="str">
        <f>INDEX('M03-S05'!$AU$16:$AU$198,2*(ROWS($J$31:J32)-1)+1)</f>
        <v/>
      </c>
      <c r="K32" s="63" t="str">
        <f>IFERROR(INDEX(PMEKITCHEN[Cost Basis],MATCH(W32,PMEKITCHEN[Eff Desc 1],0)),"")</f>
        <v/>
      </c>
      <c r="L32" s="277">
        <f>INDEX('M03-S05'!$V$16:$V$198,2*(ROWS($L$31:L32)-1)+1)</f>
        <v>0</v>
      </c>
      <c r="M32" s="277" t="str">
        <f>IFERROR(INDEX('M03-S05'!$AK$16:$AK$198,2*(ROWS($M$31:M32)-1)+1),"")</f>
        <v/>
      </c>
      <c r="N32" s="335" t="str">
        <f>IFERROR(INDEX('M03-S05'!$AV$16:$AV$198,2*(ROWS($N$31:N32)-1)+1),"")</f>
        <v/>
      </c>
      <c r="O32" s="107" t="str">
        <f>IFERROR(INDEX('M03-S05'!$AO$16:$AO$198,2*(ROWS($O$31:O32)-1)+1),"")</f>
        <v/>
      </c>
      <c r="P32" s="278"/>
      <c r="Q32" s="340"/>
      <c r="R32" s="254"/>
      <c r="S32" s="283"/>
      <c r="T32" s="283"/>
      <c r="U32" s="277">
        <f>INDEX('M03-S05'!$B$16:$B$198,2*(ROWS($U$31:U32)-1)+1)</f>
        <v>2</v>
      </c>
      <c r="V32" s="254"/>
      <c r="W32" s="104">
        <f>INDEX('M03-S05'!$C$16:$C$198,2*(ROWS($W$31:W32)-1)+1)</f>
        <v>0</v>
      </c>
      <c r="X32" s="254"/>
      <c r="Y32" s="63">
        <f>INDEX('M03-S05'!$X$16:$X$198,2*(ROWS($Y$31:Y32)-1)+1)</f>
        <v>0</v>
      </c>
      <c r="Z32" s="254"/>
      <c r="AA32" s="254"/>
      <c r="AB32" s="254"/>
      <c r="AC32" s="254"/>
      <c r="AD32" s="254"/>
      <c r="AE32" s="278"/>
      <c r="AF32" s="278"/>
      <c r="AG32" s="278"/>
      <c r="AH32" s="278"/>
      <c r="AI32" s="278"/>
      <c r="AJ32" s="107" t="str">
        <f t="shared" si="14"/>
        <v/>
      </c>
      <c r="AK32" s="107" t="str">
        <f t="shared" si="15"/>
        <v/>
      </c>
      <c r="AL32" s="107" t="str">
        <f t="shared" si="16"/>
        <v/>
      </c>
      <c r="AM32" s="280"/>
      <c r="AN32" s="107" t="str">
        <f t="shared" si="17"/>
        <v/>
      </c>
      <c r="AO32" s="278"/>
      <c r="AP32" s="278"/>
      <c r="AQ32" s="278"/>
    </row>
    <row r="33" spans="1:44" x14ac:dyDescent="0.25">
      <c r="A33" s="301">
        <f t="shared" si="21"/>
        <v>0</v>
      </c>
      <c r="B33" s="301" t="str">
        <f t="shared" si="22"/>
        <v/>
      </c>
      <c r="C33" s="301" t="str">
        <f>IFERROR(IF(OR(P33&gt;0,O33&gt;0),INDEX(PMEKITCHEN[Measure '#],MATCH(W33,PMEKITCHEN[Eff Desc 1],0)),""),"")</f>
        <v/>
      </c>
      <c r="D33" s="63"/>
      <c r="E33" s="301" t="str">
        <f>IFERROR(INDEX(PMEKITCHEN[End Use Category],MATCH(W33,PMEKITCHEN[Eff Desc 1],0)),"")</f>
        <v/>
      </c>
      <c r="F33" s="278"/>
      <c r="G33" s="63">
        <f>INDEX('M03-S05'!$AB$16:$AB$198,2*(ROWS($G$31:G33)-1)+1)</f>
        <v>0</v>
      </c>
      <c r="H33" s="107">
        <f>INDEX('M03-S05'!$V$16:$V$198,2*(ROWS($H$31:H33)-1)+1)*INDEX('M03-S05'!$AE$16:$AE$198,2*(ROWS($H$31:H33)-1)+1)</f>
        <v>0</v>
      </c>
      <c r="I33" s="107">
        <f>INDEX('M03-S05'!$V$16:$V$198,2*(ROWS($I$31:I33)-1)+1)*INDEX('M03-S05'!$AG$16:$AG$198,2*(ROWS($I$31:I33)-1)+1)</f>
        <v>0</v>
      </c>
      <c r="J33" s="107" t="str">
        <f>INDEX('M03-S05'!$AU$16:$AU$198,2*(ROWS($J$31:J33)-1)+1)</f>
        <v/>
      </c>
      <c r="K33" s="63" t="str">
        <f>IFERROR(INDEX(PMEKITCHEN[Cost Basis],MATCH(W33,PMEKITCHEN[Eff Desc 1],0)),"")</f>
        <v/>
      </c>
      <c r="L33" s="277">
        <f>INDEX('M03-S05'!$V$16:$V$198,2*(ROWS($L$31:L33)-1)+1)</f>
        <v>0</v>
      </c>
      <c r="M33" s="277" t="str">
        <f>IFERROR(INDEX('M03-S05'!$AK$16:$AK$198,2*(ROWS($M$31:M33)-1)+1),"")</f>
        <v/>
      </c>
      <c r="N33" s="335" t="str">
        <f>IFERROR(INDEX('M03-S05'!$AV$16:$AV$198,2*(ROWS($N$31:N33)-1)+1),"")</f>
        <v/>
      </c>
      <c r="O33" s="107" t="str">
        <f>IFERROR(INDEX('M03-S05'!$AO$16:$AO$198,2*(ROWS($O$31:O33)-1)+1),"")</f>
        <v/>
      </c>
      <c r="P33" s="278"/>
      <c r="Q33" s="340"/>
      <c r="R33" s="254"/>
      <c r="S33" s="283"/>
      <c r="T33" s="283"/>
      <c r="U33" s="277">
        <f>INDEX('M03-S05'!$B$16:$B$198,2*(ROWS($U$31:U33)-1)+1)</f>
        <v>3</v>
      </c>
      <c r="V33" s="254"/>
      <c r="W33" s="104">
        <f>INDEX('M03-S05'!$C$16:$C$198,2*(ROWS($W$31:W33)-1)+1)</f>
        <v>0</v>
      </c>
      <c r="X33" s="254"/>
      <c r="Y33" s="63">
        <f>INDEX('M03-S05'!$X$16:$X$198,2*(ROWS($Y$31:Y33)-1)+1)</f>
        <v>0</v>
      </c>
      <c r="Z33" s="254"/>
      <c r="AA33" s="254"/>
      <c r="AB33" s="254"/>
      <c r="AC33" s="254"/>
      <c r="AD33" s="254"/>
      <c r="AE33" s="278"/>
      <c r="AF33" s="278"/>
      <c r="AG33" s="278"/>
      <c r="AH33" s="278"/>
      <c r="AI33" s="278"/>
      <c r="AJ33" s="107" t="str">
        <f t="shared" si="14"/>
        <v/>
      </c>
      <c r="AK33" s="107" t="str">
        <f t="shared" si="15"/>
        <v/>
      </c>
      <c r="AL33" s="107" t="str">
        <f t="shared" si="16"/>
        <v/>
      </c>
      <c r="AM33" s="280"/>
      <c r="AN33" s="107" t="str">
        <f t="shared" si="17"/>
        <v/>
      </c>
      <c r="AO33" s="278"/>
      <c r="AP33" s="278"/>
      <c r="AQ33" s="278"/>
    </row>
    <row r="34" spans="1:44" x14ac:dyDescent="0.25">
      <c r="A34" s="301">
        <f t="shared" si="21"/>
        <v>0</v>
      </c>
      <c r="B34" s="301" t="str">
        <f t="shared" si="22"/>
        <v/>
      </c>
      <c r="C34" s="301" t="str">
        <f>IFERROR(IF(OR(P34&gt;0,O34&gt;0),INDEX(PMEKITCHEN[Measure '#],MATCH(W34,PMEKITCHEN[Eff Desc 1],0)),""),"")</f>
        <v/>
      </c>
      <c r="D34" s="63"/>
      <c r="E34" s="301" t="str">
        <f>IFERROR(INDEX(PMEKITCHEN[End Use Category],MATCH(W34,PMEKITCHEN[Eff Desc 1],0)),"")</f>
        <v/>
      </c>
      <c r="F34" s="278"/>
      <c r="G34" s="63">
        <f>INDEX('M03-S05'!$AB$16:$AB$198,2*(ROWS($G$31:G34)-1)+1)</f>
        <v>0</v>
      </c>
      <c r="H34" s="107">
        <f>INDEX('M03-S05'!$V$16:$V$198,2*(ROWS($H$31:H34)-1)+1)*INDEX('M03-S05'!$AE$16:$AE$198,2*(ROWS($H$31:H34)-1)+1)</f>
        <v>0</v>
      </c>
      <c r="I34" s="107">
        <f>INDEX('M03-S05'!$V$16:$V$198,2*(ROWS($I$31:I34)-1)+1)*INDEX('M03-S05'!$AG$16:$AG$198,2*(ROWS($I$31:I34)-1)+1)</f>
        <v>0</v>
      </c>
      <c r="J34" s="107" t="str">
        <f>INDEX('M03-S05'!$AU$16:$AU$198,2*(ROWS($J$31:J34)-1)+1)</f>
        <v/>
      </c>
      <c r="K34" s="63" t="str">
        <f>IFERROR(INDEX(PMEKITCHEN[Cost Basis],MATCH(W34,PMEKITCHEN[Eff Desc 1],0)),"")</f>
        <v/>
      </c>
      <c r="L34" s="277">
        <f>INDEX('M03-S05'!$V$16:$V$198,2*(ROWS($L$31:L34)-1)+1)</f>
        <v>0</v>
      </c>
      <c r="M34" s="277" t="str">
        <f>IFERROR(INDEX('M03-S05'!$AK$16:$AK$198,2*(ROWS($M$31:M34)-1)+1),"")</f>
        <v/>
      </c>
      <c r="N34" s="335" t="str">
        <f>IFERROR(INDEX('M03-S05'!$AV$16:$AV$198,2*(ROWS($N$31:N34)-1)+1),"")</f>
        <v/>
      </c>
      <c r="O34" s="107" t="str">
        <f>IFERROR(INDEX('M03-S05'!$AO$16:$AO$198,2*(ROWS($O$31:O34)-1)+1),"")</f>
        <v/>
      </c>
      <c r="P34" s="278"/>
      <c r="Q34" s="340"/>
      <c r="R34" s="254"/>
      <c r="S34" s="283"/>
      <c r="T34" s="283"/>
      <c r="U34" s="277">
        <f>INDEX('M03-S05'!$B$16:$B$198,2*(ROWS($U$31:U34)-1)+1)</f>
        <v>4</v>
      </c>
      <c r="V34" s="254"/>
      <c r="W34" s="104">
        <f>INDEX('M03-S05'!$C$16:$C$198,2*(ROWS($W$31:W34)-1)+1)</f>
        <v>0</v>
      </c>
      <c r="X34" s="254"/>
      <c r="Y34" s="63">
        <f>INDEX('M03-S05'!$X$16:$X$198,2*(ROWS($Y$31:Y34)-1)+1)</f>
        <v>0</v>
      </c>
      <c r="Z34" s="254"/>
      <c r="AA34" s="254"/>
      <c r="AB34" s="254"/>
      <c r="AC34" s="254"/>
      <c r="AD34" s="254"/>
      <c r="AE34" s="278"/>
      <c r="AF34" s="278"/>
      <c r="AG34" s="278"/>
      <c r="AH34" s="278"/>
      <c r="AI34" s="278"/>
      <c r="AJ34" s="107" t="str">
        <f t="shared" si="14"/>
        <v/>
      </c>
      <c r="AK34" s="107" t="str">
        <f t="shared" si="15"/>
        <v/>
      </c>
      <c r="AL34" s="107" t="str">
        <f t="shared" si="16"/>
        <v/>
      </c>
      <c r="AM34" s="280"/>
      <c r="AN34" s="107" t="str">
        <f t="shared" si="17"/>
        <v/>
      </c>
      <c r="AO34" s="278"/>
      <c r="AP34" s="278"/>
      <c r="AQ34" s="278"/>
    </row>
    <row r="35" spans="1:44" x14ac:dyDescent="0.25">
      <c r="A35" s="301">
        <f t="shared" si="21"/>
        <v>0</v>
      </c>
      <c r="B35" s="301" t="str">
        <f t="shared" si="22"/>
        <v/>
      </c>
      <c r="C35" s="301" t="str">
        <f>IFERROR(IF(OR(P35&gt;0,O35&gt;0),INDEX(PMEKITCHEN[Measure '#],MATCH(W35,PMEKITCHEN[Eff Desc 1],0)),""),"")</f>
        <v/>
      </c>
      <c r="D35" s="63"/>
      <c r="E35" s="301" t="str">
        <f>IFERROR(INDEX(PMEKITCHEN[End Use Category],MATCH(W35,PMEKITCHEN[Eff Desc 1],0)),"")</f>
        <v/>
      </c>
      <c r="F35" s="278"/>
      <c r="G35" s="63">
        <f>INDEX('M03-S05'!$AB$16:$AB$198,2*(ROWS($G$31:G35)-1)+1)</f>
        <v>0</v>
      </c>
      <c r="H35" s="107">
        <f>INDEX('M03-S05'!$V$16:$V$198,2*(ROWS($H$31:H35)-1)+1)*INDEX('M03-S05'!$AE$16:$AE$198,2*(ROWS($H$31:H35)-1)+1)</f>
        <v>0</v>
      </c>
      <c r="I35" s="107">
        <f>INDEX('M03-S05'!$V$16:$V$198,2*(ROWS($I$31:I35)-1)+1)*INDEX('M03-S05'!$AG$16:$AG$198,2*(ROWS($I$31:I35)-1)+1)</f>
        <v>0</v>
      </c>
      <c r="J35" s="107" t="str">
        <f>INDEX('M03-S05'!$AU$16:$AU$198,2*(ROWS($J$31:J35)-1)+1)</f>
        <v/>
      </c>
      <c r="K35" s="63" t="str">
        <f>IFERROR(INDEX(PMEKITCHEN[Cost Basis],MATCH(W35,PMEKITCHEN[Eff Desc 1],0)),"")</f>
        <v/>
      </c>
      <c r="L35" s="277">
        <f>INDEX('M03-S05'!$V$16:$V$198,2*(ROWS($L$31:L35)-1)+1)</f>
        <v>0</v>
      </c>
      <c r="M35" s="277" t="str">
        <f>IFERROR(INDEX('M03-S05'!$AK$16:$AK$198,2*(ROWS($M$31:M35)-1)+1),"")</f>
        <v/>
      </c>
      <c r="N35" s="335" t="str">
        <f>IFERROR(INDEX('M03-S05'!$AV$16:$AV$198,2*(ROWS($N$31:N35)-1)+1),"")</f>
        <v/>
      </c>
      <c r="O35" s="107" t="str">
        <f>IFERROR(INDEX('M03-S05'!$AO$16:$AO$198,2*(ROWS($O$31:O35)-1)+1),"")</f>
        <v/>
      </c>
      <c r="P35" s="278"/>
      <c r="Q35" s="340"/>
      <c r="R35" s="254"/>
      <c r="S35" s="283"/>
      <c r="T35" s="283"/>
      <c r="U35" s="277">
        <f>INDEX('M03-S05'!$B$16:$B$198,2*(ROWS($U$31:U35)-1)+1)</f>
        <v>5</v>
      </c>
      <c r="V35" s="254"/>
      <c r="W35" s="104">
        <f>INDEX('M03-S05'!$C$16:$C$198,2*(ROWS($W$31:W35)-1)+1)</f>
        <v>0</v>
      </c>
      <c r="X35" s="254"/>
      <c r="Y35" s="63">
        <f>INDEX('M03-S05'!$X$16:$X$198,2*(ROWS($Y$31:Y35)-1)+1)</f>
        <v>0</v>
      </c>
      <c r="Z35" s="254"/>
      <c r="AA35" s="254"/>
      <c r="AB35" s="254"/>
      <c r="AC35" s="254"/>
      <c r="AD35" s="254"/>
      <c r="AE35" s="278"/>
      <c r="AF35" s="278"/>
      <c r="AG35" s="278"/>
      <c r="AH35" s="278"/>
      <c r="AI35" s="278"/>
      <c r="AJ35" s="107" t="str">
        <f t="shared" si="14"/>
        <v/>
      </c>
      <c r="AK35" s="107" t="str">
        <f t="shared" si="15"/>
        <v/>
      </c>
      <c r="AL35" s="107" t="str">
        <f t="shared" si="16"/>
        <v/>
      </c>
      <c r="AM35" s="280"/>
      <c r="AN35" s="107" t="str">
        <f t="shared" si="17"/>
        <v/>
      </c>
      <c r="AO35" s="278"/>
      <c r="AP35" s="278"/>
      <c r="AQ35" s="278"/>
    </row>
    <row r="36" spans="1:44" x14ac:dyDescent="0.25">
      <c r="A36" s="301">
        <f t="shared" si="21"/>
        <v>0</v>
      </c>
      <c r="B36" s="301" t="str">
        <f t="shared" si="22"/>
        <v/>
      </c>
      <c r="C36" s="301" t="str">
        <f>IFERROR(IF(OR(P36&gt;0,O36&gt;0),INDEX(PMEKITCHEN[Measure '#],MATCH(W36,PMEKITCHEN[Eff Desc 1],0)),""),"")</f>
        <v/>
      </c>
      <c r="D36" s="63"/>
      <c r="E36" s="301" t="str">
        <f>IFERROR(INDEX(PMEKITCHEN[End Use Category],MATCH(W36,PMEKITCHEN[Eff Desc 1],0)),"")</f>
        <v/>
      </c>
      <c r="F36" s="278"/>
      <c r="G36" s="63">
        <f>INDEX('M03-S05'!$AB$16:$AB$198,2*(ROWS($G$31:G36)-1)+1)</f>
        <v>0</v>
      </c>
      <c r="H36" s="107">
        <f>INDEX('M03-S05'!$V$16:$V$198,2*(ROWS($H$31:H36)-1)+1)*INDEX('M03-S05'!$AE$16:$AE$198,2*(ROWS($H$31:H36)-1)+1)</f>
        <v>0</v>
      </c>
      <c r="I36" s="107">
        <f>INDEX('M03-S05'!$V$16:$V$198,2*(ROWS($I$31:I36)-1)+1)*INDEX('M03-S05'!$AG$16:$AG$198,2*(ROWS($I$31:I36)-1)+1)</f>
        <v>0</v>
      </c>
      <c r="J36" s="107" t="str">
        <f>INDEX('M03-S05'!$AU$16:$AU$198,2*(ROWS($J$31:J36)-1)+1)</f>
        <v/>
      </c>
      <c r="K36" s="63" t="str">
        <f>IFERROR(INDEX(PMEKITCHEN[Cost Basis],MATCH(W36,PMEKITCHEN[Eff Desc 1],0)),"")</f>
        <v/>
      </c>
      <c r="L36" s="277">
        <f>INDEX('M03-S05'!$V$16:$V$198,2*(ROWS($L$31:L36)-1)+1)</f>
        <v>0</v>
      </c>
      <c r="M36" s="277" t="str">
        <f>IFERROR(INDEX('M03-S05'!$AK$16:$AK$198,2*(ROWS($M$31:M36)-1)+1),"")</f>
        <v/>
      </c>
      <c r="N36" s="335" t="str">
        <f>IFERROR(INDEX('M03-S05'!$AV$16:$AV$198,2*(ROWS($N$31:N36)-1)+1),"")</f>
        <v/>
      </c>
      <c r="O36" s="107" t="str">
        <f>IFERROR(INDEX('M03-S05'!$AO$16:$AO$198,2*(ROWS($O$31:O36)-1)+1),"")</f>
        <v/>
      </c>
      <c r="P36" s="278"/>
      <c r="Q36" s="340"/>
      <c r="R36" s="254"/>
      <c r="S36" s="283"/>
      <c r="T36" s="283"/>
      <c r="U36" s="277">
        <f>INDEX('M03-S05'!$B$16:$B$198,2*(ROWS($U$31:U36)-1)+1)</f>
        <v>6</v>
      </c>
      <c r="V36" s="254"/>
      <c r="W36" s="104">
        <f>INDEX('M03-S05'!$C$16:$C$198,2*(ROWS($W$31:W36)-1)+1)</f>
        <v>0</v>
      </c>
      <c r="X36" s="254"/>
      <c r="Y36" s="63">
        <f>INDEX('M03-S05'!$X$16:$X$198,2*(ROWS($Y$31:Y36)-1)+1)</f>
        <v>0</v>
      </c>
      <c r="Z36" s="254"/>
      <c r="AA36" s="254"/>
      <c r="AB36" s="254"/>
      <c r="AC36" s="254"/>
      <c r="AD36" s="254"/>
      <c r="AE36" s="278"/>
      <c r="AF36" s="278"/>
      <c r="AG36" s="278"/>
      <c r="AH36" s="278"/>
      <c r="AI36" s="278"/>
      <c r="AJ36" s="107" t="str">
        <f t="shared" si="14"/>
        <v/>
      </c>
      <c r="AK36" s="107" t="str">
        <f t="shared" si="15"/>
        <v/>
      </c>
      <c r="AL36" s="107" t="str">
        <f t="shared" si="16"/>
        <v/>
      </c>
      <c r="AM36" s="280"/>
      <c r="AN36" s="107" t="str">
        <f t="shared" si="17"/>
        <v/>
      </c>
      <c r="AO36" s="278"/>
      <c r="AP36" s="278"/>
      <c r="AQ36" s="278"/>
    </row>
    <row r="37" spans="1:44" x14ac:dyDescent="0.25">
      <c r="A37" s="301">
        <f t="shared" si="21"/>
        <v>0</v>
      </c>
      <c r="B37" s="301" t="str">
        <f t="shared" si="22"/>
        <v/>
      </c>
      <c r="C37" s="301" t="str">
        <f>IFERROR(IF(OR(P37&gt;0,O37&gt;0),INDEX(PMEKITCHEN[Measure '#],MATCH(W37,PMEKITCHEN[Eff Desc 1],0)),""),"")</f>
        <v/>
      </c>
      <c r="D37" s="63"/>
      <c r="E37" s="301" t="str">
        <f>IFERROR(INDEX(PMEKITCHEN[End Use Category],MATCH(W37,PMEKITCHEN[Eff Desc 1],0)),"")</f>
        <v/>
      </c>
      <c r="F37" s="278"/>
      <c r="G37" s="63">
        <f>INDEX('M03-S05'!$AB$16:$AB$198,2*(ROWS($G$31:G37)-1)+1)</f>
        <v>0</v>
      </c>
      <c r="H37" s="107">
        <f>INDEX('M03-S05'!$V$16:$V$198,2*(ROWS($H$31:H37)-1)+1)*INDEX('M03-S05'!$AE$16:$AE$198,2*(ROWS($H$31:H37)-1)+1)</f>
        <v>0</v>
      </c>
      <c r="I37" s="107">
        <f>INDEX('M03-S05'!$V$16:$V$198,2*(ROWS($I$31:I37)-1)+1)*INDEX('M03-S05'!$AG$16:$AG$198,2*(ROWS($I$31:I37)-1)+1)</f>
        <v>0</v>
      </c>
      <c r="J37" s="107" t="str">
        <f>INDEX('M03-S05'!$AU$16:$AU$198,2*(ROWS($J$31:J37)-1)+1)</f>
        <v/>
      </c>
      <c r="K37" s="63" t="str">
        <f>IFERROR(INDEX(PMEKITCHEN[Cost Basis],MATCH(W37,PMEKITCHEN[Eff Desc 1],0)),"")</f>
        <v/>
      </c>
      <c r="L37" s="277">
        <f>INDEX('M03-S05'!$V$16:$V$198,2*(ROWS($L$31:L37)-1)+1)</f>
        <v>0</v>
      </c>
      <c r="M37" s="277" t="str">
        <f>IFERROR(INDEX('M03-S05'!$AK$16:$AK$198,2*(ROWS($M$31:M37)-1)+1),"")</f>
        <v/>
      </c>
      <c r="N37" s="335" t="str">
        <f>IFERROR(INDEX('M03-S05'!$AV$16:$AV$198,2*(ROWS($N$31:N37)-1)+1),"")</f>
        <v/>
      </c>
      <c r="O37" s="107" t="str">
        <f>IFERROR(INDEX('M03-S05'!$AO$16:$AO$198,2*(ROWS($O$31:O37)-1)+1),"")</f>
        <v/>
      </c>
      <c r="P37" s="278"/>
      <c r="Q37" s="340"/>
      <c r="R37" s="254"/>
      <c r="S37" s="283"/>
      <c r="T37" s="283"/>
      <c r="U37" s="277">
        <f>INDEX('M03-S05'!$B$16:$B$198,2*(ROWS($U$31:U37)-1)+1)</f>
        <v>7</v>
      </c>
      <c r="V37" s="254"/>
      <c r="W37" s="104">
        <f>INDEX('M03-S05'!$C$16:$C$198,2*(ROWS($W$31:W37)-1)+1)</f>
        <v>0</v>
      </c>
      <c r="X37" s="254"/>
      <c r="Y37" s="63">
        <f>INDEX('M03-S05'!$X$16:$X$198,2*(ROWS($Y$31:Y37)-1)+1)</f>
        <v>0</v>
      </c>
      <c r="Z37" s="254"/>
      <c r="AA37" s="254"/>
      <c r="AB37" s="254"/>
      <c r="AC37" s="254"/>
      <c r="AD37" s="254"/>
      <c r="AE37" s="278"/>
      <c r="AF37" s="278"/>
      <c r="AG37" s="278"/>
      <c r="AH37" s="278"/>
      <c r="AI37" s="278"/>
      <c r="AJ37" s="107" t="str">
        <f t="shared" si="14"/>
        <v/>
      </c>
      <c r="AK37" s="107" t="str">
        <f t="shared" si="15"/>
        <v/>
      </c>
      <c r="AL37" s="107" t="str">
        <f t="shared" si="16"/>
        <v/>
      </c>
      <c r="AM37" s="280"/>
      <c r="AN37" s="107" t="str">
        <f t="shared" si="17"/>
        <v/>
      </c>
      <c r="AO37" s="278"/>
      <c r="AP37" s="278"/>
      <c r="AQ37" s="278"/>
    </row>
    <row r="38" spans="1:44" x14ac:dyDescent="0.25">
      <c r="A38" s="301">
        <f t="shared" si="21"/>
        <v>0</v>
      </c>
      <c r="B38" s="301" t="str">
        <f t="shared" si="22"/>
        <v/>
      </c>
      <c r="C38" s="301" t="str">
        <f>IFERROR(IF(OR(P38&gt;0,O38&gt;0),INDEX(PMEKITCHEN[Measure '#],MATCH(W38,PMEKITCHEN[Eff Desc 1],0)),""),"")</f>
        <v/>
      </c>
      <c r="D38" s="63"/>
      <c r="E38" s="301" t="str">
        <f>IFERROR(INDEX(PMEKITCHEN[End Use Category],MATCH(W38,PMEKITCHEN[Eff Desc 1],0)),"")</f>
        <v/>
      </c>
      <c r="F38" s="278"/>
      <c r="G38" s="63">
        <f>INDEX('M03-S05'!$AB$16:$AB$198,2*(ROWS($G$31:G38)-1)+1)</f>
        <v>0</v>
      </c>
      <c r="H38" s="107">
        <f>INDEX('M03-S05'!$V$16:$V$198,2*(ROWS($H$31:H38)-1)+1)*INDEX('M03-S05'!$AE$16:$AE$198,2*(ROWS($H$31:H38)-1)+1)</f>
        <v>0</v>
      </c>
      <c r="I38" s="107">
        <f>INDEX('M03-S05'!$V$16:$V$198,2*(ROWS($I$31:I38)-1)+1)*INDEX('M03-S05'!$AG$16:$AG$198,2*(ROWS($I$31:I38)-1)+1)</f>
        <v>0</v>
      </c>
      <c r="J38" s="107" t="str">
        <f>INDEX('M03-S05'!$AU$16:$AU$198,2*(ROWS($J$31:J38)-1)+1)</f>
        <v/>
      </c>
      <c r="K38" s="63" t="str">
        <f>IFERROR(INDEX(PMEKITCHEN[Cost Basis],MATCH(W38,PMEKITCHEN[Eff Desc 1],0)),"")</f>
        <v/>
      </c>
      <c r="L38" s="277">
        <f>INDEX('M03-S05'!$V$16:$V$198,2*(ROWS($L$31:L38)-1)+1)</f>
        <v>0</v>
      </c>
      <c r="M38" s="277" t="str">
        <f>IFERROR(INDEX('M03-S05'!$AK$16:$AK$198,2*(ROWS($M$31:M38)-1)+1),"")</f>
        <v/>
      </c>
      <c r="N38" s="335" t="str">
        <f>IFERROR(INDEX('M03-S05'!$AV$16:$AV$198,2*(ROWS($N$31:N38)-1)+1),"")</f>
        <v/>
      </c>
      <c r="O38" s="107" t="str">
        <f>IFERROR(INDEX('M03-S05'!$AO$16:$AO$198,2*(ROWS($O$31:O38)-1)+1),"")</f>
        <v/>
      </c>
      <c r="P38" s="278"/>
      <c r="Q38" s="340"/>
      <c r="R38" s="254"/>
      <c r="S38" s="283"/>
      <c r="T38" s="283"/>
      <c r="U38" s="277">
        <f>INDEX('M03-S05'!$B$16:$B$198,2*(ROWS($U$31:U38)-1)+1)</f>
        <v>8</v>
      </c>
      <c r="V38" s="254"/>
      <c r="W38" s="104">
        <f>INDEX('M03-S05'!$C$16:$C$198,2*(ROWS($W$31:W38)-1)+1)</f>
        <v>0</v>
      </c>
      <c r="X38" s="254"/>
      <c r="Y38" s="63">
        <f>INDEX('M03-S05'!$X$16:$X$198,2*(ROWS($Y$31:Y38)-1)+1)</f>
        <v>0</v>
      </c>
      <c r="Z38" s="254"/>
      <c r="AA38" s="254"/>
      <c r="AB38" s="254"/>
      <c r="AC38" s="254"/>
      <c r="AD38" s="254"/>
      <c r="AE38" s="278"/>
      <c r="AF38" s="278"/>
      <c r="AG38" s="278"/>
      <c r="AH38" s="278"/>
      <c r="AI38" s="278"/>
      <c r="AJ38" s="107" t="str">
        <f t="shared" si="14"/>
        <v/>
      </c>
      <c r="AK38" s="107" t="str">
        <f t="shared" si="15"/>
        <v/>
      </c>
      <c r="AL38" s="107" t="str">
        <f t="shared" si="16"/>
        <v/>
      </c>
      <c r="AM38" s="280"/>
      <c r="AN38" s="107" t="str">
        <f t="shared" ref="AN38:AN47" si="23">IFERROR(J38/M38/M02S02F35,"")</f>
        <v/>
      </c>
      <c r="AO38" s="278"/>
      <c r="AP38" s="278"/>
      <c r="AQ38" s="278"/>
    </row>
    <row r="39" spans="1:44" x14ac:dyDescent="0.25">
      <c r="A39" s="301">
        <f t="shared" si="21"/>
        <v>0</v>
      </c>
      <c r="B39" s="301" t="str">
        <f t="shared" si="22"/>
        <v/>
      </c>
      <c r="C39" s="301" t="str">
        <f>IFERROR(IF(OR(P39&gt;0,O39&gt;0),INDEX(PMEKITCHEN[Measure '#],MATCH(W39,PMEKITCHEN[Eff Desc 1],0)),""),"")</f>
        <v/>
      </c>
      <c r="D39" s="63"/>
      <c r="E39" s="301" t="str">
        <f>IFERROR(INDEX(PMEKITCHEN[End Use Category],MATCH(W39,PMEKITCHEN[Eff Desc 1],0)),"")</f>
        <v/>
      </c>
      <c r="F39" s="278"/>
      <c r="G39" s="63">
        <f>INDEX('M03-S05'!$AB$16:$AB$198,2*(ROWS($G$31:G39)-1)+1)</f>
        <v>0</v>
      </c>
      <c r="H39" s="107">
        <f>INDEX('M03-S05'!$V$16:$V$198,2*(ROWS($H$31:H39)-1)+1)*INDEX('M03-S05'!$AE$16:$AE$198,2*(ROWS($H$31:H39)-1)+1)</f>
        <v>0</v>
      </c>
      <c r="I39" s="107">
        <f>INDEX('M03-S05'!$V$16:$V$198,2*(ROWS($I$31:I39)-1)+1)*INDEX('M03-S05'!$AG$16:$AG$198,2*(ROWS($I$31:I39)-1)+1)</f>
        <v>0</v>
      </c>
      <c r="J39" s="107" t="str">
        <f>INDEX('M03-S05'!$AU$16:$AU$198,2*(ROWS($J$31:J39)-1)+1)</f>
        <v/>
      </c>
      <c r="K39" s="63" t="str">
        <f>IFERROR(INDEX(PMEKITCHEN[Cost Basis],MATCH(W39,PMEKITCHEN[Eff Desc 1],0)),"")</f>
        <v/>
      </c>
      <c r="L39" s="277">
        <f>INDEX('M03-S05'!$V$16:$V$198,2*(ROWS($L$31:L39)-1)+1)</f>
        <v>0</v>
      </c>
      <c r="M39" s="277" t="str">
        <f>IFERROR(INDEX('M03-S05'!$AK$16:$AK$198,2*(ROWS($M$31:M39)-1)+1),"")</f>
        <v/>
      </c>
      <c r="N39" s="335" t="str">
        <f>IFERROR(INDEX('M03-S05'!$AV$16:$AV$198,2*(ROWS($N$31:N39)-1)+1),"")</f>
        <v/>
      </c>
      <c r="O39" s="107" t="str">
        <f>IFERROR(INDEX('M03-S05'!$AO$16:$AO$198,2*(ROWS($O$31:O39)-1)+1),"")</f>
        <v/>
      </c>
      <c r="P39" s="278"/>
      <c r="Q39" s="340"/>
      <c r="R39" s="254"/>
      <c r="S39" s="283"/>
      <c r="T39" s="283"/>
      <c r="U39" s="277">
        <f>INDEX('M03-S05'!$B$16:$B$198,2*(ROWS($U$31:U39)-1)+1)</f>
        <v>9</v>
      </c>
      <c r="V39" s="254"/>
      <c r="W39" s="104">
        <f>INDEX('M03-S05'!$C$16:$C$198,2*(ROWS($W$31:W39)-1)+1)</f>
        <v>0</v>
      </c>
      <c r="X39" s="254"/>
      <c r="Y39" s="63">
        <f>INDEX('M03-S05'!$X$16:$X$198,2*(ROWS($Y$31:Y39)-1)+1)</f>
        <v>0</v>
      </c>
      <c r="Z39" s="254"/>
      <c r="AA39" s="254"/>
      <c r="AB39" s="254"/>
      <c r="AC39" s="254"/>
      <c r="AD39" s="254"/>
      <c r="AE39" s="278"/>
      <c r="AF39" s="278"/>
      <c r="AG39" s="278"/>
      <c r="AH39" s="278"/>
      <c r="AI39" s="278"/>
      <c r="AJ39" s="107" t="str">
        <f t="shared" si="14"/>
        <v/>
      </c>
      <c r="AK39" s="107" t="str">
        <f t="shared" si="15"/>
        <v/>
      </c>
      <c r="AL39" s="107" t="str">
        <f t="shared" si="16"/>
        <v/>
      </c>
      <c r="AM39" s="280"/>
      <c r="AN39" s="107" t="str">
        <f t="shared" si="23"/>
        <v/>
      </c>
      <c r="AO39" s="278"/>
      <c r="AP39" s="278"/>
      <c r="AQ39" s="278"/>
    </row>
    <row r="40" spans="1:44" x14ac:dyDescent="0.25">
      <c r="A40" s="301">
        <f t="shared" si="21"/>
        <v>0</v>
      </c>
      <c r="B40" s="301" t="str">
        <f t="shared" si="22"/>
        <v/>
      </c>
      <c r="C40" s="301" t="str">
        <f>IFERROR(IF(OR(P40&gt;0,O40&gt;0),INDEX(PMEKITCHEN[Measure '#],MATCH(W40,PMEKITCHEN[Eff Desc 1],0)),""),"")</f>
        <v/>
      </c>
      <c r="D40" s="63"/>
      <c r="E40" s="301" t="str">
        <f>IFERROR(INDEX(PMEKITCHEN[End Use Category],MATCH(W40,PMEKITCHEN[Eff Desc 1],0)),"")</f>
        <v/>
      </c>
      <c r="F40" s="278"/>
      <c r="G40" s="63">
        <f>INDEX('M03-S05'!$AB$16:$AB$198,2*(ROWS($G$31:G40)-1)+1)</f>
        <v>0</v>
      </c>
      <c r="H40" s="107">
        <f>INDEX('M03-S05'!$V$16:$V$198,2*(ROWS($H$31:H40)-1)+1)*INDEX('M03-S05'!$AE$16:$AE$198,2*(ROWS($H$31:H40)-1)+1)</f>
        <v>0</v>
      </c>
      <c r="I40" s="107">
        <f>INDEX('M03-S05'!$V$16:$V$198,2*(ROWS($I$31:I40)-1)+1)*INDEX('M03-S05'!$AG$16:$AG$198,2*(ROWS($I$31:I40)-1)+1)</f>
        <v>0</v>
      </c>
      <c r="J40" s="107" t="str">
        <f>INDEX('M03-S05'!$AU$16:$AU$198,2*(ROWS($J$31:J40)-1)+1)</f>
        <v/>
      </c>
      <c r="K40" s="63" t="str">
        <f>IFERROR(INDEX(PMEKITCHEN[Cost Basis],MATCH(W40,PMEKITCHEN[Eff Desc 1],0)),"")</f>
        <v/>
      </c>
      <c r="L40" s="277">
        <f>INDEX('M03-S05'!$V$16:$V$198,2*(ROWS($L$31:L40)-1)+1)</f>
        <v>0</v>
      </c>
      <c r="M40" s="277" t="str">
        <f>IFERROR(INDEX('M03-S05'!$AK$16:$AK$198,2*(ROWS($M$31:M40)-1)+1),"")</f>
        <v/>
      </c>
      <c r="N40" s="335" t="str">
        <f>IFERROR(INDEX('M03-S05'!$AV$16:$AV$198,2*(ROWS($N$31:N40)-1)+1),"")</f>
        <v/>
      </c>
      <c r="O40" s="107" t="str">
        <f>IFERROR(INDEX('M03-S05'!$AO$16:$AO$198,2*(ROWS($O$31:O40)-1)+1),"")</f>
        <v/>
      </c>
      <c r="P40" s="278"/>
      <c r="Q40" s="340"/>
      <c r="R40" s="254"/>
      <c r="S40" s="283"/>
      <c r="T40" s="283"/>
      <c r="U40" s="277">
        <f>INDEX('M03-S05'!$B$16:$B$198,2*(ROWS($U$31:U40)-1)+1)</f>
        <v>10</v>
      </c>
      <c r="V40" s="254"/>
      <c r="W40" s="104">
        <f>INDEX('M03-S05'!$C$16:$C$198,2*(ROWS($W$31:W40)-1)+1)</f>
        <v>0</v>
      </c>
      <c r="X40" s="254"/>
      <c r="Y40" s="63">
        <f>INDEX('M03-S05'!$X$16:$X$198,2*(ROWS($Y$31:Y40)-1)+1)</f>
        <v>0</v>
      </c>
      <c r="Z40" s="254"/>
      <c r="AA40" s="254"/>
      <c r="AB40" s="254"/>
      <c r="AC40" s="254"/>
      <c r="AD40" s="254"/>
      <c r="AE40" s="278"/>
      <c r="AF40" s="278"/>
      <c r="AG40" s="278"/>
      <c r="AH40" s="278"/>
      <c r="AI40" s="278"/>
      <c r="AJ40" s="107" t="str">
        <f t="shared" si="14"/>
        <v/>
      </c>
      <c r="AK40" s="107" t="str">
        <f t="shared" si="15"/>
        <v/>
      </c>
      <c r="AL40" s="107" t="str">
        <f t="shared" si="16"/>
        <v/>
      </c>
      <c r="AM40" s="280"/>
      <c r="AN40" s="107" t="str">
        <f t="shared" si="23"/>
        <v/>
      </c>
      <c r="AO40" s="278"/>
      <c r="AP40" s="278"/>
      <c r="AQ40" s="278"/>
    </row>
    <row r="41" spans="1:44" x14ac:dyDescent="0.25">
      <c r="A41" s="301">
        <f t="shared" si="21"/>
        <v>0</v>
      </c>
      <c r="B41" s="301" t="str">
        <f t="shared" si="22"/>
        <v/>
      </c>
      <c r="C41" s="301" t="str">
        <f>IFERROR(IF(OR(P41&gt;0,O41&gt;0),INDEX(PMEKITCHEN[Measure '#],MATCH(W41,PMEKITCHEN[Eff Desc 1],0)),""),"")</f>
        <v/>
      </c>
      <c r="D41" s="63"/>
      <c r="E41" s="301" t="str">
        <f>IFERROR(INDEX(PMEKITCHEN[End Use Category],MATCH(W41,PMEKITCHEN[Eff Desc 1],0)),"")</f>
        <v/>
      </c>
      <c r="F41" s="278"/>
      <c r="G41" s="63">
        <f>INDEX('M03-S05'!$AB$16:$AB$198,2*(ROWS($G$31:G41)-1)+1)</f>
        <v>0</v>
      </c>
      <c r="H41" s="107">
        <f>INDEX('M03-S05'!$V$16:$V$198,2*(ROWS($H$31:H41)-1)+1)*INDEX('M03-S05'!$AE$16:$AE$198,2*(ROWS($H$31:H41)-1)+1)</f>
        <v>0</v>
      </c>
      <c r="I41" s="107">
        <f>INDEX('M03-S05'!$V$16:$V$198,2*(ROWS($I$31:I41)-1)+1)*INDEX('M03-S05'!$AG$16:$AG$198,2*(ROWS($I$31:I41)-1)+1)</f>
        <v>0</v>
      </c>
      <c r="J41" s="107" t="str">
        <f>INDEX('M03-S05'!$AU$16:$AU$198,2*(ROWS($J$31:J41)-1)+1)</f>
        <v/>
      </c>
      <c r="K41" s="63" t="str">
        <f>IFERROR(INDEX(PMEKITCHEN[Cost Basis],MATCH(W41,PMEKITCHEN[Eff Desc 1],0)),"")</f>
        <v/>
      </c>
      <c r="L41" s="277">
        <f>INDEX('M03-S05'!$V$16:$V$198,2*(ROWS($L$31:L41)-1)+1)</f>
        <v>0</v>
      </c>
      <c r="M41" s="277" t="str">
        <f>IFERROR(INDEX('M03-S05'!$AK$16:$AK$198,2*(ROWS($M$31:M41)-1)+1),"")</f>
        <v/>
      </c>
      <c r="N41" s="335" t="str">
        <f>IFERROR(INDEX('M03-S05'!$AV$16:$AV$198,2*(ROWS($N$31:N41)-1)+1),"")</f>
        <v/>
      </c>
      <c r="O41" s="107" t="str">
        <f>IFERROR(INDEX('M03-S05'!$AO$16:$AO$198,2*(ROWS($O$31:O41)-1)+1),"")</f>
        <v/>
      </c>
      <c r="P41" s="278"/>
      <c r="Q41" s="340"/>
      <c r="R41" s="254"/>
      <c r="S41" s="283"/>
      <c r="T41" s="283"/>
      <c r="U41" s="277">
        <f>INDEX('M03-S05'!$B$16:$B$198,2*(ROWS($U$31:U41)-1)+1)</f>
        <v>11</v>
      </c>
      <c r="V41" s="254"/>
      <c r="W41" s="104">
        <f>INDEX('M03-S05'!$C$16:$C$198,2*(ROWS($W$31:W41)-1)+1)</f>
        <v>0</v>
      </c>
      <c r="X41" s="254"/>
      <c r="Y41" s="63">
        <f>INDEX('M03-S05'!$X$16:$X$198,2*(ROWS($Y$31:Y41)-1)+1)</f>
        <v>0</v>
      </c>
      <c r="Z41" s="254"/>
      <c r="AA41" s="254"/>
      <c r="AB41" s="254"/>
      <c r="AC41" s="254"/>
      <c r="AD41" s="254"/>
      <c r="AE41" s="278"/>
      <c r="AF41" s="278"/>
      <c r="AG41" s="278"/>
      <c r="AH41" s="278"/>
      <c r="AI41" s="278"/>
      <c r="AJ41" s="107" t="str">
        <f t="shared" si="14"/>
        <v/>
      </c>
      <c r="AK41" s="107" t="str">
        <f t="shared" si="15"/>
        <v/>
      </c>
      <c r="AL41" s="107" t="str">
        <f t="shared" si="16"/>
        <v/>
      </c>
      <c r="AM41" s="280"/>
      <c r="AN41" s="107" t="str">
        <f t="shared" si="23"/>
        <v/>
      </c>
      <c r="AO41" s="278"/>
      <c r="AP41" s="278"/>
      <c r="AQ41" s="278"/>
    </row>
    <row r="42" spans="1:44" x14ac:dyDescent="0.25">
      <c r="A42" s="301">
        <f t="shared" si="21"/>
        <v>0</v>
      </c>
      <c r="B42" s="301" t="str">
        <f t="shared" si="22"/>
        <v/>
      </c>
      <c r="C42" s="301" t="str">
        <f>IFERROR(IF(OR(P42&gt;0,O42&gt;0),INDEX(PMEKITCHEN[Measure '#],MATCH(W42,PMEKITCHEN[Eff Desc 1],0)),""),"")</f>
        <v/>
      </c>
      <c r="D42" s="63"/>
      <c r="E42" s="301" t="str">
        <f>IFERROR(INDEX(PMEKITCHEN[End Use Category],MATCH(W42,PMEKITCHEN[Eff Desc 1],0)),"")</f>
        <v/>
      </c>
      <c r="F42" s="278"/>
      <c r="G42" s="63">
        <f>INDEX('M03-S05'!$AB$16:$AB$198,2*(ROWS($G$31:G42)-1)+1)</f>
        <v>0</v>
      </c>
      <c r="H42" s="107">
        <f>INDEX('M03-S05'!$V$16:$V$198,2*(ROWS($H$31:H42)-1)+1)*INDEX('M03-S05'!$AE$16:$AE$198,2*(ROWS($H$31:H42)-1)+1)</f>
        <v>0</v>
      </c>
      <c r="I42" s="107">
        <f>INDEX('M03-S05'!$V$16:$V$198,2*(ROWS($I$31:I42)-1)+1)*INDEX('M03-S05'!$AG$16:$AG$198,2*(ROWS($I$31:I42)-1)+1)</f>
        <v>0</v>
      </c>
      <c r="J42" s="107" t="str">
        <f>INDEX('M03-S05'!$AU$16:$AU$198,2*(ROWS($J$31:J42)-1)+1)</f>
        <v/>
      </c>
      <c r="K42" s="63" t="str">
        <f>IFERROR(INDEX(PMEKITCHEN[Cost Basis],MATCH(W42,PMEKITCHEN[Eff Desc 1],0)),"")</f>
        <v/>
      </c>
      <c r="L42" s="277">
        <f>INDEX('M03-S05'!$V$16:$V$198,2*(ROWS($L$31:L42)-1)+1)</f>
        <v>0</v>
      </c>
      <c r="M42" s="277" t="str">
        <f>IFERROR(INDEX('M03-S05'!$AK$16:$AK$198,2*(ROWS($M$31:M42)-1)+1),"")</f>
        <v/>
      </c>
      <c r="N42" s="335" t="str">
        <f>IFERROR(INDEX('M03-S05'!$AV$16:$AV$198,2*(ROWS($N$31:N42)-1)+1),"")</f>
        <v/>
      </c>
      <c r="O42" s="107" t="str">
        <f>IFERROR(INDEX('M03-S05'!$AO$16:$AO$198,2*(ROWS($O$31:O42)-1)+1),"")</f>
        <v/>
      </c>
      <c r="P42" s="278"/>
      <c r="Q42" s="340"/>
      <c r="R42" s="254"/>
      <c r="S42" s="283"/>
      <c r="T42" s="283"/>
      <c r="U42" s="277">
        <f>INDEX('M03-S05'!$B$16:$B$198,2*(ROWS($U$31:U42)-1)+1)</f>
        <v>12</v>
      </c>
      <c r="V42" s="254"/>
      <c r="W42" s="104">
        <f>INDEX('M03-S05'!$C$16:$C$198,2*(ROWS($W$31:W42)-1)+1)</f>
        <v>0</v>
      </c>
      <c r="X42" s="254"/>
      <c r="Y42" s="63">
        <f>INDEX('M03-S05'!$X$16:$X$198,2*(ROWS($Y$31:Y42)-1)+1)</f>
        <v>0</v>
      </c>
      <c r="Z42" s="254"/>
      <c r="AA42" s="254"/>
      <c r="AB42" s="254"/>
      <c r="AC42" s="254"/>
      <c r="AD42" s="254"/>
      <c r="AE42" s="278"/>
      <c r="AF42" s="278"/>
      <c r="AG42" s="278"/>
      <c r="AH42" s="278"/>
      <c r="AI42" s="278"/>
      <c r="AJ42" s="107" t="str">
        <f t="shared" si="14"/>
        <v/>
      </c>
      <c r="AK42" s="107" t="str">
        <f t="shared" si="15"/>
        <v/>
      </c>
      <c r="AL42" s="107" t="str">
        <f t="shared" si="16"/>
        <v/>
      </c>
      <c r="AM42" s="280"/>
      <c r="AN42" s="107" t="str">
        <f t="shared" si="23"/>
        <v/>
      </c>
      <c r="AO42" s="278"/>
      <c r="AP42" s="278"/>
      <c r="AQ42" s="278"/>
    </row>
    <row r="43" spans="1:44" x14ac:dyDescent="0.25">
      <c r="A43" s="301">
        <f t="shared" si="21"/>
        <v>0</v>
      </c>
      <c r="B43" s="301" t="str">
        <f t="shared" si="22"/>
        <v/>
      </c>
      <c r="C43" s="301" t="str">
        <f>IFERROR(IF(OR(P43&gt;0,O43&gt;0),INDEX(PMEKITCHEN[Measure '#],MATCH(W43,PMEKITCHEN[Eff Desc 1],0)),""),"")</f>
        <v/>
      </c>
      <c r="D43" s="63"/>
      <c r="E43" s="301" t="str">
        <f>IFERROR(INDEX(PMEKITCHEN[End Use Category],MATCH(W43,PMEKITCHEN[Eff Desc 1],0)),"")</f>
        <v/>
      </c>
      <c r="F43" s="278"/>
      <c r="G43" s="63">
        <f>INDEX('M03-S05'!$AB$16:$AB$198,2*(ROWS($G$31:G43)-1)+1)</f>
        <v>0</v>
      </c>
      <c r="H43" s="107">
        <f>INDEX('M03-S05'!$V$16:$V$198,2*(ROWS($H$31:H43)-1)+1)*INDEX('M03-S05'!$AE$16:$AE$198,2*(ROWS($H$31:H43)-1)+1)</f>
        <v>0</v>
      </c>
      <c r="I43" s="107">
        <f>INDEX('M03-S05'!$V$16:$V$198,2*(ROWS($I$31:I43)-1)+1)*INDEX('M03-S05'!$AG$16:$AG$198,2*(ROWS($I$31:I43)-1)+1)</f>
        <v>0</v>
      </c>
      <c r="J43" s="107" t="str">
        <f>INDEX('M03-S05'!$AU$16:$AU$198,2*(ROWS($J$31:J43)-1)+1)</f>
        <v/>
      </c>
      <c r="K43" s="63" t="str">
        <f>IFERROR(INDEX(PMEKITCHEN[Cost Basis],MATCH(W43,PMEKITCHEN[Eff Desc 1],0)),"")</f>
        <v/>
      </c>
      <c r="L43" s="277">
        <f>INDEX('M03-S05'!$V$16:$V$198,2*(ROWS($L$31:L43)-1)+1)</f>
        <v>0</v>
      </c>
      <c r="M43" s="277" t="str">
        <f>IFERROR(INDEX('M03-S05'!$AK$16:$AK$198,2*(ROWS($M$31:M43)-1)+1),"")</f>
        <v/>
      </c>
      <c r="N43" s="335" t="str">
        <f>IFERROR(INDEX('M03-S05'!$AV$16:$AV$198,2*(ROWS($N$31:N43)-1)+1),"")</f>
        <v/>
      </c>
      <c r="O43" s="107" t="str">
        <f>IFERROR(INDEX('M03-S05'!$AO$16:$AO$198,2*(ROWS($O$31:O43)-1)+1),"")</f>
        <v/>
      </c>
      <c r="P43" s="278"/>
      <c r="Q43" s="340"/>
      <c r="R43" s="254"/>
      <c r="S43" s="283"/>
      <c r="T43" s="283"/>
      <c r="U43" s="277">
        <f>INDEX('M03-S05'!$B$16:$B$198,2*(ROWS($U$31:U43)-1)+1)</f>
        <v>13</v>
      </c>
      <c r="V43" s="254"/>
      <c r="W43" s="104">
        <f>INDEX('M03-S05'!$C$16:$C$198,2*(ROWS($W$31:W43)-1)+1)</f>
        <v>0</v>
      </c>
      <c r="X43" s="254"/>
      <c r="Y43" s="63">
        <f>INDEX('M03-S05'!$X$16:$X$198,2*(ROWS($Y$31:Y43)-1)+1)</f>
        <v>0</v>
      </c>
      <c r="Z43" s="254"/>
      <c r="AA43" s="254"/>
      <c r="AB43" s="254"/>
      <c r="AC43" s="254"/>
      <c r="AD43" s="254"/>
      <c r="AE43" s="278"/>
      <c r="AF43" s="278"/>
      <c r="AG43" s="278"/>
      <c r="AH43" s="278"/>
      <c r="AI43" s="278"/>
      <c r="AJ43" s="107" t="str">
        <f t="shared" si="14"/>
        <v/>
      </c>
      <c r="AK43" s="107" t="str">
        <f t="shared" si="15"/>
        <v/>
      </c>
      <c r="AL43" s="107" t="str">
        <f t="shared" si="16"/>
        <v/>
      </c>
      <c r="AM43" s="280"/>
      <c r="AN43" s="107" t="str">
        <f t="shared" si="23"/>
        <v/>
      </c>
      <c r="AO43" s="278"/>
      <c r="AP43" s="278"/>
      <c r="AQ43" s="278"/>
    </row>
    <row r="44" spans="1:44" x14ac:dyDescent="0.25">
      <c r="A44" s="301">
        <f t="shared" si="21"/>
        <v>0</v>
      </c>
      <c r="B44" s="301" t="str">
        <f t="shared" si="22"/>
        <v/>
      </c>
      <c r="C44" s="301" t="str">
        <f>IFERROR(IF(OR(P44&gt;0,O44&gt;0),INDEX(PMEKITCHEN[Measure '#],MATCH(W44,PMEKITCHEN[Eff Desc 1],0)),""),"")</f>
        <v/>
      </c>
      <c r="D44" s="63"/>
      <c r="E44" s="301" t="str">
        <f>IFERROR(INDEX(PMEKITCHEN[End Use Category],MATCH(W44,PMEKITCHEN[Eff Desc 1],0)),"")</f>
        <v/>
      </c>
      <c r="F44" s="278"/>
      <c r="G44" s="63">
        <f>INDEX('M03-S05'!$AB$16:$AB$198,2*(ROWS($G$31:G44)-1)+1)</f>
        <v>0</v>
      </c>
      <c r="H44" s="107">
        <f>INDEX('M03-S05'!$V$16:$V$198,2*(ROWS($H$31:H44)-1)+1)*INDEX('M03-S05'!$AE$16:$AE$198,2*(ROWS($H$31:H44)-1)+1)</f>
        <v>0</v>
      </c>
      <c r="I44" s="107">
        <f>INDEX('M03-S05'!$V$16:$V$198,2*(ROWS($I$31:I44)-1)+1)*INDEX('M03-S05'!$AG$16:$AG$198,2*(ROWS($I$31:I44)-1)+1)</f>
        <v>0</v>
      </c>
      <c r="J44" s="107" t="str">
        <f>INDEX('M03-S05'!$AU$16:$AU$198,2*(ROWS($J$31:J44)-1)+1)</f>
        <v/>
      </c>
      <c r="K44" s="63" t="str">
        <f>IFERROR(INDEX(PMEKITCHEN[Cost Basis],MATCH(W44,PMEKITCHEN[Eff Desc 1],0)),"")</f>
        <v/>
      </c>
      <c r="L44" s="277">
        <f>INDEX('M03-S05'!$V$16:$V$198,2*(ROWS($L$31:L44)-1)+1)</f>
        <v>0</v>
      </c>
      <c r="M44" s="277" t="str">
        <f>IFERROR(INDEX('M03-S05'!$AK$16:$AK$198,2*(ROWS($M$31:M44)-1)+1),"")</f>
        <v/>
      </c>
      <c r="N44" s="335" t="str">
        <f>IFERROR(INDEX('M03-S05'!$AV$16:$AV$198,2*(ROWS($N$31:N44)-1)+1),"")</f>
        <v/>
      </c>
      <c r="O44" s="107" t="str">
        <f>IFERROR(INDEX('M03-S05'!$AO$16:$AO$198,2*(ROWS($O$31:O44)-1)+1),"")</f>
        <v/>
      </c>
      <c r="P44" s="278"/>
      <c r="Q44" s="340"/>
      <c r="R44" s="254"/>
      <c r="S44" s="283"/>
      <c r="T44" s="283"/>
      <c r="U44" s="277">
        <f>INDEX('M03-S05'!$B$16:$B$198,2*(ROWS($U$31:U44)-1)+1)</f>
        <v>14</v>
      </c>
      <c r="V44" s="254"/>
      <c r="W44" s="104">
        <f>INDEX('M03-S05'!$C$16:$C$198,2*(ROWS($W$31:W44)-1)+1)</f>
        <v>0</v>
      </c>
      <c r="X44" s="254"/>
      <c r="Y44" s="63">
        <f>INDEX('M03-S05'!$X$16:$X$198,2*(ROWS($Y$31:Y44)-1)+1)</f>
        <v>0</v>
      </c>
      <c r="Z44" s="254"/>
      <c r="AA44" s="254"/>
      <c r="AB44" s="254"/>
      <c r="AC44" s="254"/>
      <c r="AD44" s="254"/>
      <c r="AE44" s="278"/>
      <c r="AF44" s="278"/>
      <c r="AG44" s="278"/>
      <c r="AH44" s="278"/>
      <c r="AI44" s="278"/>
      <c r="AJ44" s="107" t="str">
        <f t="shared" si="14"/>
        <v/>
      </c>
      <c r="AK44" s="107" t="str">
        <f t="shared" si="15"/>
        <v/>
      </c>
      <c r="AL44" s="107" t="str">
        <f t="shared" si="16"/>
        <v/>
      </c>
      <c r="AM44" s="280"/>
      <c r="AN44" s="107" t="str">
        <f t="shared" si="23"/>
        <v/>
      </c>
      <c r="AO44" s="278"/>
      <c r="AP44" s="278"/>
      <c r="AQ44" s="278"/>
    </row>
    <row r="45" spans="1:44" x14ac:dyDescent="0.25">
      <c r="A45" s="301">
        <f t="shared" si="21"/>
        <v>0</v>
      </c>
      <c r="B45" s="301" t="str">
        <f t="shared" si="22"/>
        <v/>
      </c>
      <c r="C45" s="301" t="str">
        <f>IFERROR(IF(OR(P45&gt;0,O45&gt;0),INDEX(PMEKITCHEN[Measure '#],MATCH(W45,PMEKITCHEN[Eff Desc 1],0)),""),"")</f>
        <v/>
      </c>
      <c r="D45" s="63"/>
      <c r="E45" s="301" t="str">
        <f>IFERROR(INDEX(PMEKITCHEN[End Use Category],MATCH(W45,PMEKITCHEN[Eff Desc 1],0)),"")</f>
        <v/>
      </c>
      <c r="F45" s="278"/>
      <c r="G45" s="63">
        <f>INDEX('M03-S05'!$AB$16:$AB$198,2*(ROWS($G$31:G45)-1)+1)</f>
        <v>0</v>
      </c>
      <c r="H45" s="107">
        <f>INDEX('M03-S05'!$V$16:$V$198,2*(ROWS($H$31:H45)-1)+1)*INDEX('M03-S05'!$AE$16:$AE$198,2*(ROWS($H$31:H45)-1)+1)</f>
        <v>0</v>
      </c>
      <c r="I45" s="107">
        <f>INDEX('M03-S05'!$V$16:$V$198,2*(ROWS($I$31:I45)-1)+1)*INDEX('M03-S05'!$AG$16:$AG$198,2*(ROWS($I$31:I45)-1)+1)</f>
        <v>0</v>
      </c>
      <c r="J45" s="107" t="str">
        <f>INDEX('M03-S05'!$AU$16:$AU$198,2*(ROWS($J$31:J45)-1)+1)</f>
        <v/>
      </c>
      <c r="K45" s="63" t="str">
        <f>IFERROR(INDEX(PMEKITCHEN[Cost Basis],MATCH(W45,PMEKITCHEN[Eff Desc 1],0)),"")</f>
        <v/>
      </c>
      <c r="L45" s="277">
        <f>INDEX('M03-S05'!$V$16:$V$198,2*(ROWS($L$31:L45)-1)+1)</f>
        <v>0</v>
      </c>
      <c r="M45" s="277" t="str">
        <f>IFERROR(INDEX('M03-S05'!$AK$16:$AK$198,2*(ROWS($M$31:M45)-1)+1),"")</f>
        <v/>
      </c>
      <c r="N45" s="335" t="str">
        <f>IFERROR(INDEX('M03-S05'!$AV$16:$AV$198,2*(ROWS($N$31:N45)-1)+1),"")</f>
        <v/>
      </c>
      <c r="O45" s="107" t="str">
        <f>IFERROR(INDEX('M03-S05'!$AO$16:$AO$198,2*(ROWS($O$31:O45)-1)+1),"")</f>
        <v/>
      </c>
      <c r="P45" s="278"/>
      <c r="Q45" s="340"/>
      <c r="R45" s="254"/>
      <c r="S45" s="283"/>
      <c r="T45" s="283"/>
      <c r="U45" s="277">
        <f>INDEX('M03-S05'!$B$16:$B$198,2*(ROWS($U$31:U45)-1)+1)</f>
        <v>15</v>
      </c>
      <c r="V45" s="254"/>
      <c r="W45" s="104">
        <f>INDEX('M03-S05'!$C$16:$C$198,2*(ROWS($W$31:W45)-1)+1)</f>
        <v>0</v>
      </c>
      <c r="X45" s="254"/>
      <c r="Y45" s="63">
        <f>INDEX('M03-S05'!$X$16:$X$198,2*(ROWS($Y$31:Y45)-1)+1)</f>
        <v>0</v>
      </c>
      <c r="Z45" s="254"/>
      <c r="AA45" s="254"/>
      <c r="AB45" s="254"/>
      <c r="AC45" s="254"/>
      <c r="AD45" s="254"/>
      <c r="AE45" s="278"/>
      <c r="AF45" s="278"/>
      <c r="AG45" s="278"/>
      <c r="AH45" s="278"/>
      <c r="AI45" s="278"/>
      <c r="AJ45" s="107" t="str">
        <f t="shared" si="14"/>
        <v/>
      </c>
      <c r="AK45" s="107" t="str">
        <f t="shared" si="15"/>
        <v/>
      </c>
      <c r="AL45" s="107" t="str">
        <f t="shared" si="16"/>
        <v/>
      </c>
      <c r="AM45" s="280"/>
      <c r="AN45" s="107" t="str">
        <f t="shared" si="23"/>
        <v/>
      </c>
      <c r="AO45" s="278"/>
      <c r="AP45" s="278"/>
      <c r="AQ45" s="278"/>
    </row>
    <row r="46" spans="1:44" s="63" customFormat="1" x14ac:dyDescent="0.25">
      <c r="A46" s="552" t="str">
        <f>CONCATENATE(MAIN3," ",M3S6)</f>
        <v>CODE-BASELINE MEASURES M3S6</v>
      </c>
      <c r="B46" s="310"/>
      <c r="C46" s="310"/>
      <c r="D46" s="302"/>
      <c r="E46" s="310"/>
      <c r="F46" s="308"/>
      <c r="G46" s="302"/>
      <c r="H46" s="309"/>
      <c r="I46" s="309"/>
      <c r="J46" s="309"/>
      <c r="K46" s="302"/>
      <c r="L46" s="308"/>
      <c r="M46" s="308"/>
      <c r="N46" s="337"/>
      <c r="O46" s="309"/>
      <c r="P46" s="315"/>
      <c r="Q46" s="341"/>
      <c r="R46" s="313"/>
      <c r="S46" s="316"/>
      <c r="T46" s="316"/>
      <c r="U46" s="308"/>
      <c r="V46" s="313"/>
      <c r="W46" s="312"/>
      <c r="X46" s="313"/>
      <c r="Y46" s="302"/>
      <c r="Z46" s="302"/>
      <c r="AA46" s="302"/>
      <c r="AB46" s="302"/>
      <c r="AC46" s="302"/>
      <c r="AD46" s="302"/>
      <c r="AE46" s="315"/>
      <c r="AF46" s="315"/>
      <c r="AG46" s="315"/>
      <c r="AH46" s="315"/>
      <c r="AI46" s="315"/>
      <c r="AJ46" s="309" t="str">
        <f t="shared" ref="AJ46:AJ47" si="24">IFERROR(O46/M46,"")</f>
        <v/>
      </c>
      <c r="AK46" s="309" t="str">
        <f t="shared" ref="AK46:AK47" si="25">IFERROR(O46/N46,"")</f>
        <v/>
      </c>
      <c r="AL46" s="309" t="str">
        <f t="shared" ref="AL46:AL47" si="26">IFERROR(O46/L46,"")</f>
        <v/>
      </c>
      <c r="AM46" s="314"/>
      <c r="AN46" s="309" t="str">
        <f t="shared" si="23"/>
        <v/>
      </c>
      <c r="AO46" s="308"/>
      <c r="AP46" s="308"/>
      <c r="AQ46" s="308"/>
      <c r="AR46" s="256"/>
    </row>
    <row r="47" spans="1:44" s="63" customFormat="1" x14ac:dyDescent="0.25">
      <c r="A47" s="301">
        <f t="shared" si="21"/>
        <v>0</v>
      </c>
      <c r="B47" s="301" t="str">
        <f t="shared" ref="B47" si="27">IF(C47="","",CONCATENATE(ROW(),"-",C47))</f>
        <v/>
      </c>
      <c r="C47" s="301" t="str">
        <f>IFERROR(IF(OR(P47&gt;0,O47&gt;0),INDEX(PMEMOTOR[Measure '#],MATCH(W47,PMEMOTOR[Eff Desc 1],0)),""),"")</f>
        <v/>
      </c>
      <c r="E47" s="301" t="str">
        <f>IFERROR(INDEX(PMEMOTOR[End Use Category],MATCH(W47,PMEMOTOR[Eff Desc 1],0)),"")</f>
        <v/>
      </c>
      <c r="F47" s="278"/>
      <c r="G47" s="63">
        <f>INDEX('M03-S06'!$AB$16:$AB$196,2*(ROWS($G$47:G47)-1)+1)</f>
        <v>0</v>
      </c>
      <c r="H47" s="107">
        <f>INDEX('M03-S06'!$V$16:$V$196,2*(ROWS($H$47:H47)-1)+1)*INDEX('M03-S05'!$AE$16:$AE$198,2*(ROWS($H$47:H47)-1)+1)</f>
        <v>0</v>
      </c>
      <c r="I47" s="107">
        <f>INDEX('M03-S06'!$V$16:$V$196,2*(ROWS($I$47:I47)-1)+1)*INDEX('M03-S05'!$AG$16:$AG$198,2*(ROWS($I$47:I47)-1)+1)</f>
        <v>0</v>
      </c>
      <c r="J47" s="107" t="str">
        <f>INDEX('M03-S06'!$AU$16:$AU$196,2*(ROWS($J$47:J47)-1)+1)</f>
        <v/>
      </c>
      <c r="K47" s="63" t="str">
        <f>IFERROR(INDEX(PMEMOTOR[Cost Basis],MATCH(W47,PMEMOTOR[Eff Desc 1],0)),"")</f>
        <v/>
      </c>
      <c r="L47" s="277">
        <f>INDEX('M03-S06'!$V$16:$V$196,2*(ROWS($L$47:L47)-1)+1)</f>
        <v>0</v>
      </c>
      <c r="M47" s="277" t="str">
        <f>IFERROR(INDEX('M03-S06'!$AK$16:$AK$196,2*(ROWS($M$47:M47)-1)+1),"")</f>
        <v/>
      </c>
      <c r="N47" s="335" t="str">
        <f>IFERROR(INDEX('M03-S06'!$AV$16:$AV$196,2*(ROWS($N$47:N47)-1)+1),"")</f>
        <v/>
      </c>
      <c r="O47" s="107" t="str">
        <f>IFERROR(INDEX('M03-S06'!$AO$16:$AO$196,2*(ROWS($O$47:O47)-1)+1),"")</f>
        <v/>
      </c>
      <c r="P47" s="278"/>
      <c r="Q47" s="340"/>
      <c r="R47" s="254"/>
      <c r="S47" s="283"/>
      <c r="T47" s="283"/>
      <c r="U47" s="277">
        <f>INDEX('M03-S06'!$B$16:$B$196,2*(ROWS($U$47:U47)-1)+1)</f>
        <v>1</v>
      </c>
      <c r="V47" s="254"/>
      <c r="W47" s="104">
        <f>INDEX('M03-S06'!$C$16:$C$196,2*(ROWS($W$47:W47)-1)+1)</f>
        <v>0</v>
      </c>
      <c r="X47" s="254"/>
      <c r="Y47" s="63">
        <f>INDEX('M03-S06'!$X$16:$X$196,2*(ROWS($Y$47:Y47)-1)+1)</f>
        <v>0</v>
      </c>
      <c r="Z47" s="254"/>
      <c r="AA47" s="254"/>
      <c r="AB47" s="254"/>
      <c r="AC47" s="254"/>
      <c r="AD47" s="254"/>
      <c r="AE47" s="278"/>
      <c r="AF47" s="278"/>
      <c r="AG47" s="278"/>
      <c r="AH47" s="278"/>
      <c r="AI47" s="278"/>
      <c r="AJ47" s="107" t="str">
        <f t="shared" si="24"/>
        <v/>
      </c>
      <c r="AK47" s="107" t="str">
        <f t="shared" si="25"/>
        <v/>
      </c>
      <c r="AL47" s="107" t="str">
        <f t="shared" si="26"/>
        <v/>
      </c>
      <c r="AM47" s="280"/>
      <c r="AN47" s="107" t="str">
        <f t="shared" si="23"/>
        <v/>
      </c>
      <c r="AO47" s="278"/>
      <c r="AP47" s="278"/>
      <c r="AQ47" s="278"/>
      <c r="AR47" s="256"/>
    </row>
    <row r="48" spans="1:44" s="63" customFormat="1" x14ac:dyDescent="0.25">
      <c r="A48" s="301">
        <f t="shared" si="21"/>
        <v>0</v>
      </c>
      <c r="B48" s="301" t="str">
        <f t="shared" ref="B48:B61" si="28">IF(C48="","",CONCATENATE(ROW(),"-",C48))</f>
        <v/>
      </c>
      <c r="C48" s="301" t="str">
        <f>IFERROR(IF(OR(P48&gt;0,O48&gt;0),INDEX(PMEMOTOR[Measure '#],MATCH(W48,PMEMOTOR[Eff Desc 1],0)),""),"")</f>
        <v/>
      </c>
      <c r="E48" s="301" t="str">
        <f>IFERROR(INDEX(PMEMOTOR[End Use Category],MATCH(W48,PMEMOTOR[Eff Desc 1],0)),"")</f>
        <v/>
      </c>
      <c r="F48" s="278"/>
      <c r="G48" s="63">
        <f>INDEX('M03-S06'!$AB$16:$AB$196,2*(ROWS($G$47:G48)-1)+1)</f>
        <v>0</v>
      </c>
      <c r="H48" s="107">
        <f>INDEX('M03-S06'!$V$16:$V$196,2*(ROWS($H$47:H48)-1)+1)*INDEX('M03-S05'!$AE$16:$AE$198,2*(ROWS($H$47:H48)-1)+1)</f>
        <v>0</v>
      </c>
      <c r="I48" s="107">
        <f>INDEX('M03-S06'!$V$16:$V$196,2*(ROWS($I$47:I48)-1)+1)*INDEX('M03-S05'!$AG$16:$AG$198,2*(ROWS($I$47:I48)-1)+1)</f>
        <v>0</v>
      </c>
      <c r="J48" s="107" t="str">
        <f>INDEX('M03-S06'!$AU$16:$AU$196,2*(ROWS($J$47:J48)-1)+1)</f>
        <v/>
      </c>
      <c r="K48" s="63" t="str">
        <f>IFERROR(INDEX(PMEMOTOR[Cost Basis],MATCH(W48,PMEMOTOR[Eff Desc 1],0)),"")</f>
        <v/>
      </c>
      <c r="L48" s="277">
        <f>INDEX('M03-S06'!$V$16:$V$196,2*(ROWS($L$47:L48)-1)+1)</f>
        <v>0</v>
      </c>
      <c r="M48" s="277" t="str">
        <f>IFERROR(INDEX('M03-S06'!$AK$16:$AK$196,2*(ROWS($M$47:M48)-1)+1),"")</f>
        <v/>
      </c>
      <c r="N48" s="335" t="str">
        <f>IFERROR(INDEX('M03-S06'!$AV$16:$AV$196,2*(ROWS($N$47:N48)-1)+1),"")</f>
        <v/>
      </c>
      <c r="O48" s="107" t="str">
        <f>IFERROR(INDEX('M03-S06'!$AO$16:$AO$196,2*(ROWS($O$47:O48)-1)+1),"")</f>
        <v/>
      </c>
      <c r="P48" s="278"/>
      <c r="Q48" s="340"/>
      <c r="R48" s="254"/>
      <c r="S48" s="283"/>
      <c r="T48" s="283"/>
      <c r="U48" s="277">
        <f>INDEX('M03-S06'!$B$16:$B$196,2*(ROWS($U$47:U48)-1)+1)</f>
        <v>2</v>
      </c>
      <c r="V48" s="254"/>
      <c r="W48" s="104">
        <f>INDEX('M03-S06'!$C$16:$C$196,2*(ROWS($W$47:W48)-1)+1)</f>
        <v>0</v>
      </c>
      <c r="X48" s="254"/>
      <c r="Y48" s="63">
        <f>INDEX('M03-S06'!$X$16:$X$196,2*(ROWS($Y$47:Y48)-1)+1)</f>
        <v>0</v>
      </c>
      <c r="Z48" s="254"/>
      <c r="AA48" s="254"/>
      <c r="AB48" s="254"/>
      <c r="AC48" s="254"/>
      <c r="AD48" s="254"/>
      <c r="AE48" s="278"/>
      <c r="AF48" s="278"/>
      <c r="AG48" s="278"/>
      <c r="AH48" s="278"/>
      <c r="AI48" s="278"/>
      <c r="AJ48" s="107" t="str">
        <f t="shared" ref="AJ48:AJ61" si="29">IFERROR(O48/M48,"")</f>
        <v/>
      </c>
      <c r="AK48" s="107" t="str">
        <f t="shared" ref="AK48:AK61" si="30">IFERROR(O48/N48,"")</f>
        <v/>
      </c>
      <c r="AL48" s="107" t="str">
        <f t="shared" ref="AL48:AL61" si="31">IFERROR(O48/L48,"")</f>
        <v/>
      </c>
      <c r="AM48" s="280"/>
      <c r="AN48" s="107" t="str">
        <f t="shared" ref="AN48:AN61" si="32">IFERROR(J48/M48/M02S02F35,"")</f>
        <v/>
      </c>
      <c r="AO48" s="278"/>
      <c r="AP48" s="278"/>
      <c r="AQ48" s="278"/>
      <c r="AR48" s="256"/>
    </row>
    <row r="49" spans="1:44" s="63" customFormat="1" x14ac:dyDescent="0.25">
      <c r="A49" s="301">
        <f t="shared" si="21"/>
        <v>0</v>
      </c>
      <c r="B49" s="301" t="str">
        <f t="shared" si="28"/>
        <v/>
      </c>
      <c r="C49" s="301" t="str">
        <f>IFERROR(IF(OR(P49&gt;0,O49&gt;0),INDEX(PMEMOTOR[Measure '#],MATCH(W49,PMEMOTOR[Eff Desc 1],0)),""),"")</f>
        <v/>
      </c>
      <c r="E49" s="301" t="str">
        <f>IFERROR(INDEX(PMEMOTOR[End Use Category],MATCH(W49,PMEMOTOR[Eff Desc 1],0)),"")</f>
        <v/>
      </c>
      <c r="F49" s="278"/>
      <c r="G49" s="63">
        <f>INDEX('M03-S06'!$AB$16:$AB$196,2*(ROWS($G$47:G49)-1)+1)</f>
        <v>0</v>
      </c>
      <c r="H49" s="107">
        <f>INDEX('M03-S06'!$V$16:$V$196,2*(ROWS($H$47:H49)-1)+1)*INDEX('M03-S05'!$AE$16:$AE$198,2*(ROWS($H$47:H49)-1)+1)</f>
        <v>0</v>
      </c>
      <c r="I49" s="107">
        <f>INDEX('M03-S06'!$V$16:$V$196,2*(ROWS($I$47:I49)-1)+1)*INDEX('M03-S05'!$AG$16:$AG$198,2*(ROWS($I$47:I49)-1)+1)</f>
        <v>0</v>
      </c>
      <c r="J49" s="107" t="str">
        <f>INDEX('M03-S06'!$AU$16:$AU$196,2*(ROWS($J$47:J49)-1)+1)</f>
        <v/>
      </c>
      <c r="K49" s="63" t="str">
        <f>IFERROR(INDEX(PMEMOTOR[Cost Basis],MATCH(W49,PMEMOTOR[Eff Desc 1],0)),"")</f>
        <v/>
      </c>
      <c r="L49" s="277">
        <f>INDEX('M03-S06'!$V$16:$V$196,2*(ROWS($L$47:L49)-1)+1)</f>
        <v>0</v>
      </c>
      <c r="M49" s="277" t="str">
        <f>IFERROR(INDEX('M03-S06'!$AK$16:$AK$196,2*(ROWS($M$47:M49)-1)+1),"")</f>
        <v/>
      </c>
      <c r="N49" s="335" t="str">
        <f>IFERROR(INDEX('M03-S06'!$AV$16:$AV$196,2*(ROWS($N$47:N49)-1)+1),"")</f>
        <v/>
      </c>
      <c r="O49" s="107" t="str">
        <f>IFERROR(INDEX('M03-S06'!$AO$16:$AO$196,2*(ROWS($O$47:O49)-1)+1),"")</f>
        <v/>
      </c>
      <c r="P49" s="278"/>
      <c r="Q49" s="340"/>
      <c r="R49" s="254"/>
      <c r="S49" s="283"/>
      <c r="T49" s="283"/>
      <c r="U49" s="277">
        <f>INDEX('M03-S06'!$B$16:$B$196,2*(ROWS($U$47:U49)-1)+1)</f>
        <v>3</v>
      </c>
      <c r="V49" s="254"/>
      <c r="W49" s="104">
        <f>INDEX('M03-S06'!$C$16:$C$196,2*(ROWS($W$47:W49)-1)+1)</f>
        <v>0</v>
      </c>
      <c r="X49" s="254"/>
      <c r="Y49" s="63">
        <f>INDEX('M03-S06'!$X$16:$X$196,2*(ROWS($Y$47:Y49)-1)+1)</f>
        <v>0</v>
      </c>
      <c r="Z49" s="254"/>
      <c r="AA49" s="254"/>
      <c r="AB49" s="254"/>
      <c r="AC49" s="254"/>
      <c r="AD49" s="254"/>
      <c r="AE49" s="278"/>
      <c r="AF49" s="278"/>
      <c r="AG49" s="278"/>
      <c r="AH49" s="278"/>
      <c r="AI49" s="278"/>
      <c r="AJ49" s="107" t="str">
        <f t="shared" si="29"/>
        <v/>
      </c>
      <c r="AK49" s="107" t="str">
        <f t="shared" si="30"/>
        <v/>
      </c>
      <c r="AL49" s="107" t="str">
        <f t="shared" si="31"/>
        <v/>
      </c>
      <c r="AM49" s="280"/>
      <c r="AN49" s="107" t="str">
        <f t="shared" si="32"/>
        <v/>
      </c>
      <c r="AO49" s="278"/>
      <c r="AP49" s="278"/>
      <c r="AQ49" s="278"/>
      <c r="AR49" s="256"/>
    </row>
    <row r="50" spans="1:44" s="63" customFormat="1" x14ac:dyDescent="0.25">
      <c r="A50" s="301">
        <f t="shared" si="21"/>
        <v>0</v>
      </c>
      <c r="B50" s="301" t="str">
        <f t="shared" si="28"/>
        <v/>
      </c>
      <c r="C50" s="301" t="str">
        <f>IFERROR(IF(OR(P50&gt;0,O50&gt;0),INDEX(PMEMOTOR[Measure '#],MATCH(W50,PMEMOTOR[Eff Desc 1],0)),""),"")</f>
        <v/>
      </c>
      <c r="E50" s="301" t="str">
        <f>IFERROR(INDEX(PMEMOTOR[End Use Category],MATCH(W50,PMEMOTOR[Eff Desc 1],0)),"")</f>
        <v/>
      </c>
      <c r="F50" s="278"/>
      <c r="G50" s="63">
        <f>INDEX('M03-S06'!$AB$16:$AB$196,2*(ROWS($G$47:G50)-1)+1)</f>
        <v>0</v>
      </c>
      <c r="H50" s="107">
        <f>INDEX('M03-S06'!$V$16:$V$196,2*(ROWS($H$47:H50)-1)+1)*INDEX('M03-S05'!$AE$16:$AE$198,2*(ROWS($H$47:H50)-1)+1)</f>
        <v>0</v>
      </c>
      <c r="I50" s="107">
        <f>INDEX('M03-S06'!$V$16:$V$196,2*(ROWS($I$47:I50)-1)+1)*INDEX('M03-S05'!$AG$16:$AG$198,2*(ROWS($I$47:I50)-1)+1)</f>
        <v>0</v>
      </c>
      <c r="J50" s="107" t="str">
        <f>INDEX('M03-S06'!$AU$16:$AU$196,2*(ROWS($J$47:J50)-1)+1)</f>
        <v/>
      </c>
      <c r="K50" s="63" t="str">
        <f>IFERROR(INDEX(PMEMOTOR[Cost Basis],MATCH(W50,PMEMOTOR[Eff Desc 1],0)),"")</f>
        <v/>
      </c>
      <c r="L50" s="277">
        <f>INDEX('M03-S06'!$V$16:$V$196,2*(ROWS($L$47:L50)-1)+1)</f>
        <v>0</v>
      </c>
      <c r="M50" s="277" t="str">
        <f>IFERROR(INDEX('M03-S06'!$AK$16:$AK$196,2*(ROWS($M$47:M50)-1)+1),"")</f>
        <v/>
      </c>
      <c r="N50" s="335" t="str">
        <f>IFERROR(INDEX('M03-S06'!$AV$16:$AV$196,2*(ROWS($N$47:N50)-1)+1),"")</f>
        <v/>
      </c>
      <c r="O50" s="107" t="str">
        <f>IFERROR(INDEX('M03-S06'!$AO$16:$AO$196,2*(ROWS($O$47:O50)-1)+1),"")</f>
        <v/>
      </c>
      <c r="P50" s="278"/>
      <c r="Q50" s="340"/>
      <c r="R50" s="254"/>
      <c r="S50" s="283"/>
      <c r="T50" s="283"/>
      <c r="U50" s="277">
        <f>INDEX('M03-S06'!$B$16:$B$196,2*(ROWS($U$47:U50)-1)+1)</f>
        <v>4</v>
      </c>
      <c r="V50" s="254"/>
      <c r="W50" s="104">
        <f>INDEX('M03-S06'!$C$16:$C$196,2*(ROWS($W$47:W50)-1)+1)</f>
        <v>0</v>
      </c>
      <c r="X50" s="254"/>
      <c r="Y50" s="63">
        <f>INDEX('M03-S06'!$X$16:$X$196,2*(ROWS($Y$47:Y50)-1)+1)</f>
        <v>0</v>
      </c>
      <c r="Z50" s="254"/>
      <c r="AA50" s="254"/>
      <c r="AB50" s="254"/>
      <c r="AC50" s="254"/>
      <c r="AD50" s="254"/>
      <c r="AE50" s="278"/>
      <c r="AF50" s="278"/>
      <c r="AG50" s="278"/>
      <c r="AH50" s="278"/>
      <c r="AI50" s="278"/>
      <c r="AJ50" s="107" t="str">
        <f t="shared" si="29"/>
        <v/>
      </c>
      <c r="AK50" s="107" t="str">
        <f t="shared" si="30"/>
        <v/>
      </c>
      <c r="AL50" s="107" t="str">
        <f t="shared" si="31"/>
        <v/>
      </c>
      <c r="AM50" s="280"/>
      <c r="AN50" s="107" t="str">
        <f t="shared" si="32"/>
        <v/>
      </c>
      <c r="AO50" s="278"/>
      <c r="AP50" s="278"/>
      <c r="AQ50" s="278"/>
      <c r="AR50" s="256"/>
    </row>
    <row r="51" spans="1:44" s="63" customFormat="1" x14ac:dyDescent="0.25">
      <c r="A51" s="301">
        <f t="shared" si="21"/>
        <v>0</v>
      </c>
      <c r="B51" s="301" t="str">
        <f t="shared" si="28"/>
        <v/>
      </c>
      <c r="C51" s="301" t="str">
        <f>IFERROR(IF(OR(P51&gt;0,O51&gt;0),INDEX(PMEMOTOR[Measure '#],MATCH(W51,PMEMOTOR[Eff Desc 1],0)),""),"")</f>
        <v/>
      </c>
      <c r="E51" s="301" t="str">
        <f>IFERROR(INDEX(PMEMOTOR[End Use Category],MATCH(W51,PMEMOTOR[Eff Desc 1],0)),"")</f>
        <v/>
      </c>
      <c r="F51" s="278"/>
      <c r="G51" s="63">
        <f>INDEX('M03-S06'!$AB$16:$AB$196,2*(ROWS($G$47:G51)-1)+1)</f>
        <v>0</v>
      </c>
      <c r="H51" s="107">
        <f>INDEX('M03-S06'!$V$16:$V$196,2*(ROWS($H$47:H51)-1)+1)*INDEX('M03-S05'!$AE$16:$AE$198,2*(ROWS($H$47:H51)-1)+1)</f>
        <v>0</v>
      </c>
      <c r="I51" s="107">
        <f>INDEX('M03-S06'!$V$16:$V$196,2*(ROWS($I$47:I51)-1)+1)*INDEX('M03-S05'!$AG$16:$AG$198,2*(ROWS($I$47:I51)-1)+1)</f>
        <v>0</v>
      </c>
      <c r="J51" s="107" t="str">
        <f>INDEX('M03-S06'!$AU$16:$AU$196,2*(ROWS($J$47:J51)-1)+1)</f>
        <v/>
      </c>
      <c r="K51" s="63" t="str">
        <f>IFERROR(INDEX(PMEMOTOR[Cost Basis],MATCH(W51,PMEMOTOR[Eff Desc 1],0)),"")</f>
        <v/>
      </c>
      <c r="L51" s="277">
        <f>INDEX('M03-S06'!$V$16:$V$196,2*(ROWS($L$47:L51)-1)+1)</f>
        <v>0</v>
      </c>
      <c r="M51" s="277" t="str">
        <f>IFERROR(INDEX('M03-S06'!$AK$16:$AK$196,2*(ROWS($M$47:M51)-1)+1),"")</f>
        <v/>
      </c>
      <c r="N51" s="335" t="str">
        <f>IFERROR(INDEX('M03-S06'!$AV$16:$AV$196,2*(ROWS($N$47:N51)-1)+1),"")</f>
        <v/>
      </c>
      <c r="O51" s="107" t="str">
        <f>IFERROR(INDEX('M03-S06'!$AO$16:$AO$196,2*(ROWS($O$47:O51)-1)+1),"")</f>
        <v/>
      </c>
      <c r="P51" s="278"/>
      <c r="Q51" s="340"/>
      <c r="R51" s="254"/>
      <c r="S51" s="283"/>
      <c r="T51" s="283"/>
      <c r="U51" s="277">
        <f>INDEX('M03-S06'!$B$16:$B$196,2*(ROWS($U$47:U51)-1)+1)</f>
        <v>5</v>
      </c>
      <c r="V51" s="254"/>
      <c r="W51" s="104">
        <f>INDEX('M03-S06'!$C$16:$C$196,2*(ROWS($W$47:W51)-1)+1)</f>
        <v>0</v>
      </c>
      <c r="X51" s="254"/>
      <c r="Y51" s="63">
        <f>INDEX('M03-S06'!$X$16:$X$196,2*(ROWS($Y$47:Y51)-1)+1)</f>
        <v>0</v>
      </c>
      <c r="Z51" s="254"/>
      <c r="AA51" s="254"/>
      <c r="AB51" s="254"/>
      <c r="AC51" s="254"/>
      <c r="AD51" s="254"/>
      <c r="AE51" s="278"/>
      <c r="AF51" s="278"/>
      <c r="AG51" s="278"/>
      <c r="AH51" s="278"/>
      <c r="AI51" s="278"/>
      <c r="AJ51" s="107" t="str">
        <f t="shared" si="29"/>
        <v/>
      </c>
      <c r="AK51" s="107" t="str">
        <f t="shared" si="30"/>
        <v/>
      </c>
      <c r="AL51" s="107" t="str">
        <f t="shared" si="31"/>
        <v/>
      </c>
      <c r="AM51" s="280"/>
      <c r="AN51" s="107" t="str">
        <f t="shared" si="32"/>
        <v/>
      </c>
      <c r="AO51" s="278"/>
      <c r="AP51" s="278"/>
      <c r="AQ51" s="278"/>
      <c r="AR51" s="256"/>
    </row>
    <row r="52" spans="1:44" s="63" customFormat="1" x14ac:dyDescent="0.25">
      <c r="A52" s="301">
        <f t="shared" si="21"/>
        <v>0</v>
      </c>
      <c r="B52" s="301" t="str">
        <f t="shared" si="28"/>
        <v/>
      </c>
      <c r="C52" s="301" t="str">
        <f>IFERROR(IF(OR(P52&gt;0,O52&gt;0),INDEX(PMEMOTOR[Measure '#],MATCH(W52,PMEMOTOR[Eff Desc 1],0)),""),"")</f>
        <v/>
      </c>
      <c r="E52" s="301" t="str">
        <f>IFERROR(INDEX(PMEMOTOR[End Use Category],MATCH(W52,PMEMOTOR[Eff Desc 1],0)),"")</f>
        <v/>
      </c>
      <c r="F52" s="278"/>
      <c r="G52" s="63">
        <f>INDEX('M03-S06'!$AB$16:$AB$196,2*(ROWS($G$47:G52)-1)+1)</f>
        <v>0</v>
      </c>
      <c r="H52" s="107">
        <f>INDEX('M03-S06'!$V$16:$V$196,2*(ROWS($H$47:H52)-1)+1)*INDEX('M03-S05'!$AE$16:$AE$198,2*(ROWS($H$47:H52)-1)+1)</f>
        <v>0</v>
      </c>
      <c r="I52" s="107">
        <f>INDEX('M03-S06'!$V$16:$V$196,2*(ROWS($I$47:I52)-1)+1)*INDEX('M03-S05'!$AG$16:$AG$198,2*(ROWS($I$47:I52)-1)+1)</f>
        <v>0</v>
      </c>
      <c r="J52" s="107" t="str">
        <f>INDEX('M03-S06'!$AU$16:$AU$196,2*(ROWS($J$47:J52)-1)+1)</f>
        <v/>
      </c>
      <c r="K52" s="63" t="str">
        <f>IFERROR(INDEX(PMEMOTOR[Cost Basis],MATCH(W52,PMEMOTOR[Eff Desc 1],0)),"")</f>
        <v/>
      </c>
      <c r="L52" s="277">
        <f>INDEX('M03-S06'!$V$16:$V$196,2*(ROWS($L$47:L52)-1)+1)</f>
        <v>0</v>
      </c>
      <c r="M52" s="277" t="str">
        <f>IFERROR(INDEX('M03-S06'!$AK$16:$AK$196,2*(ROWS($M$47:M52)-1)+1),"")</f>
        <v/>
      </c>
      <c r="N52" s="335" t="str">
        <f>IFERROR(INDEX('M03-S06'!$AV$16:$AV$196,2*(ROWS($N$47:N52)-1)+1),"")</f>
        <v/>
      </c>
      <c r="O52" s="107" t="str">
        <f>IFERROR(INDEX('M03-S06'!$AO$16:$AO$196,2*(ROWS($O$47:O52)-1)+1),"")</f>
        <v/>
      </c>
      <c r="P52" s="278"/>
      <c r="Q52" s="340"/>
      <c r="R52" s="254"/>
      <c r="S52" s="283"/>
      <c r="T52" s="283"/>
      <c r="U52" s="277">
        <f>INDEX('M03-S06'!$B$16:$B$196,2*(ROWS($U$47:U52)-1)+1)</f>
        <v>6</v>
      </c>
      <c r="V52" s="254"/>
      <c r="W52" s="104">
        <f>INDEX('M03-S06'!$C$16:$C$196,2*(ROWS($W$47:W52)-1)+1)</f>
        <v>0</v>
      </c>
      <c r="X52" s="254"/>
      <c r="Y52" s="63">
        <f>INDEX('M03-S06'!$X$16:$X$196,2*(ROWS($Y$47:Y52)-1)+1)</f>
        <v>0</v>
      </c>
      <c r="Z52" s="254"/>
      <c r="AA52" s="254"/>
      <c r="AB52" s="254"/>
      <c r="AC52" s="254"/>
      <c r="AD52" s="254"/>
      <c r="AE52" s="278"/>
      <c r="AF52" s="278"/>
      <c r="AG52" s="278"/>
      <c r="AH52" s="278"/>
      <c r="AI52" s="278"/>
      <c r="AJ52" s="107" t="str">
        <f t="shared" si="29"/>
        <v/>
      </c>
      <c r="AK52" s="107" t="str">
        <f t="shared" si="30"/>
        <v/>
      </c>
      <c r="AL52" s="107" t="str">
        <f t="shared" si="31"/>
        <v/>
      </c>
      <c r="AM52" s="280"/>
      <c r="AN52" s="107" t="str">
        <f t="shared" si="32"/>
        <v/>
      </c>
      <c r="AO52" s="278"/>
      <c r="AP52" s="278"/>
      <c r="AQ52" s="278"/>
      <c r="AR52" s="256"/>
    </row>
    <row r="53" spans="1:44" s="63" customFormat="1" x14ac:dyDescent="0.25">
      <c r="A53" s="301">
        <f t="shared" si="21"/>
        <v>0</v>
      </c>
      <c r="B53" s="301" t="str">
        <f t="shared" si="28"/>
        <v/>
      </c>
      <c r="C53" s="301" t="str">
        <f>IFERROR(IF(OR(P53&gt;0,O53&gt;0),INDEX(PMEMOTOR[Measure '#],MATCH(W53,PMEMOTOR[Eff Desc 1],0)),""),"")</f>
        <v/>
      </c>
      <c r="E53" s="301" t="str">
        <f>IFERROR(INDEX(PMEMOTOR[End Use Category],MATCH(W53,PMEMOTOR[Eff Desc 1],0)),"")</f>
        <v/>
      </c>
      <c r="F53" s="278"/>
      <c r="G53" s="63">
        <f>INDEX('M03-S06'!$AB$16:$AB$196,2*(ROWS($G$47:G53)-1)+1)</f>
        <v>0</v>
      </c>
      <c r="H53" s="107">
        <f>INDEX('M03-S06'!$V$16:$V$196,2*(ROWS($H$47:H53)-1)+1)*INDEX('M03-S05'!$AE$16:$AE$198,2*(ROWS($H$47:H53)-1)+1)</f>
        <v>0</v>
      </c>
      <c r="I53" s="107">
        <f>INDEX('M03-S06'!$V$16:$V$196,2*(ROWS($I$47:I53)-1)+1)*INDEX('M03-S05'!$AG$16:$AG$198,2*(ROWS($I$47:I53)-1)+1)</f>
        <v>0</v>
      </c>
      <c r="J53" s="107" t="str">
        <f>INDEX('M03-S06'!$AU$16:$AU$196,2*(ROWS($J$47:J53)-1)+1)</f>
        <v/>
      </c>
      <c r="K53" s="63" t="str">
        <f>IFERROR(INDEX(PMEMOTOR[Cost Basis],MATCH(W53,PMEMOTOR[Eff Desc 1],0)),"")</f>
        <v/>
      </c>
      <c r="L53" s="277">
        <f>INDEX('M03-S06'!$V$16:$V$196,2*(ROWS($L$47:L53)-1)+1)</f>
        <v>0</v>
      </c>
      <c r="M53" s="277" t="str">
        <f>IFERROR(INDEX('M03-S06'!$AK$16:$AK$196,2*(ROWS($M$47:M53)-1)+1),"")</f>
        <v/>
      </c>
      <c r="N53" s="335" t="str">
        <f>IFERROR(INDEX('M03-S06'!$AV$16:$AV$196,2*(ROWS($N$47:N53)-1)+1),"")</f>
        <v/>
      </c>
      <c r="O53" s="107" t="str">
        <f>IFERROR(INDEX('M03-S06'!$AO$16:$AO$196,2*(ROWS($O$47:O53)-1)+1),"")</f>
        <v/>
      </c>
      <c r="P53" s="278"/>
      <c r="Q53" s="340"/>
      <c r="R53" s="254"/>
      <c r="S53" s="283"/>
      <c r="T53" s="283"/>
      <c r="U53" s="277">
        <f>INDEX('M03-S06'!$B$16:$B$196,2*(ROWS($U$47:U53)-1)+1)</f>
        <v>7</v>
      </c>
      <c r="V53" s="254"/>
      <c r="W53" s="104">
        <f>INDEX('M03-S06'!$C$16:$C$196,2*(ROWS($W$47:W53)-1)+1)</f>
        <v>0</v>
      </c>
      <c r="X53" s="254"/>
      <c r="Y53" s="63">
        <f>INDEX('M03-S06'!$X$16:$X$196,2*(ROWS($Y$47:Y53)-1)+1)</f>
        <v>0</v>
      </c>
      <c r="Z53" s="254"/>
      <c r="AA53" s="254"/>
      <c r="AB53" s="254"/>
      <c r="AC53" s="254"/>
      <c r="AD53" s="254"/>
      <c r="AE53" s="278"/>
      <c r="AF53" s="278"/>
      <c r="AG53" s="278"/>
      <c r="AH53" s="278"/>
      <c r="AI53" s="278"/>
      <c r="AJ53" s="107" t="str">
        <f t="shared" si="29"/>
        <v/>
      </c>
      <c r="AK53" s="107" t="str">
        <f t="shared" si="30"/>
        <v/>
      </c>
      <c r="AL53" s="107" t="str">
        <f t="shared" si="31"/>
        <v/>
      </c>
      <c r="AM53" s="280"/>
      <c r="AN53" s="107" t="str">
        <f t="shared" si="32"/>
        <v/>
      </c>
      <c r="AO53" s="278"/>
      <c r="AP53" s="278"/>
      <c r="AQ53" s="278"/>
      <c r="AR53" s="256"/>
    </row>
    <row r="54" spans="1:44" s="63" customFormat="1" x14ac:dyDescent="0.25">
      <c r="A54" s="301">
        <f t="shared" si="21"/>
        <v>0</v>
      </c>
      <c r="B54" s="301" t="str">
        <f t="shared" si="28"/>
        <v/>
      </c>
      <c r="C54" s="301" t="str">
        <f>IFERROR(IF(OR(P54&gt;0,O54&gt;0),INDEX(PMEMOTOR[Measure '#],MATCH(W54,PMEMOTOR[Eff Desc 1],0)),""),"")</f>
        <v/>
      </c>
      <c r="E54" s="301" t="str">
        <f>IFERROR(INDEX(PMEMOTOR[End Use Category],MATCH(W54,PMEMOTOR[Eff Desc 1],0)),"")</f>
        <v/>
      </c>
      <c r="F54" s="278"/>
      <c r="G54" s="63">
        <f>INDEX('M03-S06'!$AB$16:$AB$196,2*(ROWS($G$47:G54)-1)+1)</f>
        <v>0</v>
      </c>
      <c r="H54" s="107">
        <f>INDEX('M03-S06'!$V$16:$V$196,2*(ROWS($H$47:H54)-1)+1)*INDEX('M03-S05'!$AE$16:$AE$198,2*(ROWS($H$47:H54)-1)+1)</f>
        <v>0</v>
      </c>
      <c r="I54" s="107">
        <f>INDEX('M03-S06'!$V$16:$V$196,2*(ROWS($I$47:I54)-1)+1)*INDEX('M03-S05'!$AG$16:$AG$198,2*(ROWS($I$47:I54)-1)+1)</f>
        <v>0</v>
      </c>
      <c r="J54" s="107" t="str">
        <f>INDEX('M03-S06'!$AU$16:$AU$196,2*(ROWS($J$47:J54)-1)+1)</f>
        <v/>
      </c>
      <c r="K54" s="63" t="str">
        <f>IFERROR(INDEX(PMEMOTOR[Cost Basis],MATCH(W54,PMEMOTOR[Eff Desc 1],0)),"")</f>
        <v/>
      </c>
      <c r="L54" s="277">
        <f>INDEX('M03-S06'!$V$16:$V$196,2*(ROWS($L$47:L54)-1)+1)</f>
        <v>0</v>
      </c>
      <c r="M54" s="277" t="str">
        <f>IFERROR(INDEX('M03-S06'!$AK$16:$AK$196,2*(ROWS($M$47:M54)-1)+1),"")</f>
        <v/>
      </c>
      <c r="N54" s="335" t="str">
        <f>IFERROR(INDEX('M03-S06'!$AV$16:$AV$196,2*(ROWS($N$47:N54)-1)+1),"")</f>
        <v/>
      </c>
      <c r="O54" s="107" t="str">
        <f>IFERROR(INDEX('M03-S06'!$AO$16:$AO$196,2*(ROWS($O$47:O54)-1)+1),"")</f>
        <v/>
      </c>
      <c r="P54" s="278"/>
      <c r="Q54" s="340"/>
      <c r="R54" s="254"/>
      <c r="S54" s="283"/>
      <c r="T54" s="283"/>
      <c r="U54" s="277">
        <f>INDEX('M03-S06'!$B$16:$B$196,2*(ROWS($U$47:U54)-1)+1)</f>
        <v>8</v>
      </c>
      <c r="V54" s="254"/>
      <c r="W54" s="104">
        <f>INDEX('M03-S06'!$C$16:$C$196,2*(ROWS($W$47:W54)-1)+1)</f>
        <v>0</v>
      </c>
      <c r="X54" s="254"/>
      <c r="Y54" s="63">
        <f>INDEX('M03-S06'!$X$16:$X$196,2*(ROWS($Y$47:Y54)-1)+1)</f>
        <v>0</v>
      </c>
      <c r="Z54" s="254"/>
      <c r="AA54" s="254"/>
      <c r="AB54" s="254"/>
      <c r="AC54" s="254"/>
      <c r="AD54" s="254"/>
      <c r="AE54" s="278"/>
      <c r="AF54" s="278"/>
      <c r="AG54" s="278"/>
      <c r="AH54" s="278"/>
      <c r="AI54" s="278"/>
      <c r="AJ54" s="107" t="str">
        <f t="shared" si="29"/>
        <v/>
      </c>
      <c r="AK54" s="107" t="str">
        <f t="shared" si="30"/>
        <v/>
      </c>
      <c r="AL54" s="107" t="str">
        <f t="shared" si="31"/>
        <v/>
      </c>
      <c r="AM54" s="280"/>
      <c r="AN54" s="107" t="str">
        <f t="shared" si="32"/>
        <v/>
      </c>
      <c r="AO54" s="278"/>
      <c r="AP54" s="278"/>
      <c r="AQ54" s="278"/>
      <c r="AR54" s="256"/>
    </row>
    <row r="55" spans="1:44" s="63" customFormat="1" x14ac:dyDescent="0.25">
      <c r="A55" s="301">
        <f t="shared" si="21"/>
        <v>0</v>
      </c>
      <c r="B55" s="301" t="str">
        <f t="shared" si="28"/>
        <v/>
      </c>
      <c r="C55" s="301" t="str">
        <f>IFERROR(IF(OR(P55&gt;0,O55&gt;0),INDEX(PMEMOTOR[Measure '#],MATCH(W55,PMEMOTOR[Eff Desc 1],0)),""),"")</f>
        <v/>
      </c>
      <c r="E55" s="301" t="str">
        <f>IFERROR(INDEX(PMEMOTOR[End Use Category],MATCH(W55,PMEMOTOR[Eff Desc 1],0)),"")</f>
        <v/>
      </c>
      <c r="F55" s="278"/>
      <c r="G55" s="63">
        <f>INDEX('M03-S06'!$AB$16:$AB$196,2*(ROWS($G$47:G55)-1)+1)</f>
        <v>0</v>
      </c>
      <c r="H55" s="107">
        <f>INDEX('M03-S06'!$V$16:$V$196,2*(ROWS($H$47:H55)-1)+1)*INDEX('M03-S05'!$AE$16:$AE$198,2*(ROWS($H$47:H55)-1)+1)</f>
        <v>0</v>
      </c>
      <c r="I55" s="107">
        <f>INDEX('M03-S06'!$V$16:$V$196,2*(ROWS($I$47:I55)-1)+1)*INDEX('M03-S05'!$AG$16:$AG$198,2*(ROWS($I$47:I55)-1)+1)</f>
        <v>0</v>
      </c>
      <c r="J55" s="107" t="str">
        <f>INDEX('M03-S06'!$AU$16:$AU$196,2*(ROWS($J$47:J55)-1)+1)</f>
        <v/>
      </c>
      <c r="K55" s="63" t="str">
        <f>IFERROR(INDEX(PMEMOTOR[Cost Basis],MATCH(W55,PMEMOTOR[Eff Desc 1],0)),"")</f>
        <v/>
      </c>
      <c r="L55" s="277">
        <f>INDEX('M03-S06'!$V$16:$V$196,2*(ROWS($L$47:L55)-1)+1)</f>
        <v>0</v>
      </c>
      <c r="M55" s="277" t="str">
        <f>IFERROR(INDEX('M03-S06'!$AK$16:$AK$196,2*(ROWS($M$47:M55)-1)+1),"")</f>
        <v/>
      </c>
      <c r="N55" s="335" t="str">
        <f>IFERROR(INDEX('M03-S06'!$AV$16:$AV$196,2*(ROWS($N$47:N55)-1)+1),"")</f>
        <v/>
      </c>
      <c r="O55" s="107" t="str">
        <f>IFERROR(INDEX('M03-S06'!$AO$16:$AO$196,2*(ROWS($O$47:O55)-1)+1),"")</f>
        <v/>
      </c>
      <c r="P55" s="278"/>
      <c r="Q55" s="340"/>
      <c r="R55" s="254"/>
      <c r="S55" s="283"/>
      <c r="T55" s="283"/>
      <c r="U55" s="277">
        <f>INDEX('M03-S06'!$B$16:$B$196,2*(ROWS($U$47:U55)-1)+1)</f>
        <v>9</v>
      </c>
      <c r="V55" s="254"/>
      <c r="W55" s="104">
        <f>INDEX('M03-S06'!$C$16:$C$196,2*(ROWS($W$47:W55)-1)+1)</f>
        <v>0</v>
      </c>
      <c r="X55" s="254"/>
      <c r="Y55" s="63">
        <f>INDEX('M03-S06'!$X$16:$X$196,2*(ROWS($Y$47:Y55)-1)+1)</f>
        <v>0</v>
      </c>
      <c r="Z55" s="254"/>
      <c r="AA55" s="254"/>
      <c r="AB55" s="254"/>
      <c r="AC55" s="254"/>
      <c r="AD55" s="254"/>
      <c r="AE55" s="278"/>
      <c r="AF55" s="278"/>
      <c r="AG55" s="278"/>
      <c r="AH55" s="278"/>
      <c r="AI55" s="278"/>
      <c r="AJ55" s="107" t="str">
        <f t="shared" si="29"/>
        <v/>
      </c>
      <c r="AK55" s="107" t="str">
        <f t="shared" si="30"/>
        <v/>
      </c>
      <c r="AL55" s="107" t="str">
        <f t="shared" si="31"/>
        <v/>
      </c>
      <c r="AM55" s="280"/>
      <c r="AN55" s="107" t="str">
        <f t="shared" si="32"/>
        <v/>
      </c>
      <c r="AO55" s="278"/>
      <c r="AP55" s="278"/>
      <c r="AQ55" s="278"/>
      <c r="AR55" s="256"/>
    </row>
    <row r="56" spans="1:44" s="63" customFormat="1" x14ac:dyDescent="0.25">
      <c r="A56" s="301">
        <f t="shared" si="21"/>
        <v>0</v>
      </c>
      <c r="B56" s="301" t="str">
        <f t="shared" si="28"/>
        <v/>
      </c>
      <c r="C56" s="301" t="str">
        <f>IFERROR(IF(OR(P56&gt;0,O56&gt;0),INDEX(PMEMOTOR[Measure '#],MATCH(W56,PMEMOTOR[Eff Desc 1],0)),""),"")</f>
        <v/>
      </c>
      <c r="E56" s="301" t="str">
        <f>IFERROR(INDEX(PMEMOTOR[End Use Category],MATCH(W56,PMEMOTOR[Eff Desc 1],0)),"")</f>
        <v/>
      </c>
      <c r="F56" s="278"/>
      <c r="G56" s="63">
        <f>INDEX('M03-S06'!$AB$16:$AB$196,2*(ROWS($G$47:G56)-1)+1)</f>
        <v>0</v>
      </c>
      <c r="H56" s="107">
        <f>INDEX('M03-S06'!$V$16:$V$196,2*(ROWS($H$47:H56)-1)+1)*INDEX('M03-S05'!$AE$16:$AE$198,2*(ROWS($H$47:H56)-1)+1)</f>
        <v>0</v>
      </c>
      <c r="I56" s="107">
        <f>INDEX('M03-S06'!$V$16:$V$196,2*(ROWS($I$47:I56)-1)+1)*INDEX('M03-S05'!$AG$16:$AG$198,2*(ROWS($I$47:I56)-1)+1)</f>
        <v>0</v>
      </c>
      <c r="J56" s="107" t="str">
        <f>INDEX('M03-S06'!$AU$16:$AU$196,2*(ROWS($J$47:J56)-1)+1)</f>
        <v/>
      </c>
      <c r="K56" s="63" t="str">
        <f>IFERROR(INDEX(PMEMOTOR[Cost Basis],MATCH(W56,PMEMOTOR[Eff Desc 1],0)),"")</f>
        <v/>
      </c>
      <c r="L56" s="277">
        <f>INDEX('M03-S06'!$V$16:$V$196,2*(ROWS($L$47:L56)-1)+1)</f>
        <v>0</v>
      </c>
      <c r="M56" s="277" t="str">
        <f>IFERROR(INDEX('M03-S06'!$AK$16:$AK$196,2*(ROWS($M$47:M56)-1)+1),"")</f>
        <v/>
      </c>
      <c r="N56" s="335" t="str">
        <f>IFERROR(INDEX('M03-S06'!$AV$16:$AV$196,2*(ROWS($N$47:N56)-1)+1),"")</f>
        <v/>
      </c>
      <c r="O56" s="107" t="str">
        <f>IFERROR(INDEX('M03-S06'!$AO$16:$AO$196,2*(ROWS($O$47:O56)-1)+1),"")</f>
        <v/>
      </c>
      <c r="P56" s="278"/>
      <c r="Q56" s="340"/>
      <c r="R56" s="254"/>
      <c r="S56" s="283"/>
      <c r="T56" s="283"/>
      <c r="U56" s="277">
        <f>INDEX('M03-S06'!$B$16:$B$196,2*(ROWS($U$47:U56)-1)+1)</f>
        <v>10</v>
      </c>
      <c r="V56" s="254"/>
      <c r="W56" s="104">
        <f>INDEX('M03-S06'!$C$16:$C$196,2*(ROWS($W$47:W56)-1)+1)</f>
        <v>0</v>
      </c>
      <c r="X56" s="254"/>
      <c r="Y56" s="63">
        <f>INDEX('M03-S06'!$X$16:$X$196,2*(ROWS($Y$47:Y56)-1)+1)</f>
        <v>0</v>
      </c>
      <c r="Z56" s="254"/>
      <c r="AA56" s="254"/>
      <c r="AB56" s="254"/>
      <c r="AC56" s="254"/>
      <c r="AD56" s="254"/>
      <c r="AE56" s="278"/>
      <c r="AF56" s="278"/>
      <c r="AG56" s="278"/>
      <c r="AH56" s="278"/>
      <c r="AI56" s="278"/>
      <c r="AJ56" s="107" t="str">
        <f t="shared" si="29"/>
        <v/>
      </c>
      <c r="AK56" s="107" t="str">
        <f t="shared" si="30"/>
        <v/>
      </c>
      <c r="AL56" s="107" t="str">
        <f t="shared" si="31"/>
        <v/>
      </c>
      <c r="AM56" s="280"/>
      <c r="AN56" s="107" t="str">
        <f t="shared" si="32"/>
        <v/>
      </c>
      <c r="AO56" s="278"/>
      <c r="AP56" s="278"/>
      <c r="AQ56" s="278"/>
      <c r="AR56" s="256"/>
    </row>
    <row r="57" spans="1:44" s="63" customFormat="1" x14ac:dyDescent="0.25">
      <c r="A57" s="301">
        <f t="shared" si="21"/>
        <v>0</v>
      </c>
      <c r="B57" s="301" t="str">
        <f t="shared" si="28"/>
        <v/>
      </c>
      <c r="C57" s="301" t="str">
        <f>IFERROR(IF(OR(P57&gt;0,O57&gt;0),INDEX(PMEMOTOR[Measure '#],MATCH(W57,PMEMOTOR[Eff Desc 1],0)),""),"")</f>
        <v/>
      </c>
      <c r="E57" s="301" t="str">
        <f>IFERROR(INDEX(PMEMOTOR[End Use Category],MATCH(W57,PMEMOTOR[Eff Desc 1],0)),"")</f>
        <v/>
      </c>
      <c r="F57" s="278"/>
      <c r="G57" s="63">
        <f>INDEX('M03-S06'!$AB$16:$AB$196,2*(ROWS($G$47:G57)-1)+1)</f>
        <v>0</v>
      </c>
      <c r="H57" s="107">
        <f>INDEX('M03-S06'!$V$16:$V$196,2*(ROWS($H$47:H57)-1)+1)*INDEX('M03-S05'!$AE$16:$AE$198,2*(ROWS($H$47:H57)-1)+1)</f>
        <v>0</v>
      </c>
      <c r="I57" s="107">
        <f>INDEX('M03-S06'!$V$16:$V$196,2*(ROWS($I$47:I57)-1)+1)*INDEX('M03-S05'!$AG$16:$AG$198,2*(ROWS($I$47:I57)-1)+1)</f>
        <v>0</v>
      </c>
      <c r="J57" s="107" t="str">
        <f>INDEX('M03-S06'!$AU$16:$AU$196,2*(ROWS($J$47:J57)-1)+1)</f>
        <v/>
      </c>
      <c r="K57" s="63" t="str">
        <f>IFERROR(INDEX(PMEMOTOR[Cost Basis],MATCH(W57,PMEMOTOR[Eff Desc 1],0)),"")</f>
        <v/>
      </c>
      <c r="L57" s="277">
        <f>INDEX('M03-S06'!$V$16:$V$196,2*(ROWS($L$47:L57)-1)+1)</f>
        <v>0</v>
      </c>
      <c r="M57" s="277" t="str">
        <f>IFERROR(INDEX('M03-S06'!$AK$16:$AK$196,2*(ROWS($M$47:M57)-1)+1),"")</f>
        <v/>
      </c>
      <c r="N57" s="335" t="str">
        <f>IFERROR(INDEX('M03-S06'!$AV$16:$AV$196,2*(ROWS($N$47:N57)-1)+1),"")</f>
        <v/>
      </c>
      <c r="O57" s="107" t="str">
        <f>IFERROR(INDEX('M03-S06'!$AO$16:$AO$196,2*(ROWS($O$47:O57)-1)+1),"")</f>
        <v/>
      </c>
      <c r="P57" s="278"/>
      <c r="Q57" s="340"/>
      <c r="R57" s="254"/>
      <c r="S57" s="283"/>
      <c r="T57" s="283"/>
      <c r="U57" s="277">
        <f>INDEX('M03-S06'!$B$16:$B$196,2*(ROWS($U$47:U57)-1)+1)</f>
        <v>11</v>
      </c>
      <c r="V57" s="254"/>
      <c r="W57" s="104">
        <f>INDEX('M03-S06'!$C$16:$C$196,2*(ROWS($W$47:W57)-1)+1)</f>
        <v>0</v>
      </c>
      <c r="X57" s="254"/>
      <c r="Y57" s="63">
        <f>INDEX('M03-S06'!$X$16:$X$196,2*(ROWS($Y$47:Y57)-1)+1)</f>
        <v>0</v>
      </c>
      <c r="Z57" s="254"/>
      <c r="AA57" s="254"/>
      <c r="AB57" s="254"/>
      <c r="AC57" s="254"/>
      <c r="AD57" s="254"/>
      <c r="AE57" s="278"/>
      <c r="AF57" s="278"/>
      <c r="AG57" s="278"/>
      <c r="AH57" s="278"/>
      <c r="AI57" s="278"/>
      <c r="AJ57" s="107" t="str">
        <f t="shared" si="29"/>
        <v/>
      </c>
      <c r="AK57" s="107" t="str">
        <f t="shared" si="30"/>
        <v/>
      </c>
      <c r="AL57" s="107" t="str">
        <f t="shared" si="31"/>
        <v/>
      </c>
      <c r="AM57" s="280"/>
      <c r="AN57" s="107" t="str">
        <f t="shared" si="32"/>
        <v/>
      </c>
      <c r="AO57" s="278"/>
      <c r="AP57" s="278"/>
      <c r="AQ57" s="278"/>
      <c r="AR57" s="256"/>
    </row>
    <row r="58" spans="1:44" s="63" customFormat="1" x14ac:dyDescent="0.25">
      <c r="A58" s="301">
        <f t="shared" si="21"/>
        <v>0</v>
      </c>
      <c r="B58" s="301" t="str">
        <f t="shared" si="28"/>
        <v/>
      </c>
      <c r="C58" s="301" t="str">
        <f>IFERROR(IF(OR(P58&gt;0,O58&gt;0),INDEX(PMEMOTOR[Measure '#],MATCH(W58,PMEMOTOR[Eff Desc 1],0)),""),"")</f>
        <v/>
      </c>
      <c r="E58" s="301" t="str">
        <f>IFERROR(INDEX(PMEMOTOR[End Use Category],MATCH(W58,PMEMOTOR[Eff Desc 1],0)),"")</f>
        <v/>
      </c>
      <c r="F58" s="278"/>
      <c r="G58" s="63">
        <f>INDEX('M03-S06'!$AB$16:$AB$196,2*(ROWS($G$47:G58)-1)+1)</f>
        <v>0</v>
      </c>
      <c r="H58" s="107">
        <f>INDEX('M03-S06'!$V$16:$V$196,2*(ROWS($H$47:H58)-1)+1)*INDEX('M03-S05'!$AE$16:$AE$198,2*(ROWS($H$47:H58)-1)+1)</f>
        <v>0</v>
      </c>
      <c r="I58" s="107">
        <f>INDEX('M03-S06'!$V$16:$V$196,2*(ROWS($I$47:I58)-1)+1)*INDEX('M03-S05'!$AG$16:$AG$198,2*(ROWS($I$47:I58)-1)+1)</f>
        <v>0</v>
      </c>
      <c r="J58" s="107" t="str">
        <f>INDEX('M03-S06'!$AU$16:$AU$196,2*(ROWS($J$47:J58)-1)+1)</f>
        <v/>
      </c>
      <c r="K58" s="63" t="str">
        <f>IFERROR(INDEX(PMEMOTOR[Cost Basis],MATCH(W58,PMEMOTOR[Eff Desc 1],0)),"")</f>
        <v/>
      </c>
      <c r="L58" s="277">
        <f>INDEX('M03-S06'!$V$16:$V$196,2*(ROWS($L$47:L58)-1)+1)</f>
        <v>0</v>
      </c>
      <c r="M58" s="277" t="str">
        <f>IFERROR(INDEX('M03-S06'!$AK$16:$AK$196,2*(ROWS($M$47:M58)-1)+1),"")</f>
        <v/>
      </c>
      <c r="N58" s="335" t="str">
        <f>IFERROR(INDEX('M03-S06'!$AV$16:$AV$196,2*(ROWS($N$47:N58)-1)+1),"")</f>
        <v/>
      </c>
      <c r="O58" s="107" t="str">
        <f>IFERROR(INDEX('M03-S06'!$AO$16:$AO$196,2*(ROWS($O$47:O58)-1)+1),"")</f>
        <v/>
      </c>
      <c r="P58" s="278"/>
      <c r="Q58" s="340"/>
      <c r="R58" s="254"/>
      <c r="S58" s="283"/>
      <c r="T58" s="283"/>
      <c r="U58" s="277">
        <f>INDEX('M03-S06'!$B$16:$B$196,2*(ROWS($U$47:U58)-1)+1)</f>
        <v>12</v>
      </c>
      <c r="V58" s="254"/>
      <c r="W58" s="104">
        <f>INDEX('M03-S06'!$C$16:$C$196,2*(ROWS($W$47:W58)-1)+1)</f>
        <v>0</v>
      </c>
      <c r="X58" s="254"/>
      <c r="Y58" s="63">
        <f>INDEX('M03-S06'!$X$16:$X$196,2*(ROWS($Y$47:Y58)-1)+1)</f>
        <v>0</v>
      </c>
      <c r="Z58" s="254"/>
      <c r="AA58" s="254"/>
      <c r="AB58" s="254"/>
      <c r="AC58" s="254"/>
      <c r="AD58" s="254"/>
      <c r="AE58" s="278"/>
      <c r="AF58" s="278"/>
      <c r="AG58" s="278"/>
      <c r="AH58" s="278"/>
      <c r="AI58" s="278"/>
      <c r="AJ58" s="107" t="str">
        <f t="shared" si="29"/>
        <v/>
      </c>
      <c r="AK58" s="107" t="str">
        <f t="shared" si="30"/>
        <v/>
      </c>
      <c r="AL58" s="107" t="str">
        <f t="shared" si="31"/>
        <v/>
      </c>
      <c r="AM58" s="280"/>
      <c r="AN58" s="107" t="str">
        <f t="shared" si="32"/>
        <v/>
      </c>
      <c r="AO58" s="278"/>
      <c r="AP58" s="278"/>
      <c r="AQ58" s="278"/>
      <c r="AR58" s="256"/>
    </row>
    <row r="59" spans="1:44" s="63" customFormat="1" x14ac:dyDescent="0.25">
      <c r="A59" s="301">
        <f t="shared" si="21"/>
        <v>0</v>
      </c>
      <c r="B59" s="301" t="str">
        <f t="shared" si="28"/>
        <v/>
      </c>
      <c r="C59" s="301" t="str">
        <f>IFERROR(IF(OR(P59&gt;0,O59&gt;0),INDEX(PMEMOTOR[Measure '#],MATCH(W59,PMEMOTOR[Eff Desc 1],0)),""),"")</f>
        <v/>
      </c>
      <c r="E59" s="301" t="str">
        <f>IFERROR(INDEX(PMEMOTOR[End Use Category],MATCH(W59,PMEMOTOR[Eff Desc 1],0)),"")</f>
        <v/>
      </c>
      <c r="F59" s="278"/>
      <c r="G59" s="63">
        <f>INDEX('M03-S06'!$AB$16:$AB$196,2*(ROWS($G$47:G59)-1)+1)</f>
        <v>0</v>
      </c>
      <c r="H59" s="107">
        <f>INDEX('M03-S06'!$V$16:$V$196,2*(ROWS($H$47:H59)-1)+1)*INDEX('M03-S05'!$AE$16:$AE$198,2*(ROWS($H$47:H59)-1)+1)</f>
        <v>0</v>
      </c>
      <c r="I59" s="107">
        <f>INDEX('M03-S06'!$V$16:$V$196,2*(ROWS($I$47:I59)-1)+1)*INDEX('M03-S05'!$AG$16:$AG$198,2*(ROWS($I$47:I59)-1)+1)</f>
        <v>0</v>
      </c>
      <c r="J59" s="107" t="str">
        <f>INDEX('M03-S06'!$AU$16:$AU$196,2*(ROWS($J$47:J59)-1)+1)</f>
        <v/>
      </c>
      <c r="K59" s="63" t="str">
        <f>IFERROR(INDEX(PMEMOTOR[Cost Basis],MATCH(W59,PMEMOTOR[Eff Desc 1],0)),"")</f>
        <v/>
      </c>
      <c r="L59" s="277">
        <f>INDEX('M03-S06'!$V$16:$V$196,2*(ROWS($L$47:L59)-1)+1)</f>
        <v>0</v>
      </c>
      <c r="M59" s="277" t="str">
        <f>IFERROR(INDEX('M03-S06'!$AK$16:$AK$196,2*(ROWS($M$47:M59)-1)+1),"")</f>
        <v/>
      </c>
      <c r="N59" s="335" t="str">
        <f>IFERROR(INDEX('M03-S06'!$AV$16:$AV$196,2*(ROWS($N$47:N59)-1)+1),"")</f>
        <v/>
      </c>
      <c r="O59" s="107" t="str">
        <f>IFERROR(INDEX('M03-S06'!$AO$16:$AO$196,2*(ROWS($O$47:O59)-1)+1),"")</f>
        <v/>
      </c>
      <c r="P59" s="278"/>
      <c r="Q59" s="340"/>
      <c r="R59" s="254"/>
      <c r="S59" s="283"/>
      <c r="T59" s="283"/>
      <c r="U59" s="277">
        <f>INDEX('M03-S06'!$B$16:$B$196,2*(ROWS($U$47:U59)-1)+1)</f>
        <v>13</v>
      </c>
      <c r="V59" s="254"/>
      <c r="W59" s="104">
        <f>INDEX('M03-S06'!$C$16:$C$196,2*(ROWS($W$47:W59)-1)+1)</f>
        <v>0</v>
      </c>
      <c r="X59" s="254"/>
      <c r="Y59" s="63">
        <f>INDEX('M03-S06'!$X$16:$X$196,2*(ROWS($Y$47:Y59)-1)+1)</f>
        <v>0</v>
      </c>
      <c r="Z59" s="254"/>
      <c r="AA59" s="254"/>
      <c r="AB59" s="254"/>
      <c r="AC59" s="254"/>
      <c r="AD59" s="254"/>
      <c r="AE59" s="278"/>
      <c r="AF59" s="278"/>
      <c r="AG59" s="278"/>
      <c r="AH59" s="278"/>
      <c r="AI59" s="278"/>
      <c r="AJ59" s="107" t="str">
        <f t="shared" si="29"/>
        <v/>
      </c>
      <c r="AK59" s="107" t="str">
        <f t="shared" si="30"/>
        <v/>
      </c>
      <c r="AL59" s="107" t="str">
        <f t="shared" si="31"/>
        <v/>
      </c>
      <c r="AM59" s="280"/>
      <c r="AN59" s="107" t="str">
        <f t="shared" si="32"/>
        <v/>
      </c>
      <c r="AO59" s="278"/>
      <c r="AP59" s="278"/>
      <c r="AQ59" s="278"/>
      <c r="AR59" s="256"/>
    </row>
    <row r="60" spans="1:44" s="63" customFormat="1" x14ac:dyDescent="0.25">
      <c r="A60" s="301">
        <f t="shared" si="21"/>
        <v>0</v>
      </c>
      <c r="B60" s="301" t="str">
        <f t="shared" si="28"/>
        <v/>
      </c>
      <c r="C60" s="301" t="str">
        <f>IFERROR(IF(OR(P60&gt;0,O60&gt;0),INDEX(PMEMOTOR[Measure '#],MATCH(W60,PMEMOTOR[Eff Desc 1],0)),""),"")</f>
        <v/>
      </c>
      <c r="E60" s="301" t="str">
        <f>IFERROR(INDEX(PMEMOTOR[End Use Category],MATCH(W60,PMEMOTOR[Eff Desc 1],0)),"")</f>
        <v/>
      </c>
      <c r="F60" s="278"/>
      <c r="G60" s="63">
        <f>INDEX('M03-S06'!$AB$16:$AB$196,2*(ROWS($G$47:G60)-1)+1)</f>
        <v>0</v>
      </c>
      <c r="H60" s="107">
        <f>INDEX('M03-S06'!$V$16:$V$196,2*(ROWS($H$47:H60)-1)+1)*INDEX('M03-S05'!$AE$16:$AE$198,2*(ROWS($H$47:H60)-1)+1)</f>
        <v>0</v>
      </c>
      <c r="I60" s="107">
        <f>INDEX('M03-S06'!$V$16:$V$196,2*(ROWS($I$47:I60)-1)+1)*INDEX('M03-S05'!$AG$16:$AG$198,2*(ROWS($I$47:I60)-1)+1)</f>
        <v>0</v>
      </c>
      <c r="J60" s="107" t="str">
        <f>INDEX('M03-S06'!$AU$16:$AU$196,2*(ROWS($J$47:J60)-1)+1)</f>
        <v/>
      </c>
      <c r="K60" s="63" t="str">
        <f>IFERROR(INDEX(PMEMOTOR[Cost Basis],MATCH(W60,PMEMOTOR[Eff Desc 1],0)),"")</f>
        <v/>
      </c>
      <c r="L60" s="277">
        <f>INDEX('M03-S06'!$V$16:$V$196,2*(ROWS($L$47:L60)-1)+1)</f>
        <v>0</v>
      </c>
      <c r="M60" s="277" t="str">
        <f>IFERROR(INDEX('M03-S06'!$AK$16:$AK$196,2*(ROWS($M$47:M60)-1)+1),"")</f>
        <v/>
      </c>
      <c r="N60" s="335" t="str">
        <f>IFERROR(INDEX('M03-S06'!$AV$16:$AV$196,2*(ROWS($N$47:N60)-1)+1),"")</f>
        <v/>
      </c>
      <c r="O60" s="107" t="str">
        <f>IFERROR(INDEX('M03-S06'!$AO$16:$AO$196,2*(ROWS($O$47:O60)-1)+1),"")</f>
        <v/>
      </c>
      <c r="P60" s="278"/>
      <c r="Q60" s="340"/>
      <c r="R60" s="254"/>
      <c r="S60" s="283"/>
      <c r="T60" s="283"/>
      <c r="U60" s="277">
        <f>INDEX('M03-S06'!$B$16:$B$196,2*(ROWS($U$47:U60)-1)+1)</f>
        <v>14</v>
      </c>
      <c r="V60" s="254"/>
      <c r="W60" s="104">
        <f>INDEX('M03-S06'!$C$16:$C$196,2*(ROWS($W$47:W60)-1)+1)</f>
        <v>0</v>
      </c>
      <c r="X60" s="254"/>
      <c r="Y60" s="63">
        <f>INDEX('M03-S06'!$X$16:$X$196,2*(ROWS($Y$47:Y60)-1)+1)</f>
        <v>0</v>
      </c>
      <c r="Z60" s="254"/>
      <c r="AA60" s="254"/>
      <c r="AB60" s="254"/>
      <c r="AC60" s="254"/>
      <c r="AD60" s="254"/>
      <c r="AE60" s="278"/>
      <c r="AF60" s="278"/>
      <c r="AG60" s="278"/>
      <c r="AH60" s="278"/>
      <c r="AI60" s="278"/>
      <c r="AJ60" s="107" t="str">
        <f t="shared" si="29"/>
        <v/>
      </c>
      <c r="AK60" s="107" t="str">
        <f t="shared" si="30"/>
        <v/>
      </c>
      <c r="AL60" s="107" t="str">
        <f t="shared" si="31"/>
        <v/>
      </c>
      <c r="AM60" s="280"/>
      <c r="AN60" s="107" t="str">
        <f t="shared" si="32"/>
        <v/>
      </c>
      <c r="AO60" s="278"/>
      <c r="AP60" s="278"/>
      <c r="AQ60" s="278"/>
      <c r="AR60" s="256"/>
    </row>
    <row r="61" spans="1:44" s="63" customFormat="1" x14ac:dyDescent="0.25">
      <c r="A61" s="301">
        <f t="shared" si="21"/>
        <v>0</v>
      </c>
      <c r="B61" s="301" t="str">
        <f t="shared" si="28"/>
        <v/>
      </c>
      <c r="C61" s="301" t="str">
        <f>IFERROR(IF(OR(P61&gt;0,O61&gt;0),INDEX(PMEMOTOR[Measure '#],MATCH(W61,PMEMOTOR[Eff Desc 1],0)),""),"")</f>
        <v/>
      </c>
      <c r="E61" s="301" t="str">
        <f>IFERROR(INDEX(PMEMOTOR[End Use Category],MATCH(W61,PMEMOTOR[Eff Desc 1],0)),"")</f>
        <v/>
      </c>
      <c r="F61" s="278"/>
      <c r="G61" s="63">
        <f>INDEX('M03-S06'!$AB$16:$AB$196,2*(ROWS($G$47:G61)-1)+1)</f>
        <v>0</v>
      </c>
      <c r="H61" s="107">
        <f>INDEX('M03-S06'!$V$16:$V$196,2*(ROWS($H$47:H61)-1)+1)*INDEX('M03-S05'!$AE$16:$AE$198,2*(ROWS($H$47:H61)-1)+1)</f>
        <v>0</v>
      </c>
      <c r="I61" s="107">
        <f>INDEX('M03-S06'!$V$16:$V$196,2*(ROWS($I$47:I61)-1)+1)*INDEX('M03-S05'!$AG$16:$AG$198,2*(ROWS($I$47:I61)-1)+1)</f>
        <v>0</v>
      </c>
      <c r="J61" s="107" t="str">
        <f>INDEX('M03-S06'!$AU$16:$AU$196,2*(ROWS($J$47:J61)-1)+1)</f>
        <v/>
      </c>
      <c r="K61" s="63" t="str">
        <f>IFERROR(INDEX(PMEMOTOR[Cost Basis],MATCH(W61,PMEMOTOR[Eff Desc 1],0)),"")</f>
        <v/>
      </c>
      <c r="L61" s="277">
        <f>INDEX('M03-S06'!$V$16:$V$196,2*(ROWS($L$47:L61)-1)+1)</f>
        <v>0</v>
      </c>
      <c r="M61" s="277" t="str">
        <f>IFERROR(INDEX('M03-S06'!$AK$16:$AK$196,2*(ROWS($M$47:M61)-1)+1),"")</f>
        <v/>
      </c>
      <c r="N61" s="335" t="str">
        <f>IFERROR(INDEX('M03-S06'!$AV$16:$AV$196,2*(ROWS($N$47:N61)-1)+1),"")</f>
        <v/>
      </c>
      <c r="O61" s="107" t="str">
        <f>IFERROR(INDEX('M03-S06'!$AO$16:$AO$196,2*(ROWS($O$47:O61)-1)+1),"")</f>
        <v/>
      </c>
      <c r="P61" s="278"/>
      <c r="Q61" s="340"/>
      <c r="R61" s="254"/>
      <c r="S61" s="283"/>
      <c r="T61" s="283"/>
      <c r="U61" s="277">
        <f>INDEX('M03-S06'!$B$16:$B$196,2*(ROWS($U$47:U61)-1)+1)</f>
        <v>15</v>
      </c>
      <c r="V61" s="254"/>
      <c r="W61" s="104">
        <f>INDEX('M03-S06'!$C$16:$C$196,2*(ROWS($W$47:W61)-1)+1)</f>
        <v>0</v>
      </c>
      <c r="X61" s="254"/>
      <c r="Y61" s="63">
        <f>INDEX('M03-S06'!$X$16:$X$196,2*(ROWS($Y$47:Y61)-1)+1)</f>
        <v>0</v>
      </c>
      <c r="Z61" s="254"/>
      <c r="AA61" s="254"/>
      <c r="AB61" s="254"/>
      <c r="AC61" s="254"/>
      <c r="AD61" s="254"/>
      <c r="AE61" s="278"/>
      <c r="AF61" s="278"/>
      <c r="AG61" s="278"/>
      <c r="AH61" s="278"/>
      <c r="AI61" s="278"/>
      <c r="AJ61" s="107" t="str">
        <f t="shared" si="29"/>
        <v/>
      </c>
      <c r="AK61" s="107" t="str">
        <f t="shared" si="30"/>
        <v/>
      </c>
      <c r="AL61" s="107" t="str">
        <f t="shared" si="31"/>
        <v/>
      </c>
      <c r="AM61" s="280"/>
      <c r="AN61" s="107" t="str">
        <f t="shared" si="32"/>
        <v/>
      </c>
      <c r="AO61" s="278"/>
      <c r="AP61" s="278"/>
      <c r="AQ61" s="278"/>
      <c r="AR61" s="256"/>
    </row>
    <row r="62" spans="1:44" x14ac:dyDescent="0.25">
      <c r="A62" s="554" t="str">
        <f>CONCATENATE(MAIN4," ",M4S1)</f>
        <v>PRE-APPROVAL MEASURES HVAC</v>
      </c>
      <c r="B62" s="317"/>
      <c r="C62" s="317"/>
      <c r="D62" s="318"/>
      <c r="E62" s="317"/>
      <c r="F62" s="319"/>
      <c r="G62" s="318"/>
      <c r="H62" s="320"/>
      <c r="I62" s="320"/>
      <c r="J62" s="320"/>
      <c r="K62" s="318"/>
      <c r="L62" s="319"/>
      <c r="M62" s="319"/>
      <c r="N62" s="338"/>
      <c r="O62" s="320"/>
      <c r="P62" s="319"/>
      <c r="Q62" s="338"/>
      <c r="R62" s="318"/>
      <c r="S62" s="321"/>
      <c r="T62" s="321"/>
      <c r="U62" s="319"/>
      <c r="V62" s="318"/>
      <c r="W62" s="322"/>
      <c r="X62" s="318"/>
      <c r="Y62" s="318"/>
      <c r="Z62" s="318"/>
      <c r="AA62" s="318"/>
      <c r="AB62" s="318"/>
      <c r="AC62" s="318"/>
      <c r="AD62" s="318"/>
      <c r="AE62" s="319"/>
      <c r="AF62" s="319"/>
      <c r="AG62" s="319"/>
      <c r="AH62" s="319"/>
      <c r="AI62" s="319"/>
      <c r="AJ62" s="320" t="str">
        <f t="shared" si="14"/>
        <v/>
      </c>
      <c r="AK62" s="320" t="str">
        <f t="shared" si="15"/>
        <v/>
      </c>
      <c r="AL62" s="320" t="str">
        <f t="shared" si="16"/>
        <v/>
      </c>
      <c r="AM62" s="320"/>
      <c r="AN62" s="320"/>
      <c r="AO62" s="319"/>
      <c r="AP62" s="319"/>
      <c r="AQ62" s="319"/>
    </row>
    <row r="63" spans="1:44" x14ac:dyDescent="0.25">
      <c r="A63" s="118">
        <f t="shared" ref="A63:A77" si="33">PROJID</f>
        <v>0</v>
      </c>
      <c r="B63" s="118" t="str">
        <f t="shared" ref="B63:B66" si="34">IF(C63="","",CONCATENATE(ROW(),"-",C63))</f>
        <v/>
      </c>
      <c r="C63" s="118" t="str">
        <f>IF(J63&gt;0,INDEX('M04-S01'!$AY$16:$AY$198,2*(ROWS($C63:C$63)-1)+1),"")</f>
        <v/>
      </c>
      <c r="D63" t="s">
        <v>215</v>
      </c>
      <c r="E63" s="301" t="str">
        <f>IFERROR(INDEX('M04-S01'!$AW$16:$AW$198,2*(ROWS($E$63:E63)-1)+1),"")</f>
        <v/>
      </c>
      <c r="F63" s="278"/>
      <c r="G63" s="254"/>
      <c r="H63" s="107">
        <f>INDEX('M04-S01'!$AD$16:$AD$198,2*(ROWS($H$63:H63)-1)+1)</f>
        <v>0</v>
      </c>
      <c r="I63" s="107">
        <f>INDEX('M04-S01'!$AF$16:$AF$198,2*(ROWS($I$63:I63)-1)+1)</f>
        <v>0</v>
      </c>
      <c r="J63" s="107" t="str">
        <f>INDEX('M04-S01'!$AH$16:$AH$198,2*(ROWS($J$63:J63)-1)+1)</f>
        <v/>
      </c>
      <c r="K63" s="63" t="str">
        <f>IFERROR(INDEX(CMEHVAC[Cost Basis],MATCH(INDEX('M04-S01'!$F$16:$F$198,2*(ROWS($K$63:K63)-1)+1),CMEHVAC[Proj Desc 1],0)),"")</f>
        <v/>
      </c>
      <c r="L63" s="277">
        <f>IF(ISNUMBER(INDEX('M04-S01'!$AK$16:$AK$198,2*(ROWS($O$63:O63)-1)+1)),INDEX('M04-S01'!$Z$16:$Z$198,2*(ROWS($L$63:L63)-1)+1),0)</f>
        <v>0</v>
      </c>
      <c r="M63" s="277">
        <f>IFERROR(IF(ISNUMBER(INDEX('M04-S01'!$AK$16:$AK$198,2*(ROWS($O$63:O63)-1)+1)),INDEX('M04-S01'!$AO$16:$AO$198,2*(ROWS($M$63:M63)-1)+1),0),"")</f>
        <v>0</v>
      </c>
      <c r="N63" s="335">
        <f>IFERROR(IF(ISNUMBER(INDEX('M04-S01'!$AK$16:$AK$198,2*(ROWS($O$63:O63)-1)+1)),INDEX('M04-S01'!$AV$16:$AV$198,2*(ROWS($N$63:N63)-1)+1),0),"")</f>
        <v>0</v>
      </c>
      <c r="O63" s="107">
        <f>IF(ISNUMBER(INDEX('M04-S01'!$AK$16:$AK$198,2*(ROWS($O$63:O63)-1)+1)),INDEX('M04-S01'!$AK$16:$AK$198,2*(ROWS($O$63:O63)-1)+1),0)</f>
        <v>0</v>
      </c>
      <c r="P63" s="277" t="str">
        <f>IFERROR(IF(NOT(ISNUMBER(INDEX('M04-S01'!$AK$16:$AK$198,2*(ROWS($O63:O$63)-1)+1))),INDEX('M04-S01'!$AO$16:$AO$198,2*(ROWS($O$63:O63)-1)+1),0),"")</f>
        <v/>
      </c>
      <c r="Q63" s="335" t="str">
        <f>IFERROR(IF(NOT(ISNUMBER(INDEX('M04-S01'!$AK$16:$AK$198,2*(ROWS($O$63:O63)-1)+1))),INDEX('M04-S01'!$AV$16:$AV$198,2*(ROWS($O$63:O63)-1)+1),0),"")</f>
        <v/>
      </c>
      <c r="R63" s="63" t="str">
        <f>IFERROR(IF(NOT(ISNUMBER(INDEX('M04-S01'!$AK$16:$AK$198,2*(ROWS($O$63:O63)-1)+1))),INDEX(SPILLOVER[Spillover Reason],MATCH(INDEX('M04-S01'!$BC$16:$BC$198,2*(ROWS($O$63:O63)-1)+1),SPILLOVER[Spillover Text],0)),""),"")</f>
        <v>Not Eligible</v>
      </c>
      <c r="S63" s="283"/>
      <c r="T63" s="283"/>
      <c r="U63" s="277">
        <f>INDEX('M04-S01'!$B$16:$B$198,2*(ROWS($U$63:U63)-1)+1)</f>
        <v>1</v>
      </c>
      <c r="V63" s="254"/>
      <c r="W63" s="104">
        <f>INDEX('M04-S01'!$F$16:$F$198,2*(ROWS($W$63:W63)-1)+1)</f>
        <v>0</v>
      </c>
      <c r="X63" s="63">
        <f>INDEX('M04-S01'!$M$16:$M$198,2*(ROWS($X$63:X63)-1)+1)</f>
        <v>0</v>
      </c>
      <c r="Y63" s="63">
        <f>INDEX('M04-S01'!$U$16:$U$198,2*(ROWS($Y$63:Y63)-1)+1)</f>
        <v>0</v>
      </c>
      <c r="Z63" s="254"/>
      <c r="AA63" s="254"/>
      <c r="AB63" s="254"/>
      <c r="AC63" s="254"/>
      <c r="AD63" s="254"/>
      <c r="AE63" s="277">
        <f>IF(NOT(ISNUMBER(INDEX('M04-S01'!$AK$16:$AK$198,2*(ROWS($O$63:O63)-1)+1))),INDEX('M04-S01'!$Z$16:$Z$198,2*(ROWS($L$63:L63)-1)+1),0)</f>
        <v>0</v>
      </c>
      <c r="AF63" s="277">
        <f>INDEX('M04-S01'!$S$16:$S$198,2*(ROWS($AF$63:AF63)-1)+1)</f>
        <v>0</v>
      </c>
      <c r="AG63" s="277">
        <f>INDEX('M04-S01'!$AB$16:$AB$198,2*(ROWS($AG$63:AG63)-1)+1)</f>
        <v>0</v>
      </c>
      <c r="AH63" s="277" t="str">
        <f>IFERROR(AF63/AO63,"")</f>
        <v/>
      </c>
      <c r="AI63" s="277" t="str">
        <f>IFERROR(AG63/L63,"")</f>
        <v/>
      </c>
      <c r="AJ63" s="107" t="str">
        <f>IFERROR(O63/M63,"")</f>
        <v/>
      </c>
      <c r="AK63" s="107" t="str">
        <f>IFERROR(O63/N63,"")</f>
        <v/>
      </c>
      <c r="AL63" s="107" t="str">
        <f t="shared" ref="AL63" si="35">IFERROR(O63/L63,"")</f>
        <v/>
      </c>
      <c r="AM63" s="107" t="str">
        <f>INDEX('M04-S01'!$AU$16:$AU$198,2*(ROWS($AM$63:AM63)-1)+1)</f>
        <v/>
      </c>
      <c r="AN63" s="107" t="str">
        <f>INDEX('M04-S01'!$BB$16:$BB$198,2*(ROWS($AN$63:AN63)-1)+1)</f>
        <v/>
      </c>
      <c r="AO63" s="277">
        <f>INDEX('M04-S01'!$Q$16:$Q$198,2*(ROWS($AO$63:AO63)-1)+1)</f>
        <v>0</v>
      </c>
      <c r="AP63" s="278"/>
      <c r="AQ63" s="278"/>
    </row>
    <row r="64" spans="1:44" x14ac:dyDescent="0.25">
      <c r="A64" s="118">
        <f t="shared" si="33"/>
        <v>0</v>
      </c>
      <c r="B64" s="118" t="str">
        <f t="shared" si="34"/>
        <v/>
      </c>
      <c r="C64" s="118" t="str">
        <f>IF(J64&gt;0,INDEX('M04-S01'!$AY$16:$AY$198,2*(ROWS($C$63:C64)-1)+1),"")</f>
        <v/>
      </c>
      <c r="D64" s="63" t="s">
        <v>215</v>
      </c>
      <c r="E64" s="301" t="str">
        <f>IFERROR(INDEX('M04-S01'!$AW$16:$AW$198,2*(ROWS($E$63:E64)-1)+1),"")</f>
        <v/>
      </c>
      <c r="F64" s="278"/>
      <c r="G64" s="254"/>
      <c r="H64" s="107">
        <f>INDEX('M04-S01'!$AD$16:$AD$198,2*(ROWS($H$63:H64)-1)+1)</f>
        <v>0</v>
      </c>
      <c r="I64" s="107">
        <f>INDEX('M04-S01'!$AF$16:$AF$198,2*(ROWS($I$63:I64)-1)+1)</f>
        <v>0</v>
      </c>
      <c r="J64" s="107" t="str">
        <f>INDEX('M04-S01'!$AH$16:$AH$198,2*(ROWS($J$63:J64)-1)+1)</f>
        <v/>
      </c>
      <c r="K64" s="63" t="str">
        <f>IFERROR(INDEX(CMEHVAC[Cost Basis],MATCH(INDEX('M04-S01'!$F$16:$F$198,2*(ROWS($K$63:K64)-1)+1),CMEHVAC[Proj Desc 1],0)),"")</f>
        <v/>
      </c>
      <c r="L64" s="277">
        <f>IF(ISNUMBER(INDEX('M04-S01'!$AK$16:$AK$198,2*(ROWS($O$63:O64)-1)+1)),INDEX('M04-S01'!$Z$16:$Z$198,2*(ROWS($L$63:L64)-1)+1),0)</f>
        <v>0</v>
      </c>
      <c r="M64" s="277">
        <f>IFERROR(IF(ISNUMBER(INDEX('M04-S01'!$AK$16:$AK$198,2*(ROWS($O$63:O64)-1)+1)),INDEX('M04-S01'!$AO$16:$AO$198,2*(ROWS($M$63:M64)-1)+1),0),"")</f>
        <v>0</v>
      </c>
      <c r="N64" s="335">
        <f>IFERROR(IF(ISNUMBER(INDEX('M04-S01'!$AK$16:$AK$198,2*(ROWS($O$63:O64)-1)+1)),INDEX('M04-S01'!$AV$16:$AV$198,2*(ROWS($N$63:N64)-1)+1),0),"")</f>
        <v>0</v>
      </c>
      <c r="O64" s="107">
        <f>IF(ISNUMBER(INDEX('M04-S01'!$AK$16:$AK$198,2*(ROWS($O$63:O64)-1)+1)),INDEX('M04-S01'!$AK$16:$AK$198,2*(ROWS($O$63:O64)-1)+1),0)</f>
        <v>0</v>
      </c>
      <c r="P64" s="277" t="str">
        <f>IFERROR(IF(NOT(ISNUMBER(INDEX('M04-S01'!$AK$16:$AK$198,2*(ROWS($O$63:O64)-1)+1))),INDEX('M04-S01'!$AO$16:$AO$198,2*(ROWS($O$63:O64)-1)+1),0),"")</f>
        <v/>
      </c>
      <c r="Q64" s="335" t="str">
        <f>IFERROR(IF(NOT(ISNUMBER(INDEX('M04-S01'!$AK$16:$AK$198,2*(ROWS($O$63:O64)-1)+1))),INDEX('M04-S01'!$AV$16:$AV$198,2*(ROWS($O$63:O64)-1)+1),0),"")</f>
        <v/>
      </c>
      <c r="R64" s="63" t="str">
        <f>IFERROR(IF(NOT(ISNUMBER(INDEX('M04-S01'!$AK$16:$AK$198,2*(ROWS($O$63:O64)-1)+1))),INDEX(SPILLOVER[Spillover Reason],MATCH(INDEX('M04-S01'!$BC$16:$BC$198,2*(ROWS($O$63:O64)-1)+1),SPILLOVER[Spillover Text],0)),""),"")</f>
        <v>Not Eligible</v>
      </c>
      <c r="S64" s="283"/>
      <c r="T64" s="283"/>
      <c r="U64" s="277">
        <f>INDEX('M04-S01'!$B$16:$B$198,2*(ROWS($U$63:U64)-1)+1)</f>
        <v>2</v>
      </c>
      <c r="V64" s="254"/>
      <c r="W64" s="104">
        <f>INDEX('M04-S01'!$F$16:$F$198,2*(ROWS($W$63:W64)-1)+1)</f>
        <v>0</v>
      </c>
      <c r="X64" s="63">
        <f>INDEX('M04-S01'!$M$16:$M$198,2*(ROWS($X$63:X64)-1)+1)</f>
        <v>0</v>
      </c>
      <c r="Y64" s="63">
        <f>INDEX('M04-S01'!$U$16:$U$198,2*(ROWS($Y$63:Y64)-1)+1)</f>
        <v>0</v>
      </c>
      <c r="Z64" s="254"/>
      <c r="AA64" s="254"/>
      <c r="AB64" s="254"/>
      <c r="AC64" s="254"/>
      <c r="AD64" s="254"/>
      <c r="AE64" s="277">
        <f>IF(NOT(ISNUMBER(INDEX('M04-S01'!$AK$16:$AK$198,2*(ROWS($O$63:O64)-1)+1))),INDEX('M04-S01'!$Z$16:$Z$198,2*(ROWS($L$63:L64)-1)+1),0)</f>
        <v>0</v>
      </c>
      <c r="AF64" s="277">
        <f>INDEX('M04-S01'!$S$16:$S$198,2*(ROWS($AF$63:AF64)-1)+1)</f>
        <v>0</v>
      </c>
      <c r="AG64" s="277">
        <f>INDEX('M04-S01'!$AB$16:$AB$198,2*(ROWS($AG$63:AG64)-1)+1)</f>
        <v>0</v>
      </c>
      <c r="AH64" s="277" t="str">
        <f t="shared" ref="AH64:AH77" si="36">IFERROR(AF64/AO64,"")</f>
        <v/>
      </c>
      <c r="AI64" s="277" t="str">
        <f t="shared" ref="AI64:AI77" si="37">IFERROR(AG64/L64,"")</f>
        <v/>
      </c>
      <c r="AJ64" s="107" t="str">
        <f t="shared" si="14"/>
        <v/>
      </c>
      <c r="AK64" s="107" t="str">
        <f t="shared" si="15"/>
        <v/>
      </c>
      <c r="AL64" s="107" t="str">
        <f t="shared" si="16"/>
        <v/>
      </c>
      <c r="AM64" s="107" t="str">
        <f>INDEX('M04-S01'!$AU$16:$AU$198,2*(ROWS($AM$63:AM64)-1)+1)</f>
        <v/>
      </c>
      <c r="AN64" s="107" t="str">
        <f>INDEX('M04-S01'!$BB$16:$BB$198,2*(ROWS($AN$63:AN64)-1)+1)</f>
        <v/>
      </c>
      <c r="AO64" s="277">
        <f>INDEX('M04-S01'!$Q$16:$Q$198,2*(ROWS($AO$63:AO64)-1)+1)</f>
        <v>0</v>
      </c>
      <c r="AP64" s="278"/>
      <c r="AQ64" s="278"/>
    </row>
    <row r="65" spans="1:43" x14ac:dyDescent="0.25">
      <c r="A65" s="118">
        <f t="shared" si="33"/>
        <v>0</v>
      </c>
      <c r="B65" s="118" t="str">
        <f t="shared" si="34"/>
        <v/>
      </c>
      <c r="C65" s="118" t="str">
        <f>IF(J65&gt;0,INDEX('M04-S01'!$AY$16:$AY$198,2*(ROWS($C$63:C65)-1)+1),"")</f>
        <v/>
      </c>
      <c r="D65" s="63" t="s">
        <v>215</v>
      </c>
      <c r="E65" s="301" t="str">
        <f>IFERROR(INDEX('M04-S01'!$AW$16:$AW$198,2*(ROWS($E$63:E65)-1)+1),"")</f>
        <v/>
      </c>
      <c r="F65" s="278"/>
      <c r="G65" s="254"/>
      <c r="H65" s="107">
        <f>INDEX('M04-S01'!$AD$16:$AD$198,2*(ROWS($H$63:H65)-1)+1)</f>
        <v>0</v>
      </c>
      <c r="I65" s="107">
        <f>INDEX('M04-S01'!$AF$16:$AF$198,2*(ROWS($I$63:I65)-1)+1)</f>
        <v>0</v>
      </c>
      <c r="J65" s="107" t="str">
        <f>INDEX('M04-S01'!$AH$16:$AH$198,2*(ROWS($J$63:J65)-1)+1)</f>
        <v/>
      </c>
      <c r="K65" s="63" t="str">
        <f>IFERROR(INDEX(CMEHVAC[Cost Basis],MATCH(INDEX('M04-S01'!$F$16:$F$198,2*(ROWS($K$63:K65)-1)+1),CMEHVAC[Proj Desc 1],0)),"")</f>
        <v/>
      </c>
      <c r="L65" s="277">
        <f>IF(ISNUMBER(INDEX('M04-S01'!$AK$16:$AK$198,2*(ROWS($O$63:O65)-1)+1)),INDEX('M04-S01'!$Z$16:$Z$198,2*(ROWS($L$63:L65)-1)+1),0)</f>
        <v>0</v>
      </c>
      <c r="M65" s="277">
        <f>IFERROR(IF(ISNUMBER(INDEX('M04-S01'!$AK$16:$AK$198,2*(ROWS($O$63:O65)-1)+1)),INDEX('M04-S01'!$AO$16:$AO$198,2*(ROWS($M$63:M65)-1)+1),0),"")</f>
        <v>0</v>
      </c>
      <c r="N65" s="335">
        <f>IFERROR(IF(ISNUMBER(INDEX('M04-S01'!$AK$16:$AK$198,2*(ROWS($O$63:O65)-1)+1)),INDEX('M04-S01'!$AV$16:$AV$198,2*(ROWS($N$63:N65)-1)+1),0),"")</f>
        <v>0</v>
      </c>
      <c r="O65" s="107">
        <f>IF(ISNUMBER(INDEX('M04-S01'!$AK$16:$AK$198,2*(ROWS($O$63:O65)-1)+1)),INDEX('M04-S01'!$AK$16:$AK$198,2*(ROWS($O$63:O65)-1)+1),0)</f>
        <v>0</v>
      </c>
      <c r="P65" s="277" t="str">
        <f>IFERROR(IF(NOT(ISNUMBER(INDEX('M04-S01'!$AK$16:$AK$198,2*(ROWS($O$63:O65)-1)+1))),INDEX('M04-S01'!$AO$16:$AO$198,2*(ROWS($O$63:O65)-1)+1),0),"")</f>
        <v/>
      </c>
      <c r="Q65" s="335" t="str">
        <f>IFERROR(IF(NOT(ISNUMBER(INDEX('M04-S01'!$AK$16:$AK$198,2*(ROWS($O$63:O65)-1)+1))),INDEX('M04-S01'!$AV$16:$AV$198,2*(ROWS($O$63:O65)-1)+1),0),"")</f>
        <v/>
      </c>
      <c r="R65" s="63" t="str">
        <f>IFERROR(IF(NOT(ISNUMBER(INDEX('M04-S01'!$AK$16:$AK$198,2*(ROWS($O$63:O65)-1)+1))),INDEX(SPILLOVER[Spillover Reason],MATCH(INDEX('M04-S01'!$BC$16:$BC$198,2*(ROWS($O$63:O65)-1)+1),SPILLOVER[Spillover Text],0)),""),"")</f>
        <v>Not Eligible</v>
      </c>
      <c r="S65" s="283"/>
      <c r="T65" s="283"/>
      <c r="U65" s="277">
        <f>INDEX('M04-S01'!$B$16:$B$198,2*(ROWS($U$63:U65)-1)+1)</f>
        <v>3</v>
      </c>
      <c r="V65" s="254"/>
      <c r="W65" s="104">
        <f>INDEX('M04-S01'!$F$16:$F$198,2*(ROWS($W$63:W65)-1)+1)</f>
        <v>0</v>
      </c>
      <c r="X65" s="63">
        <f>INDEX('M04-S01'!$M$16:$M$198,2*(ROWS($X$63:X65)-1)+1)</f>
        <v>0</v>
      </c>
      <c r="Y65" s="63">
        <f>INDEX('M04-S01'!$U$16:$U$198,2*(ROWS($Y$63:Y65)-1)+1)</f>
        <v>0</v>
      </c>
      <c r="Z65" s="254"/>
      <c r="AA65" s="254"/>
      <c r="AB65" s="254"/>
      <c r="AC65" s="254"/>
      <c r="AD65" s="254"/>
      <c r="AE65" s="277">
        <f>IF(NOT(ISNUMBER(INDEX('M04-S01'!$AK$16:$AK$198,2*(ROWS($O$63:O65)-1)+1))),INDEX('M04-S01'!$Z$16:$Z$198,2*(ROWS($L$63:L65)-1)+1),0)</f>
        <v>0</v>
      </c>
      <c r="AF65" s="277">
        <f>INDEX('M04-S01'!$S$16:$S$198,2*(ROWS($AF$63:AF65)-1)+1)</f>
        <v>0</v>
      </c>
      <c r="AG65" s="277">
        <f>INDEX('M04-S01'!$AB$16:$AB$198,2*(ROWS($AG$63:AG65)-1)+1)</f>
        <v>0</v>
      </c>
      <c r="AH65" s="277" t="str">
        <f t="shared" si="36"/>
        <v/>
      </c>
      <c r="AI65" s="277" t="str">
        <f t="shared" si="37"/>
        <v/>
      </c>
      <c r="AJ65" s="107" t="str">
        <f t="shared" si="14"/>
        <v/>
      </c>
      <c r="AK65" s="107" t="str">
        <f t="shared" si="15"/>
        <v/>
      </c>
      <c r="AL65" s="107" t="str">
        <f t="shared" si="16"/>
        <v/>
      </c>
      <c r="AM65" s="107" t="str">
        <f>INDEX('M04-S01'!$AU$16:$AU$198,2*(ROWS($AM$63:AM65)-1)+1)</f>
        <v/>
      </c>
      <c r="AN65" s="107" t="str">
        <f>INDEX('M04-S01'!$BB$16:$BB$198,2*(ROWS($AN$63:AN65)-1)+1)</f>
        <v/>
      </c>
      <c r="AO65" s="277">
        <f>INDEX('M04-S01'!$Q$16:$Q$198,2*(ROWS($AO$63:AO65)-1)+1)</f>
        <v>0</v>
      </c>
      <c r="AP65" s="278"/>
      <c r="AQ65" s="278"/>
    </row>
    <row r="66" spans="1:43" x14ac:dyDescent="0.25">
      <c r="A66" s="118">
        <f t="shared" si="33"/>
        <v>0</v>
      </c>
      <c r="B66" s="118" t="str">
        <f t="shared" si="34"/>
        <v/>
      </c>
      <c r="C66" s="118" t="str">
        <f>IF(J66&gt;0,INDEX('M04-S01'!$AY$16:$AY$198,2*(ROWS($C$63:C66)-1)+1),"")</f>
        <v/>
      </c>
      <c r="D66" s="63" t="s">
        <v>215</v>
      </c>
      <c r="E66" s="301" t="str">
        <f>IFERROR(INDEX('M04-S01'!$AW$16:$AW$198,2*(ROWS($E$63:E66)-1)+1),"")</f>
        <v/>
      </c>
      <c r="F66" s="278"/>
      <c r="G66" s="254"/>
      <c r="H66" s="107">
        <f>INDEX('M04-S01'!$AD$16:$AD$198,2*(ROWS($H$63:H66)-1)+1)</f>
        <v>0</v>
      </c>
      <c r="I66" s="107">
        <f>INDEX('M04-S01'!$AF$16:$AF$198,2*(ROWS($I$63:I66)-1)+1)</f>
        <v>0</v>
      </c>
      <c r="J66" s="107" t="str">
        <f>INDEX('M04-S01'!$AH$16:$AH$198,2*(ROWS($J$63:J66)-1)+1)</f>
        <v/>
      </c>
      <c r="K66" s="63" t="str">
        <f>IFERROR(INDEX(CMEHVAC[Cost Basis],MATCH(INDEX('M04-S01'!$F$16:$F$198,2*(ROWS($K$63:K66)-1)+1),CMEHVAC[Proj Desc 1],0)),"")</f>
        <v/>
      </c>
      <c r="L66" s="277">
        <f>IF(ISNUMBER(INDEX('M04-S01'!$AK$16:$AK$198,2*(ROWS($O$63:O66)-1)+1)),INDEX('M04-S01'!$Z$16:$Z$198,2*(ROWS($L$63:L66)-1)+1),0)</f>
        <v>0</v>
      </c>
      <c r="M66" s="277">
        <f>IFERROR(IF(ISNUMBER(INDEX('M04-S01'!$AK$16:$AK$198,2*(ROWS($O$63:O66)-1)+1)),INDEX('M04-S01'!$AO$16:$AO$198,2*(ROWS($M$63:M66)-1)+1),0),"")</f>
        <v>0</v>
      </c>
      <c r="N66" s="335">
        <f>IFERROR(IF(ISNUMBER(INDEX('M04-S01'!$AK$16:$AK$198,2*(ROWS($O$63:O66)-1)+1)),INDEX('M04-S01'!$AV$16:$AV$198,2*(ROWS($N$63:N66)-1)+1),0),"")</f>
        <v>0</v>
      </c>
      <c r="O66" s="107">
        <f>IF(ISNUMBER(INDEX('M04-S01'!$AK$16:$AK$198,2*(ROWS($O$63:O66)-1)+1)),INDEX('M04-S01'!$AK$16:$AK$198,2*(ROWS($O$63:O66)-1)+1),0)</f>
        <v>0</v>
      </c>
      <c r="P66" s="277" t="str">
        <f>IFERROR(IF(NOT(ISNUMBER(INDEX('M04-S01'!$AK$16:$AK$198,2*(ROWS($O$63:O66)-1)+1))),INDEX('M04-S01'!$AO$16:$AO$198,2*(ROWS($O$63:O66)-1)+1),0),"")</f>
        <v/>
      </c>
      <c r="Q66" s="335" t="str">
        <f>IFERROR(IF(NOT(ISNUMBER(INDEX('M04-S01'!$AK$16:$AK$198,2*(ROWS($O$63:O66)-1)+1))),INDEX('M04-S01'!$AV$16:$AV$198,2*(ROWS($O$63:O66)-1)+1),0),"")</f>
        <v/>
      </c>
      <c r="R66" s="63" t="str">
        <f>IFERROR(IF(NOT(ISNUMBER(INDEX('M04-S01'!$AK$16:$AK$198,2*(ROWS($O$63:O66)-1)+1))),INDEX(SPILLOVER[Spillover Reason],MATCH(INDEX('M04-S01'!$BC$16:$BC$198,2*(ROWS($O$63:O66)-1)+1),SPILLOVER[Spillover Text],0)),""),"")</f>
        <v>Not Eligible</v>
      </c>
      <c r="S66" s="283"/>
      <c r="T66" s="283"/>
      <c r="U66" s="277">
        <f>INDEX('M04-S01'!$B$16:$B$198,2*(ROWS($U$63:U66)-1)+1)</f>
        <v>4</v>
      </c>
      <c r="V66" s="254"/>
      <c r="W66" s="104">
        <f>INDEX('M04-S01'!$F$16:$F$198,2*(ROWS($W$63:W66)-1)+1)</f>
        <v>0</v>
      </c>
      <c r="X66" s="63">
        <f>INDEX('M04-S01'!$M$16:$M$198,2*(ROWS($X$63:X66)-1)+1)</f>
        <v>0</v>
      </c>
      <c r="Y66" s="63">
        <f>INDEX('M04-S01'!$U$16:$U$198,2*(ROWS($Y$63:Y66)-1)+1)</f>
        <v>0</v>
      </c>
      <c r="Z66" s="254"/>
      <c r="AA66" s="254"/>
      <c r="AB66" s="254"/>
      <c r="AC66" s="254"/>
      <c r="AD66" s="254"/>
      <c r="AE66" s="277">
        <f>IF(NOT(ISNUMBER(INDEX('M04-S01'!$AK$16:$AK$198,2*(ROWS($O$63:O66)-1)+1))),INDEX('M04-S01'!$Z$16:$Z$198,2*(ROWS($L$63:L66)-1)+1),0)</f>
        <v>0</v>
      </c>
      <c r="AF66" s="277">
        <f>INDEX('M04-S01'!$S$16:$S$198,2*(ROWS($AF$63:AF66)-1)+1)</f>
        <v>0</v>
      </c>
      <c r="AG66" s="277">
        <f>INDEX('M04-S01'!$AB$16:$AB$198,2*(ROWS($AG$63:AG66)-1)+1)</f>
        <v>0</v>
      </c>
      <c r="AH66" s="277" t="str">
        <f t="shared" si="36"/>
        <v/>
      </c>
      <c r="AI66" s="277" t="str">
        <f t="shared" si="37"/>
        <v/>
      </c>
      <c r="AJ66" s="107" t="str">
        <f t="shared" si="14"/>
        <v/>
      </c>
      <c r="AK66" s="107" t="str">
        <f t="shared" si="15"/>
        <v/>
      </c>
      <c r="AL66" s="107" t="str">
        <f t="shared" si="16"/>
        <v/>
      </c>
      <c r="AM66" s="107" t="str">
        <f>INDEX('M04-S01'!$AU$16:$AU$198,2*(ROWS($AM$63:AM66)-1)+1)</f>
        <v/>
      </c>
      <c r="AN66" s="107" t="str">
        <f>INDEX('M04-S01'!$BB$16:$BB$198,2*(ROWS($AN$63:AN66)-1)+1)</f>
        <v/>
      </c>
      <c r="AO66" s="277">
        <f>INDEX('M04-S01'!$Q$16:$Q$198,2*(ROWS($AO$63:AO66)-1)+1)</f>
        <v>0</v>
      </c>
      <c r="AP66" s="278"/>
      <c r="AQ66" s="278"/>
    </row>
    <row r="67" spans="1:43" x14ac:dyDescent="0.25">
      <c r="A67" s="118">
        <f t="shared" si="33"/>
        <v>0</v>
      </c>
      <c r="B67" s="118" t="str">
        <f t="shared" ref="B67:B77" si="38">IF(C67="","",CONCATENATE(ROW(),"-",C67))</f>
        <v/>
      </c>
      <c r="C67" s="118" t="str">
        <f>IF(J67&gt;0,INDEX('M04-S01'!$AY$16:$AY$198,2*(ROWS($C$63:C67)-1)+1),"")</f>
        <v/>
      </c>
      <c r="D67" s="63" t="s">
        <v>215</v>
      </c>
      <c r="E67" s="301" t="str">
        <f>IFERROR(INDEX('M04-S01'!$AW$16:$AW$198,2*(ROWS($E$63:E67)-1)+1),"")</f>
        <v/>
      </c>
      <c r="F67" s="278"/>
      <c r="G67" s="254"/>
      <c r="H67" s="107">
        <f>INDEX('M04-S01'!$AD$16:$AD$198,2*(ROWS($H$63:H67)-1)+1)</f>
        <v>0</v>
      </c>
      <c r="I67" s="107">
        <f>INDEX('M04-S01'!$AF$16:$AF$198,2*(ROWS($I$63:I67)-1)+1)</f>
        <v>0</v>
      </c>
      <c r="J67" s="107" t="str">
        <f>INDEX('M04-S01'!$AH$16:$AH$198,2*(ROWS($J$63:J67)-1)+1)</f>
        <v/>
      </c>
      <c r="K67" s="63" t="str">
        <f>IFERROR(INDEX(CMEHVAC[Cost Basis],MATCH(INDEX('M04-S01'!$F$16:$F$198,2*(ROWS($K$63:K67)-1)+1),CMEHVAC[Proj Desc 1],0)),"")</f>
        <v/>
      </c>
      <c r="L67" s="277">
        <f>IF(ISNUMBER(INDEX('M04-S01'!$AK$16:$AK$198,2*(ROWS($O$63:O67)-1)+1)),INDEX('M04-S01'!$Z$16:$Z$198,2*(ROWS($L$63:L67)-1)+1),0)</f>
        <v>0</v>
      </c>
      <c r="M67" s="277">
        <f>IFERROR(IF(ISNUMBER(INDEX('M04-S01'!$AK$16:$AK$198,2*(ROWS($O$63:O67)-1)+1)),INDEX('M04-S01'!$AO$16:$AO$198,2*(ROWS($M$63:M67)-1)+1),0),"")</f>
        <v>0</v>
      </c>
      <c r="N67" s="335">
        <f>IFERROR(IF(ISNUMBER(INDEX('M04-S01'!$AK$16:$AK$198,2*(ROWS($O$63:O67)-1)+1)),INDEX('M04-S01'!$AV$16:$AV$198,2*(ROWS($N$63:N67)-1)+1),0),"")</f>
        <v>0</v>
      </c>
      <c r="O67" s="107">
        <f>IF(ISNUMBER(INDEX('M04-S01'!$AK$16:$AK$198,2*(ROWS($O$63:O67)-1)+1)),INDEX('M04-S01'!$AK$16:$AK$198,2*(ROWS($O$63:O67)-1)+1),0)</f>
        <v>0</v>
      </c>
      <c r="P67" s="277" t="str">
        <f>IFERROR(IF(NOT(ISNUMBER(INDEX('M04-S01'!$AK$16:$AK$198,2*(ROWS($O$63:O67)-1)+1))),INDEX('M04-S01'!$AO$16:$AO$198,2*(ROWS($O$63:O67)-1)+1),0),"")</f>
        <v/>
      </c>
      <c r="Q67" s="335" t="str">
        <f>IFERROR(IF(NOT(ISNUMBER(INDEX('M04-S01'!$AK$16:$AK$198,2*(ROWS($O$63:O67)-1)+1))),INDEX('M04-S01'!$AV$16:$AV$198,2*(ROWS($O$63:O67)-1)+1),0),"")</f>
        <v/>
      </c>
      <c r="R67" s="63" t="str">
        <f>IFERROR(IF(NOT(ISNUMBER(INDEX('M04-S01'!$AK$16:$AK$198,2*(ROWS($O$63:O67)-1)+1))),INDEX(SPILLOVER[Spillover Reason],MATCH(INDEX('M04-S01'!$BC$16:$BC$198,2*(ROWS($O$63:O67)-1)+1),SPILLOVER[Spillover Text],0)),""),"")</f>
        <v>Not Eligible</v>
      </c>
      <c r="S67" s="283"/>
      <c r="T67" s="283"/>
      <c r="U67" s="277">
        <f>INDEX('M04-S01'!$B$16:$B$198,2*(ROWS($U$63:U67)-1)+1)</f>
        <v>5</v>
      </c>
      <c r="V67" s="254"/>
      <c r="W67" s="104">
        <f>INDEX('M04-S01'!$F$16:$F$198,2*(ROWS($W$63:W67)-1)+1)</f>
        <v>0</v>
      </c>
      <c r="X67" s="63">
        <f>INDEX('M04-S01'!$M$16:$M$198,2*(ROWS($X$63:X67)-1)+1)</f>
        <v>0</v>
      </c>
      <c r="Y67" s="63">
        <f>INDEX('M04-S01'!$U$16:$U$198,2*(ROWS($Y$63:Y67)-1)+1)</f>
        <v>0</v>
      </c>
      <c r="Z67" s="254"/>
      <c r="AA67" s="254"/>
      <c r="AB67" s="254"/>
      <c r="AC67" s="254"/>
      <c r="AD67" s="254"/>
      <c r="AE67" s="277">
        <f>IF(NOT(ISNUMBER(INDEX('M04-S01'!$AK$16:$AK$198,2*(ROWS($O$63:O67)-1)+1))),INDEX('M04-S01'!$Z$16:$Z$198,2*(ROWS($L$63:L67)-1)+1),0)</f>
        <v>0</v>
      </c>
      <c r="AF67" s="277">
        <f>INDEX('M04-S01'!$S$16:$S$198,2*(ROWS($AF$63:AF67)-1)+1)</f>
        <v>0</v>
      </c>
      <c r="AG67" s="277">
        <f>INDEX('M04-S01'!$AB$16:$AB$198,2*(ROWS($AG$63:AG67)-1)+1)</f>
        <v>0</v>
      </c>
      <c r="AH67" s="277" t="str">
        <f t="shared" si="36"/>
        <v/>
      </c>
      <c r="AI67" s="277" t="str">
        <f t="shared" si="37"/>
        <v/>
      </c>
      <c r="AJ67" s="107" t="str">
        <f t="shared" si="14"/>
        <v/>
      </c>
      <c r="AK67" s="107" t="str">
        <f t="shared" si="15"/>
        <v/>
      </c>
      <c r="AL67" s="107" t="str">
        <f t="shared" si="16"/>
        <v/>
      </c>
      <c r="AM67" s="107" t="str">
        <f>INDEX('M04-S01'!$AU$16:$AU$198,2*(ROWS($AM$63:AM67)-1)+1)</f>
        <v/>
      </c>
      <c r="AN67" s="107" t="str">
        <f>INDEX('M04-S01'!$BB$16:$BB$198,2*(ROWS($AN$63:AN67)-1)+1)</f>
        <v/>
      </c>
      <c r="AO67" s="277">
        <f>INDEX('M04-S01'!$Q$16:$Q$198,2*(ROWS($AO$63:AO67)-1)+1)</f>
        <v>0</v>
      </c>
      <c r="AP67" s="278"/>
      <c r="AQ67" s="278"/>
    </row>
    <row r="68" spans="1:43" x14ac:dyDescent="0.25">
      <c r="A68" s="118">
        <f t="shared" si="33"/>
        <v>0</v>
      </c>
      <c r="B68" s="118" t="str">
        <f t="shared" si="38"/>
        <v/>
      </c>
      <c r="C68" s="118" t="str">
        <f>IF(J68&gt;0,INDEX('M04-S01'!$AY$16:$AY$198,2*(ROWS($C$63:C68)-1)+1),"")</f>
        <v/>
      </c>
      <c r="D68" s="63" t="s">
        <v>215</v>
      </c>
      <c r="E68" s="301" t="str">
        <f>IFERROR(INDEX('M04-S01'!$AW$16:$AW$198,2*(ROWS($E$63:E68)-1)+1),"")</f>
        <v/>
      </c>
      <c r="F68" s="278"/>
      <c r="G68" s="254"/>
      <c r="H68" s="107">
        <f>INDEX('M04-S01'!$AD$16:$AD$198,2*(ROWS($H$63:H68)-1)+1)</f>
        <v>0</v>
      </c>
      <c r="I68" s="107">
        <f>INDEX('M04-S01'!$AF$16:$AF$198,2*(ROWS($I$63:I68)-1)+1)</f>
        <v>0</v>
      </c>
      <c r="J68" s="107" t="str">
        <f>INDEX('M04-S01'!$AH$16:$AH$198,2*(ROWS($J$63:J68)-1)+1)</f>
        <v/>
      </c>
      <c r="K68" s="63" t="str">
        <f>IFERROR(INDEX(CMEHVAC[Cost Basis],MATCH(INDEX('M04-S01'!$F$16:$F$198,2*(ROWS($K$63:K68)-1)+1),CMEHVAC[Proj Desc 1],0)),"")</f>
        <v/>
      </c>
      <c r="L68" s="277">
        <f>IF(ISNUMBER(INDEX('M04-S01'!$AK$16:$AK$198,2*(ROWS($O$63:O68)-1)+1)),INDEX('M04-S01'!$Z$16:$Z$198,2*(ROWS($L$63:L68)-1)+1),0)</f>
        <v>0</v>
      </c>
      <c r="M68" s="277">
        <f>IFERROR(IF(ISNUMBER(INDEX('M04-S01'!$AK$16:$AK$198,2*(ROWS($O$63:O68)-1)+1)),INDEX('M04-S01'!$AO$16:$AO$198,2*(ROWS($M$63:M68)-1)+1),0),"")</f>
        <v>0</v>
      </c>
      <c r="N68" s="335">
        <f>IFERROR(IF(ISNUMBER(INDEX('M04-S01'!$AK$16:$AK$198,2*(ROWS($O$63:O68)-1)+1)),INDEX('M04-S01'!$AV$16:$AV$198,2*(ROWS($N$63:N68)-1)+1),0),"")</f>
        <v>0</v>
      </c>
      <c r="O68" s="107">
        <f>IF(ISNUMBER(INDEX('M04-S01'!$AK$16:$AK$198,2*(ROWS($O$63:O68)-1)+1)),INDEX('M04-S01'!$AK$16:$AK$198,2*(ROWS($O$63:O68)-1)+1),0)</f>
        <v>0</v>
      </c>
      <c r="P68" s="277" t="str">
        <f>IFERROR(IF(NOT(ISNUMBER(INDEX('M04-S01'!$AK$16:$AK$198,2*(ROWS($O$63:O68)-1)+1))),INDEX('M04-S01'!$AO$16:$AO$198,2*(ROWS($O$63:O68)-1)+1),0),"")</f>
        <v/>
      </c>
      <c r="Q68" s="335" t="str">
        <f>IFERROR(IF(NOT(ISNUMBER(INDEX('M04-S01'!$AK$16:$AK$198,2*(ROWS($O$63:O68)-1)+1))),INDEX('M04-S01'!$AV$16:$AV$198,2*(ROWS($O$63:O68)-1)+1),0),"")</f>
        <v/>
      </c>
      <c r="R68" s="63" t="str">
        <f>IFERROR(IF(NOT(ISNUMBER(INDEX('M04-S01'!$AK$16:$AK$198,2*(ROWS($O$63:O68)-1)+1))),INDEX(SPILLOVER[Spillover Reason],MATCH(INDEX('M04-S01'!$BC$16:$BC$198,2*(ROWS($O$63:O68)-1)+1),SPILLOVER[Spillover Text],0)),""),"")</f>
        <v>Not Eligible</v>
      </c>
      <c r="S68" s="283"/>
      <c r="T68" s="283"/>
      <c r="U68" s="277">
        <f>INDEX('M04-S01'!$B$16:$B$198,2*(ROWS($U$63:U68)-1)+1)</f>
        <v>6</v>
      </c>
      <c r="V68" s="254"/>
      <c r="W68" s="104">
        <f>INDEX('M04-S01'!$F$16:$F$198,2*(ROWS($W$63:W68)-1)+1)</f>
        <v>0</v>
      </c>
      <c r="X68" s="63">
        <f>INDEX('M04-S01'!$M$16:$M$198,2*(ROWS($X$63:X68)-1)+1)</f>
        <v>0</v>
      </c>
      <c r="Y68" s="63">
        <f>INDEX('M04-S01'!$U$16:$U$198,2*(ROWS($Y$63:Y68)-1)+1)</f>
        <v>0</v>
      </c>
      <c r="Z68" s="254"/>
      <c r="AA68" s="254"/>
      <c r="AB68" s="254"/>
      <c r="AC68" s="254"/>
      <c r="AD68" s="254"/>
      <c r="AE68" s="277">
        <f>IF(NOT(ISNUMBER(INDEX('M04-S01'!$AK$16:$AK$198,2*(ROWS($O$63:O68)-1)+1))),INDEX('M04-S01'!$Z$16:$Z$198,2*(ROWS($L$63:L68)-1)+1),0)</f>
        <v>0</v>
      </c>
      <c r="AF68" s="277">
        <f>INDEX('M04-S01'!$S$16:$S$198,2*(ROWS($AF$63:AF68)-1)+1)</f>
        <v>0</v>
      </c>
      <c r="AG68" s="277">
        <f>INDEX('M04-S01'!$AB$16:$AB$198,2*(ROWS($AG$63:AG68)-1)+1)</f>
        <v>0</v>
      </c>
      <c r="AH68" s="277" t="str">
        <f t="shared" si="36"/>
        <v/>
      </c>
      <c r="AI68" s="277" t="str">
        <f t="shared" si="37"/>
        <v/>
      </c>
      <c r="AJ68" s="107" t="str">
        <f t="shared" si="14"/>
        <v/>
      </c>
      <c r="AK68" s="107" t="str">
        <f t="shared" si="15"/>
        <v/>
      </c>
      <c r="AL68" s="107" t="str">
        <f t="shared" si="16"/>
        <v/>
      </c>
      <c r="AM68" s="107" t="str">
        <f>INDEX('M04-S01'!$AU$16:$AU$198,2*(ROWS($AM$63:AM68)-1)+1)</f>
        <v/>
      </c>
      <c r="AN68" s="107" t="str">
        <f>INDEX('M04-S01'!$BB$16:$BB$198,2*(ROWS($AN$63:AN68)-1)+1)</f>
        <v/>
      </c>
      <c r="AO68" s="277">
        <f>INDEX('M04-S01'!$Q$16:$Q$198,2*(ROWS($AO$63:AO68)-1)+1)</f>
        <v>0</v>
      </c>
      <c r="AP68" s="278"/>
      <c r="AQ68" s="278"/>
    </row>
    <row r="69" spans="1:43" x14ac:dyDescent="0.25">
      <c r="A69" s="118">
        <f t="shared" si="33"/>
        <v>0</v>
      </c>
      <c r="B69" s="118" t="str">
        <f t="shared" si="38"/>
        <v/>
      </c>
      <c r="C69" s="118" t="str">
        <f>IF(J69&gt;0,INDEX('M04-S01'!$AY$16:$AY$198,2*(ROWS($C$63:C69)-1)+1),"")</f>
        <v/>
      </c>
      <c r="D69" s="63" t="s">
        <v>215</v>
      </c>
      <c r="E69" s="301" t="str">
        <f>IFERROR(INDEX('M04-S01'!$AW$16:$AW$198,2*(ROWS($E$63:E69)-1)+1),"")</f>
        <v/>
      </c>
      <c r="F69" s="278"/>
      <c r="G69" s="254"/>
      <c r="H69" s="107">
        <f>INDEX('M04-S01'!$AD$16:$AD$198,2*(ROWS($H$63:H69)-1)+1)</f>
        <v>0</v>
      </c>
      <c r="I69" s="107">
        <f>INDEX('M04-S01'!$AF$16:$AF$198,2*(ROWS($I$63:I69)-1)+1)</f>
        <v>0</v>
      </c>
      <c r="J69" s="107" t="str">
        <f>INDEX('M04-S01'!$AH$16:$AH$198,2*(ROWS($J$63:J69)-1)+1)</f>
        <v/>
      </c>
      <c r="K69" s="63" t="str">
        <f>IFERROR(INDEX(CMEHVAC[Cost Basis],MATCH(INDEX('M04-S01'!$F$16:$F$198,2*(ROWS($K$63:K69)-1)+1),CMEHVAC[Proj Desc 1],0)),"")</f>
        <v/>
      </c>
      <c r="L69" s="277">
        <f>IF(ISNUMBER(INDEX('M04-S01'!$AK$16:$AK$198,2*(ROWS($O$63:O69)-1)+1)),INDEX('M04-S01'!$Z$16:$Z$198,2*(ROWS($L$63:L69)-1)+1),0)</f>
        <v>0</v>
      </c>
      <c r="M69" s="277">
        <f>IFERROR(IF(ISNUMBER(INDEX('M04-S01'!$AK$16:$AK$198,2*(ROWS($O$63:O69)-1)+1)),INDEX('M04-S01'!$AO$16:$AO$198,2*(ROWS($M$63:M69)-1)+1),0),"")</f>
        <v>0</v>
      </c>
      <c r="N69" s="335">
        <f>IFERROR(IF(ISNUMBER(INDEX('M04-S01'!$AK$16:$AK$198,2*(ROWS($O$63:O69)-1)+1)),INDEX('M04-S01'!$AV$16:$AV$198,2*(ROWS($N$63:N69)-1)+1),0),"")</f>
        <v>0</v>
      </c>
      <c r="O69" s="107">
        <f>IF(ISNUMBER(INDEX('M04-S01'!$AK$16:$AK$198,2*(ROWS($O$63:O69)-1)+1)),INDEX('M04-S01'!$AK$16:$AK$198,2*(ROWS($O$63:O69)-1)+1),0)</f>
        <v>0</v>
      </c>
      <c r="P69" s="277" t="str">
        <f>IFERROR(IF(NOT(ISNUMBER(INDEX('M04-S01'!$AK$16:$AK$198,2*(ROWS($O$63:O69)-1)+1))),INDEX('M04-S01'!$AO$16:$AO$198,2*(ROWS($O$63:O69)-1)+1),0),"")</f>
        <v/>
      </c>
      <c r="Q69" s="335" t="str">
        <f>IFERROR(IF(NOT(ISNUMBER(INDEX('M04-S01'!$AK$16:$AK$198,2*(ROWS($O$63:O69)-1)+1))),INDEX('M04-S01'!$AV$16:$AV$198,2*(ROWS($O$63:O69)-1)+1),0),"")</f>
        <v/>
      </c>
      <c r="R69" s="63" t="str">
        <f>IFERROR(IF(NOT(ISNUMBER(INDEX('M04-S01'!$AK$16:$AK$198,2*(ROWS($O$63:O69)-1)+1))),INDEX(SPILLOVER[Spillover Reason],MATCH(INDEX('M04-S01'!$BC$16:$BC$198,2*(ROWS($O$63:O69)-1)+1),SPILLOVER[Spillover Text],0)),""),"")</f>
        <v>Not Eligible</v>
      </c>
      <c r="S69" s="283"/>
      <c r="T69" s="283"/>
      <c r="U69" s="277">
        <f>INDEX('M04-S01'!$B$16:$B$198,2*(ROWS($U$63:U69)-1)+1)</f>
        <v>7</v>
      </c>
      <c r="V69" s="254"/>
      <c r="W69" s="104">
        <f>INDEX('M04-S01'!$F$16:$F$198,2*(ROWS($W$63:W69)-1)+1)</f>
        <v>0</v>
      </c>
      <c r="X69" s="63">
        <f>INDEX('M04-S01'!$M$16:$M$198,2*(ROWS($X$63:X69)-1)+1)</f>
        <v>0</v>
      </c>
      <c r="Y69" s="63">
        <f>INDEX('M04-S01'!$U$16:$U$198,2*(ROWS($Y$63:Y69)-1)+1)</f>
        <v>0</v>
      </c>
      <c r="Z69" s="254"/>
      <c r="AA69" s="254"/>
      <c r="AB69" s="254"/>
      <c r="AC69" s="254"/>
      <c r="AD69" s="254"/>
      <c r="AE69" s="277">
        <f>IF(NOT(ISNUMBER(INDEX('M04-S01'!$AK$16:$AK$198,2*(ROWS($O$63:O69)-1)+1))),INDEX('M04-S01'!$Z$16:$Z$198,2*(ROWS($L$63:L69)-1)+1),0)</f>
        <v>0</v>
      </c>
      <c r="AF69" s="277">
        <f>INDEX('M04-S01'!$S$16:$S$198,2*(ROWS($AF$63:AF69)-1)+1)</f>
        <v>0</v>
      </c>
      <c r="AG69" s="277">
        <f>INDEX('M04-S01'!$AB$16:$AB$198,2*(ROWS($AG$63:AG69)-1)+1)</f>
        <v>0</v>
      </c>
      <c r="AH69" s="277" t="str">
        <f t="shared" si="36"/>
        <v/>
      </c>
      <c r="AI69" s="277" t="str">
        <f t="shared" si="37"/>
        <v/>
      </c>
      <c r="AJ69" s="107" t="str">
        <f t="shared" si="14"/>
        <v/>
      </c>
      <c r="AK69" s="107" t="str">
        <f t="shared" si="15"/>
        <v/>
      </c>
      <c r="AL69" s="107" t="str">
        <f t="shared" si="16"/>
        <v/>
      </c>
      <c r="AM69" s="107" t="str">
        <f>INDEX('M04-S01'!$AU$16:$AU$198,2*(ROWS($AM$63:AM69)-1)+1)</f>
        <v/>
      </c>
      <c r="AN69" s="107" t="str">
        <f>INDEX('M04-S01'!$BB$16:$BB$198,2*(ROWS($AN$63:AN69)-1)+1)</f>
        <v/>
      </c>
      <c r="AO69" s="277">
        <f>INDEX('M04-S01'!$Q$16:$Q$198,2*(ROWS($AO$63:AO69)-1)+1)</f>
        <v>0</v>
      </c>
      <c r="AP69" s="278"/>
      <c r="AQ69" s="278"/>
    </row>
    <row r="70" spans="1:43" x14ac:dyDescent="0.25">
      <c r="A70" s="118">
        <f t="shared" si="33"/>
        <v>0</v>
      </c>
      <c r="B70" s="118" t="str">
        <f t="shared" si="38"/>
        <v/>
      </c>
      <c r="C70" s="118" t="str">
        <f>IF(J70&gt;0,INDEX('M04-S01'!$AY$16:$AY$198,2*(ROWS($C$63:C70)-1)+1),"")</f>
        <v/>
      </c>
      <c r="D70" s="63" t="s">
        <v>215</v>
      </c>
      <c r="E70" s="301" t="str">
        <f>IFERROR(INDEX('M04-S01'!$AW$16:$AW$198,2*(ROWS($E$63:E70)-1)+1),"")</f>
        <v/>
      </c>
      <c r="F70" s="278"/>
      <c r="G70" s="254"/>
      <c r="H70" s="107">
        <f>INDEX('M04-S01'!$AD$16:$AD$198,2*(ROWS($H$63:H70)-1)+1)</f>
        <v>0</v>
      </c>
      <c r="I70" s="107">
        <f>INDEX('M04-S01'!$AF$16:$AF$198,2*(ROWS($I$63:I70)-1)+1)</f>
        <v>0</v>
      </c>
      <c r="J70" s="107" t="str">
        <f>INDEX('M04-S01'!$AH$16:$AH$198,2*(ROWS($J$63:J70)-1)+1)</f>
        <v/>
      </c>
      <c r="K70" s="63" t="str">
        <f>IFERROR(INDEX(CMEHVAC[Cost Basis],MATCH(INDEX('M04-S01'!$F$16:$F$198,2*(ROWS($K$63:K70)-1)+1),CMEHVAC[Proj Desc 1],0)),"")</f>
        <v/>
      </c>
      <c r="L70" s="277">
        <f>IF(ISNUMBER(INDEX('M04-S01'!$AK$16:$AK$198,2*(ROWS($O$63:O70)-1)+1)),INDEX('M04-S01'!$Z$16:$Z$198,2*(ROWS($L$63:L70)-1)+1),0)</f>
        <v>0</v>
      </c>
      <c r="M70" s="277">
        <f>IFERROR(IF(ISNUMBER(INDEX('M04-S01'!$AK$16:$AK$198,2*(ROWS($O$63:O70)-1)+1)),INDEX('M04-S01'!$AO$16:$AO$198,2*(ROWS($M$63:M70)-1)+1),0),"")</f>
        <v>0</v>
      </c>
      <c r="N70" s="335">
        <f>IFERROR(IF(ISNUMBER(INDEX('M04-S01'!$AK$16:$AK$198,2*(ROWS($O$63:O70)-1)+1)),INDEX('M04-S01'!$AV$16:$AV$198,2*(ROWS($N$63:N70)-1)+1),0),"")</f>
        <v>0</v>
      </c>
      <c r="O70" s="107">
        <f>IF(ISNUMBER(INDEX('M04-S01'!$AK$16:$AK$198,2*(ROWS($O$63:O70)-1)+1)),INDEX('M04-S01'!$AK$16:$AK$198,2*(ROWS($O$63:O70)-1)+1),0)</f>
        <v>0</v>
      </c>
      <c r="P70" s="277" t="str">
        <f>IFERROR(IF(NOT(ISNUMBER(INDEX('M04-S01'!$AK$16:$AK$198,2*(ROWS($O$63:O70)-1)+1))),INDEX('M04-S01'!$AO$16:$AO$198,2*(ROWS($O$63:O70)-1)+1),0),"")</f>
        <v/>
      </c>
      <c r="Q70" s="335" t="str">
        <f>IFERROR(IF(NOT(ISNUMBER(INDEX('M04-S01'!$AK$16:$AK$198,2*(ROWS($O$63:O70)-1)+1))),INDEX('M04-S01'!$AV$16:$AV$198,2*(ROWS($O$63:O70)-1)+1),0),"")</f>
        <v/>
      </c>
      <c r="R70" s="63" t="str">
        <f>IFERROR(IF(NOT(ISNUMBER(INDEX('M04-S01'!$AK$16:$AK$198,2*(ROWS($O$63:O70)-1)+1))),INDEX(SPILLOVER[Spillover Reason],MATCH(INDEX('M04-S01'!$BC$16:$BC$198,2*(ROWS($O$63:O70)-1)+1),SPILLOVER[Spillover Text],0)),""),"")</f>
        <v>Not Eligible</v>
      </c>
      <c r="S70" s="283"/>
      <c r="T70" s="283"/>
      <c r="U70" s="277">
        <f>INDEX('M04-S01'!$B$16:$B$198,2*(ROWS($U$63:U70)-1)+1)</f>
        <v>8</v>
      </c>
      <c r="V70" s="254"/>
      <c r="W70" s="104">
        <f>INDEX('M04-S01'!$F$16:$F$198,2*(ROWS($W$63:W70)-1)+1)</f>
        <v>0</v>
      </c>
      <c r="X70" s="63">
        <f>INDEX('M04-S01'!$M$16:$M$198,2*(ROWS($X$63:X70)-1)+1)</f>
        <v>0</v>
      </c>
      <c r="Y70" s="63">
        <f>INDEX('M04-S01'!$U$16:$U$198,2*(ROWS($Y$63:Y70)-1)+1)</f>
        <v>0</v>
      </c>
      <c r="Z70" s="254"/>
      <c r="AA70" s="254"/>
      <c r="AB70" s="254"/>
      <c r="AC70" s="254"/>
      <c r="AD70" s="254"/>
      <c r="AE70" s="277">
        <f>IF(NOT(ISNUMBER(INDEX('M04-S01'!$AK$16:$AK$198,2*(ROWS($O$63:O70)-1)+1))),INDEX('M04-S01'!$Z$16:$Z$198,2*(ROWS($L$63:L70)-1)+1),0)</f>
        <v>0</v>
      </c>
      <c r="AF70" s="277">
        <f>INDEX('M04-S01'!$S$16:$S$198,2*(ROWS($AF$63:AF70)-1)+1)</f>
        <v>0</v>
      </c>
      <c r="AG70" s="277">
        <f>INDEX('M04-S01'!$AB$16:$AB$198,2*(ROWS($AG$63:AG70)-1)+1)</f>
        <v>0</v>
      </c>
      <c r="AH70" s="277" t="str">
        <f t="shared" si="36"/>
        <v/>
      </c>
      <c r="AI70" s="277" t="str">
        <f t="shared" si="37"/>
        <v/>
      </c>
      <c r="AJ70" s="107" t="str">
        <f t="shared" si="14"/>
        <v/>
      </c>
      <c r="AK70" s="107" t="str">
        <f t="shared" si="15"/>
        <v/>
      </c>
      <c r="AL70" s="107" t="str">
        <f t="shared" si="16"/>
        <v/>
      </c>
      <c r="AM70" s="107" t="str">
        <f>INDEX('M04-S01'!$AU$16:$AU$198,2*(ROWS($AM$63:AM70)-1)+1)</f>
        <v/>
      </c>
      <c r="AN70" s="107" t="str">
        <f>INDEX('M04-S01'!$BB$16:$BB$198,2*(ROWS($AN$63:AN70)-1)+1)</f>
        <v/>
      </c>
      <c r="AO70" s="277">
        <f>INDEX('M04-S01'!$Q$16:$Q$198,2*(ROWS($AO$63:AO70)-1)+1)</f>
        <v>0</v>
      </c>
      <c r="AP70" s="278"/>
      <c r="AQ70" s="278"/>
    </row>
    <row r="71" spans="1:43" x14ac:dyDescent="0.25">
      <c r="A71" s="118">
        <f t="shared" si="33"/>
        <v>0</v>
      </c>
      <c r="B71" s="118" t="str">
        <f t="shared" si="38"/>
        <v/>
      </c>
      <c r="C71" s="118" t="str">
        <f>IF(J71&gt;0,INDEX('M04-S01'!$AY$16:$AY$198,2*(ROWS($C$63:C71)-1)+1),"")</f>
        <v/>
      </c>
      <c r="D71" s="63" t="s">
        <v>215</v>
      </c>
      <c r="E71" s="301" t="str">
        <f>IFERROR(INDEX('M04-S01'!$AW$16:$AW$198,2*(ROWS($E$63:E71)-1)+1),"")</f>
        <v/>
      </c>
      <c r="F71" s="278"/>
      <c r="G71" s="254"/>
      <c r="H71" s="107">
        <f>INDEX('M04-S01'!$AD$16:$AD$198,2*(ROWS($H$63:H71)-1)+1)</f>
        <v>0</v>
      </c>
      <c r="I71" s="107">
        <f>INDEX('M04-S01'!$AF$16:$AF$198,2*(ROWS($I$63:I71)-1)+1)</f>
        <v>0</v>
      </c>
      <c r="J71" s="107" t="str">
        <f>INDEX('M04-S01'!$AH$16:$AH$198,2*(ROWS($J$63:J71)-1)+1)</f>
        <v/>
      </c>
      <c r="K71" s="63" t="str">
        <f>IFERROR(INDEX(CMEHVAC[Cost Basis],MATCH(INDEX('M04-S01'!$F$16:$F$198,2*(ROWS($K$63:K71)-1)+1),CMEHVAC[Proj Desc 1],0)),"")</f>
        <v/>
      </c>
      <c r="L71" s="277">
        <f>IF(ISNUMBER(INDEX('M04-S01'!$AK$16:$AK$198,2*(ROWS($O$63:O71)-1)+1)),INDEX('M04-S01'!$Z$16:$Z$198,2*(ROWS($L$63:L71)-1)+1),0)</f>
        <v>0</v>
      </c>
      <c r="M71" s="277">
        <f>IFERROR(IF(ISNUMBER(INDEX('M04-S01'!$AK$16:$AK$198,2*(ROWS($O$63:O71)-1)+1)),INDEX('M04-S01'!$AO$16:$AO$198,2*(ROWS($M$63:M71)-1)+1),0),"")</f>
        <v>0</v>
      </c>
      <c r="N71" s="335">
        <f>IFERROR(IF(ISNUMBER(INDEX('M04-S01'!$AK$16:$AK$198,2*(ROWS($O$63:O71)-1)+1)),INDEX('M04-S01'!$AV$16:$AV$198,2*(ROWS($N$63:N71)-1)+1),0),"")</f>
        <v>0</v>
      </c>
      <c r="O71" s="107">
        <f>IF(ISNUMBER(INDEX('M04-S01'!$AK$16:$AK$198,2*(ROWS($O$63:O71)-1)+1)),INDEX('M04-S01'!$AK$16:$AK$198,2*(ROWS($O$63:O71)-1)+1),0)</f>
        <v>0</v>
      </c>
      <c r="P71" s="277" t="str">
        <f>IFERROR(IF(NOT(ISNUMBER(INDEX('M04-S01'!$AK$16:$AK$198,2*(ROWS($O$63:O71)-1)+1))),INDEX('M04-S01'!$AO$16:$AO$198,2*(ROWS($O$63:O71)-1)+1),0),"")</f>
        <v/>
      </c>
      <c r="Q71" s="335" t="str">
        <f>IFERROR(IF(NOT(ISNUMBER(INDEX('M04-S01'!$AK$16:$AK$198,2*(ROWS($O$63:O71)-1)+1))),INDEX('M04-S01'!$AV$16:$AV$198,2*(ROWS($O$63:O71)-1)+1),0),"")</f>
        <v/>
      </c>
      <c r="R71" s="63" t="str">
        <f>IFERROR(IF(NOT(ISNUMBER(INDEX('M04-S01'!$AK$16:$AK$198,2*(ROWS($O$63:O71)-1)+1))),INDEX(SPILLOVER[Spillover Reason],MATCH(INDEX('M04-S01'!$BC$16:$BC$198,2*(ROWS($O$63:O71)-1)+1),SPILLOVER[Spillover Text],0)),""),"")</f>
        <v>Not Eligible</v>
      </c>
      <c r="S71" s="283"/>
      <c r="T71" s="283"/>
      <c r="U71" s="277">
        <f>INDEX('M04-S01'!$B$16:$B$198,2*(ROWS($U$63:U71)-1)+1)</f>
        <v>9</v>
      </c>
      <c r="V71" s="254"/>
      <c r="W71" s="104">
        <f>INDEX('M04-S01'!$F$16:$F$198,2*(ROWS($W$63:W71)-1)+1)</f>
        <v>0</v>
      </c>
      <c r="X71" s="63">
        <f>INDEX('M04-S01'!$M$16:$M$198,2*(ROWS($X$63:X71)-1)+1)</f>
        <v>0</v>
      </c>
      <c r="Y71" s="63">
        <f>INDEX('M04-S01'!$U$16:$U$198,2*(ROWS($Y$63:Y71)-1)+1)</f>
        <v>0</v>
      </c>
      <c r="Z71" s="254"/>
      <c r="AA71" s="254"/>
      <c r="AB71" s="254"/>
      <c r="AC71" s="254"/>
      <c r="AD71" s="254"/>
      <c r="AE71" s="277">
        <f>IF(NOT(ISNUMBER(INDEX('M04-S01'!$AK$16:$AK$198,2*(ROWS($O$63:O71)-1)+1))),INDEX('M04-S01'!$Z$16:$Z$198,2*(ROWS($L$63:L71)-1)+1),0)</f>
        <v>0</v>
      </c>
      <c r="AF71" s="277">
        <f>INDEX('M04-S01'!$S$16:$S$198,2*(ROWS($AF$63:AF71)-1)+1)</f>
        <v>0</v>
      </c>
      <c r="AG71" s="277">
        <f>INDEX('M04-S01'!$AB$16:$AB$198,2*(ROWS($AG$63:AG71)-1)+1)</f>
        <v>0</v>
      </c>
      <c r="AH71" s="277" t="str">
        <f t="shared" si="36"/>
        <v/>
      </c>
      <c r="AI71" s="277" t="str">
        <f t="shared" si="37"/>
        <v/>
      </c>
      <c r="AJ71" s="107" t="str">
        <f t="shared" si="14"/>
        <v/>
      </c>
      <c r="AK71" s="107" t="str">
        <f t="shared" si="15"/>
        <v/>
      </c>
      <c r="AL71" s="107" t="str">
        <f t="shared" si="16"/>
        <v/>
      </c>
      <c r="AM71" s="107" t="str">
        <f>INDEX('M04-S01'!$AU$16:$AU$198,2*(ROWS($AM$63:AM71)-1)+1)</f>
        <v/>
      </c>
      <c r="AN71" s="107" t="str">
        <f>INDEX('M04-S01'!$BB$16:$BB$198,2*(ROWS($AN$63:AN71)-1)+1)</f>
        <v/>
      </c>
      <c r="AO71" s="277">
        <f>INDEX('M04-S01'!$Q$16:$Q$198,2*(ROWS($AO$63:AO71)-1)+1)</f>
        <v>0</v>
      </c>
      <c r="AP71" s="278"/>
      <c r="AQ71" s="278"/>
    </row>
    <row r="72" spans="1:43" x14ac:dyDescent="0.25">
      <c r="A72" s="118">
        <f t="shared" si="33"/>
        <v>0</v>
      </c>
      <c r="B72" s="118" t="str">
        <f t="shared" si="38"/>
        <v/>
      </c>
      <c r="C72" s="118" t="str">
        <f>IF(J72&gt;0,INDEX('M04-S01'!$AY$16:$AY$198,2*(ROWS($C$63:C72)-1)+1),"")</f>
        <v/>
      </c>
      <c r="D72" s="63" t="s">
        <v>215</v>
      </c>
      <c r="E72" s="301" t="str">
        <f>IFERROR(INDEX('M04-S01'!$AW$16:$AW$198,2*(ROWS($E$63:E72)-1)+1),"")</f>
        <v/>
      </c>
      <c r="F72" s="278"/>
      <c r="G72" s="254"/>
      <c r="H72" s="107">
        <f>INDEX('M04-S01'!$AD$16:$AD$198,2*(ROWS($H$63:H72)-1)+1)</f>
        <v>0</v>
      </c>
      <c r="I72" s="107">
        <f>INDEX('M04-S01'!$AF$16:$AF$198,2*(ROWS($I$63:I72)-1)+1)</f>
        <v>0</v>
      </c>
      <c r="J72" s="107" t="str">
        <f>INDEX('M04-S01'!$AH$16:$AH$198,2*(ROWS($J$63:J72)-1)+1)</f>
        <v/>
      </c>
      <c r="K72" s="63" t="str">
        <f>IFERROR(INDEX(CMEHVAC[Cost Basis],MATCH(INDEX('M04-S01'!$F$16:$F$198,2*(ROWS($K$63:K72)-1)+1),CMEHVAC[Proj Desc 1],0)),"")</f>
        <v/>
      </c>
      <c r="L72" s="277">
        <f>IF(ISNUMBER(INDEX('M04-S01'!$AK$16:$AK$198,2*(ROWS($O$63:O72)-1)+1)),INDEX('M04-S01'!$Z$16:$Z$198,2*(ROWS($L$63:L72)-1)+1),0)</f>
        <v>0</v>
      </c>
      <c r="M72" s="277">
        <f>IFERROR(IF(ISNUMBER(INDEX('M04-S01'!$AK$16:$AK$198,2*(ROWS($O$63:O72)-1)+1)),INDEX('M04-S01'!$AO$16:$AO$198,2*(ROWS($M$63:M72)-1)+1),0),"")</f>
        <v>0</v>
      </c>
      <c r="N72" s="335">
        <f>IFERROR(IF(ISNUMBER(INDEX('M04-S01'!$AK$16:$AK$198,2*(ROWS($O$63:O72)-1)+1)),INDEX('M04-S01'!$AV$16:$AV$198,2*(ROWS($N$63:N72)-1)+1),0),"")</f>
        <v>0</v>
      </c>
      <c r="O72" s="107">
        <f>IF(ISNUMBER(INDEX('M04-S01'!$AK$16:$AK$198,2*(ROWS($O$63:O72)-1)+1)),INDEX('M04-S01'!$AK$16:$AK$198,2*(ROWS($O$63:O72)-1)+1),0)</f>
        <v>0</v>
      </c>
      <c r="P72" s="277" t="str">
        <f>IFERROR(IF(NOT(ISNUMBER(INDEX('M04-S01'!$AK$16:$AK$198,2*(ROWS($O$63:O72)-1)+1))),INDEX('M04-S01'!$AO$16:$AO$198,2*(ROWS($O$63:O72)-1)+1),0),"")</f>
        <v/>
      </c>
      <c r="Q72" s="335" t="str">
        <f>IFERROR(IF(NOT(ISNUMBER(INDEX('M04-S01'!$AK$16:$AK$198,2*(ROWS($O$63:O72)-1)+1))),INDEX('M04-S01'!$AV$16:$AV$198,2*(ROWS($O$63:O72)-1)+1),0),"")</f>
        <v/>
      </c>
      <c r="R72" s="63" t="str">
        <f>IFERROR(IF(NOT(ISNUMBER(INDEX('M04-S01'!$AK$16:$AK$198,2*(ROWS($O$63:O72)-1)+1))),INDEX(SPILLOVER[Spillover Reason],MATCH(INDEX('M04-S01'!$BC$16:$BC$198,2*(ROWS($O$63:O72)-1)+1),SPILLOVER[Spillover Text],0)),""),"")</f>
        <v>Not Eligible</v>
      </c>
      <c r="S72" s="283"/>
      <c r="T72" s="283"/>
      <c r="U72" s="277">
        <f>INDEX('M04-S01'!$B$16:$B$198,2*(ROWS($U$63:U72)-1)+1)</f>
        <v>10</v>
      </c>
      <c r="V72" s="254"/>
      <c r="W72" s="104">
        <f>INDEX('M04-S01'!$F$16:$F$198,2*(ROWS($W$63:W72)-1)+1)</f>
        <v>0</v>
      </c>
      <c r="X72" s="63">
        <f>INDEX('M04-S01'!$M$16:$M$198,2*(ROWS($X$63:X72)-1)+1)</f>
        <v>0</v>
      </c>
      <c r="Y72" s="63">
        <f>INDEX('M04-S01'!$U$16:$U$198,2*(ROWS($Y$63:Y72)-1)+1)</f>
        <v>0</v>
      </c>
      <c r="Z72" s="254"/>
      <c r="AA72" s="254"/>
      <c r="AB72" s="254"/>
      <c r="AC72" s="254"/>
      <c r="AD72" s="254"/>
      <c r="AE72" s="277">
        <f>IF(NOT(ISNUMBER(INDEX('M04-S01'!$AK$16:$AK$198,2*(ROWS($O$63:O72)-1)+1))),INDEX('M04-S01'!$Z$16:$Z$198,2*(ROWS($L$63:L72)-1)+1),0)</f>
        <v>0</v>
      </c>
      <c r="AF72" s="277">
        <f>INDEX('M04-S01'!$S$16:$S$198,2*(ROWS($AF$63:AF72)-1)+1)</f>
        <v>0</v>
      </c>
      <c r="AG72" s="277">
        <f>INDEX('M04-S01'!$AB$16:$AB$198,2*(ROWS($AG$63:AG72)-1)+1)</f>
        <v>0</v>
      </c>
      <c r="AH72" s="277" t="str">
        <f t="shared" si="36"/>
        <v/>
      </c>
      <c r="AI72" s="277" t="str">
        <f t="shared" si="37"/>
        <v/>
      </c>
      <c r="AJ72" s="107" t="str">
        <f t="shared" si="14"/>
        <v/>
      </c>
      <c r="AK72" s="107" t="str">
        <f t="shared" si="15"/>
        <v/>
      </c>
      <c r="AL72" s="107" t="str">
        <f t="shared" si="16"/>
        <v/>
      </c>
      <c r="AM72" s="107" t="str">
        <f>INDEX('M04-S01'!$AU$16:$AU$198,2*(ROWS($AM$63:AM72)-1)+1)</f>
        <v/>
      </c>
      <c r="AN72" s="107" t="str">
        <f>INDEX('M04-S01'!$BB$16:$BB$198,2*(ROWS($AN$63:AN72)-1)+1)</f>
        <v/>
      </c>
      <c r="AO72" s="277">
        <f>INDEX('M04-S01'!$Q$16:$Q$198,2*(ROWS($AO$63:AO72)-1)+1)</f>
        <v>0</v>
      </c>
      <c r="AP72" s="278"/>
      <c r="AQ72" s="278"/>
    </row>
    <row r="73" spans="1:43" x14ac:dyDescent="0.25">
      <c r="A73" s="118">
        <f t="shared" si="33"/>
        <v>0</v>
      </c>
      <c r="B73" s="118" t="str">
        <f t="shared" si="38"/>
        <v/>
      </c>
      <c r="C73" s="118" t="str">
        <f>IF(J73&gt;0,INDEX('M04-S01'!$AY$16:$AY$198,2*(ROWS($C$63:C73)-1)+1),"")</f>
        <v/>
      </c>
      <c r="D73" s="63" t="s">
        <v>215</v>
      </c>
      <c r="E73" s="301">
        <f>IFERROR(INDEX('M04-S01'!$AW$16:$AW$198,2*(ROWS($E$63:E73)-1)+1),"")</f>
        <v>0</v>
      </c>
      <c r="F73" s="278"/>
      <c r="G73" s="254"/>
      <c r="H73" s="107">
        <f>INDEX('M04-S01'!$AD$16:$AD$198,2*(ROWS($H$63:H73)-1)+1)</f>
        <v>0</v>
      </c>
      <c r="I73" s="107">
        <f>INDEX('M04-S01'!$AF$16:$AF$198,2*(ROWS($I$63:I73)-1)+1)</f>
        <v>0</v>
      </c>
      <c r="J73" s="107">
        <f>INDEX('M04-S01'!$AH$16:$AH$198,2*(ROWS($J$63:J73)-1)+1)</f>
        <v>0</v>
      </c>
      <c r="K73" s="63" t="str">
        <f>IFERROR(INDEX(CMEHVAC[Cost Basis],MATCH(INDEX('M04-S01'!$F$16:$F$198,2*(ROWS($K$63:K73)-1)+1),CMEHVAC[Proj Desc 1],0)),"")</f>
        <v/>
      </c>
      <c r="L73" s="277">
        <f>IF(ISNUMBER(INDEX('M04-S01'!$AK$16:$AK$198,2*(ROWS($O$63:O73)-1)+1)),INDEX('M04-S01'!$Z$16:$Z$198,2*(ROWS($L$63:L73)-1)+1),0)</f>
        <v>0</v>
      </c>
      <c r="M73" s="277">
        <f>IFERROR(IF(ISNUMBER(INDEX('M04-S01'!$AK$16:$AK$198,2*(ROWS($O$63:O73)-1)+1)),INDEX('M04-S01'!$AO$16:$AO$198,2*(ROWS($M$63:M73)-1)+1),0),"")</f>
        <v>0</v>
      </c>
      <c r="N73" s="335">
        <f>IFERROR(IF(ISNUMBER(INDEX('M04-S01'!$AK$16:$AK$198,2*(ROWS($O$63:O73)-1)+1)),INDEX('M04-S01'!$AV$16:$AV$198,2*(ROWS($N$63:N73)-1)+1),0),"")</f>
        <v>0</v>
      </c>
      <c r="O73" s="107">
        <f>IF(ISNUMBER(INDEX('M04-S01'!$AK$16:$AK$198,2*(ROWS($O$63:O73)-1)+1)),INDEX('M04-S01'!$AK$16:$AK$198,2*(ROWS($O$63:O73)-1)+1),0)</f>
        <v>0</v>
      </c>
      <c r="P73" s="277">
        <f>IFERROR(IF(NOT(ISNUMBER(INDEX('M04-S01'!$AK$16:$AK$198,2*(ROWS($O$63:O73)-1)+1))),INDEX('M04-S01'!$AO$16:$AO$198,2*(ROWS($O$63:O73)-1)+1),0),"")</f>
        <v>0</v>
      </c>
      <c r="Q73" s="335">
        <f>IFERROR(IF(NOT(ISNUMBER(INDEX('M04-S01'!$AK$16:$AK$198,2*(ROWS($O$63:O73)-1)+1))),INDEX('M04-S01'!$AV$16:$AV$198,2*(ROWS($O$63:O73)-1)+1),0),"")</f>
        <v>0</v>
      </c>
      <c r="R73" s="63" t="str">
        <f>IFERROR(IF(NOT(ISNUMBER(INDEX('M04-S01'!$AK$16:$AK$198,2*(ROWS($O$63:O73)-1)+1))),INDEX(SPILLOVER[Spillover Reason],MATCH(INDEX('M04-S01'!$BC$16:$BC$198,2*(ROWS($O$63:O73)-1)+1),SPILLOVER[Spillover Text],0)),""),"")</f>
        <v/>
      </c>
      <c r="S73" s="283"/>
      <c r="T73" s="283"/>
      <c r="U73" s="277">
        <f>INDEX('M04-S01'!$B$16:$B$198,2*(ROWS($U$63:U73)-1)+1)</f>
        <v>11</v>
      </c>
      <c r="V73" s="254"/>
      <c r="W73" s="104">
        <f>INDEX('M04-S01'!$F$16:$F$198,2*(ROWS($W$63:W73)-1)+1)</f>
        <v>0</v>
      </c>
      <c r="X73" s="63">
        <f>INDEX('M04-S01'!$M$16:$M$198,2*(ROWS($X$63:X73)-1)+1)</f>
        <v>0</v>
      </c>
      <c r="Y73" s="63">
        <f>INDEX('M04-S01'!$U$16:$U$198,2*(ROWS($Y$63:Y73)-1)+1)</f>
        <v>0</v>
      </c>
      <c r="Z73" s="254"/>
      <c r="AA73" s="254"/>
      <c r="AB73" s="254"/>
      <c r="AC73" s="254"/>
      <c r="AD73" s="254"/>
      <c r="AE73" s="277">
        <f>IF(NOT(ISNUMBER(INDEX('M04-S01'!$AK$16:$AK$198,2*(ROWS($O$63:O73)-1)+1))),INDEX('M04-S01'!$Z$16:$Z$198,2*(ROWS($L$63:L73)-1)+1),0)</f>
        <v>0</v>
      </c>
      <c r="AF73" s="277">
        <f>INDEX('M04-S01'!$S$16:$S$198,2*(ROWS($AF$63:AF73)-1)+1)</f>
        <v>0</v>
      </c>
      <c r="AG73" s="277">
        <f>INDEX('M04-S01'!$AB$16:$AB$198,2*(ROWS($AG$63:AG73)-1)+1)</f>
        <v>0</v>
      </c>
      <c r="AH73" s="277" t="str">
        <f t="shared" si="36"/>
        <v/>
      </c>
      <c r="AI73" s="277" t="str">
        <f t="shared" si="37"/>
        <v/>
      </c>
      <c r="AJ73" s="107" t="str">
        <f t="shared" si="14"/>
        <v/>
      </c>
      <c r="AK73" s="107" t="str">
        <f t="shared" si="15"/>
        <v/>
      </c>
      <c r="AL73" s="107" t="str">
        <f t="shared" si="16"/>
        <v/>
      </c>
      <c r="AM73" s="107">
        <f>INDEX('M04-S01'!$AU$16:$AU$198,2*(ROWS($AM$63:AM73)-1)+1)</f>
        <v>0</v>
      </c>
      <c r="AN73" s="107">
        <f>INDEX('M04-S01'!$BB$16:$BB$198,2*(ROWS($AN$63:AN73)-1)+1)</f>
        <v>0</v>
      </c>
      <c r="AO73" s="277">
        <f>INDEX('M04-S01'!$Q$16:$Q$198,2*(ROWS($AO$63:AO73)-1)+1)</f>
        <v>0</v>
      </c>
      <c r="AP73" s="278"/>
      <c r="AQ73" s="278"/>
    </row>
    <row r="74" spans="1:43" x14ac:dyDescent="0.25">
      <c r="A74" s="118">
        <f t="shared" si="33"/>
        <v>0</v>
      </c>
      <c r="B74" s="118" t="str">
        <f t="shared" si="38"/>
        <v/>
      </c>
      <c r="C74" s="118" t="str">
        <f>IF(J74&gt;0,INDEX('M04-S01'!$AY$16:$AY$198,2*(ROWS($C$63:C74)-1)+1),"")</f>
        <v/>
      </c>
      <c r="D74" s="63" t="s">
        <v>215</v>
      </c>
      <c r="E74" s="301">
        <f>IFERROR(INDEX('M04-S01'!$AW$16:$AW$198,2*(ROWS($E$63:E74)-1)+1),"")</f>
        <v>0</v>
      </c>
      <c r="F74" s="278"/>
      <c r="G74" s="254"/>
      <c r="H74" s="107">
        <f>INDEX('M04-S01'!$AD$16:$AD$198,2*(ROWS($H$63:H74)-1)+1)</f>
        <v>0</v>
      </c>
      <c r="I74" s="107">
        <f>INDEX('M04-S01'!$AF$16:$AF$198,2*(ROWS($I$63:I74)-1)+1)</f>
        <v>0</v>
      </c>
      <c r="J74" s="107">
        <f>INDEX('M04-S01'!$AH$16:$AH$198,2*(ROWS($J$63:J74)-1)+1)</f>
        <v>0</v>
      </c>
      <c r="K74" s="63" t="str">
        <f>IFERROR(INDEX(CMEHVAC[Cost Basis],MATCH(INDEX('M04-S01'!$F$16:$F$198,2*(ROWS($K$63:K74)-1)+1),CMEHVAC[Proj Desc 1],0)),"")</f>
        <v/>
      </c>
      <c r="L74" s="277">
        <f>IF(ISNUMBER(INDEX('M04-S01'!$AK$16:$AK$198,2*(ROWS($O$63:O74)-1)+1)),INDEX('M04-S01'!$Z$16:$Z$198,2*(ROWS($L$63:L74)-1)+1),0)</f>
        <v>0</v>
      </c>
      <c r="M74" s="277">
        <f>IFERROR(IF(ISNUMBER(INDEX('M04-S01'!$AK$16:$AK$198,2*(ROWS($O$63:O74)-1)+1)),INDEX('M04-S01'!$AO$16:$AO$198,2*(ROWS($M$63:M74)-1)+1),0),"")</f>
        <v>0</v>
      </c>
      <c r="N74" s="335">
        <f>IFERROR(IF(ISNUMBER(INDEX('M04-S01'!$AK$16:$AK$198,2*(ROWS($O$63:O74)-1)+1)),INDEX('M04-S01'!$AV$16:$AV$198,2*(ROWS($N$63:N74)-1)+1),0),"")</f>
        <v>0</v>
      </c>
      <c r="O74" s="107">
        <f>IF(ISNUMBER(INDEX('M04-S01'!$AK$16:$AK$198,2*(ROWS($O$63:O74)-1)+1)),INDEX('M04-S01'!$AK$16:$AK$198,2*(ROWS($O$63:O74)-1)+1),0)</f>
        <v>0</v>
      </c>
      <c r="P74" s="277">
        <f>IFERROR(IF(NOT(ISNUMBER(INDEX('M04-S01'!$AK$16:$AK$198,2*(ROWS($O$63:O74)-1)+1))),INDEX('M04-S01'!$AO$16:$AO$198,2*(ROWS($O$63:O74)-1)+1),0),"")</f>
        <v>0</v>
      </c>
      <c r="Q74" s="335">
        <f>IFERROR(IF(NOT(ISNUMBER(INDEX('M04-S01'!$AK$16:$AK$198,2*(ROWS($O$63:O74)-1)+1))),INDEX('M04-S01'!$AV$16:$AV$198,2*(ROWS($O$63:O74)-1)+1),0),"")</f>
        <v>0</v>
      </c>
      <c r="R74" s="63" t="str">
        <f>IFERROR(IF(NOT(ISNUMBER(INDEX('M04-S01'!$AK$16:$AK$198,2*(ROWS($O$63:O74)-1)+1))),INDEX(SPILLOVER[Spillover Reason],MATCH(INDEX('M04-S01'!$BC$16:$BC$198,2*(ROWS($O$63:O74)-1)+1),SPILLOVER[Spillover Text],0)),""),"")</f>
        <v/>
      </c>
      <c r="S74" s="283"/>
      <c r="T74" s="283"/>
      <c r="U74" s="277">
        <f>INDEX('M04-S01'!$B$16:$B$198,2*(ROWS($U$63:U74)-1)+1)</f>
        <v>12</v>
      </c>
      <c r="V74" s="254"/>
      <c r="W74" s="104">
        <f>INDEX('M04-S01'!$F$16:$F$198,2*(ROWS($W$63:W74)-1)+1)</f>
        <v>0</v>
      </c>
      <c r="X74" s="63">
        <f>INDEX('M04-S01'!$M$16:$M$198,2*(ROWS($X$63:X74)-1)+1)</f>
        <v>0</v>
      </c>
      <c r="Y74" s="63">
        <f>INDEX('M04-S01'!$U$16:$U$198,2*(ROWS($Y$63:Y74)-1)+1)</f>
        <v>0</v>
      </c>
      <c r="Z74" s="254"/>
      <c r="AA74" s="254"/>
      <c r="AB74" s="254"/>
      <c r="AC74" s="254"/>
      <c r="AD74" s="254"/>
      <c r="AE74" s="277">
        <f>IF(NOT(ISNUMBER(INDEX('M04-S01'!$AK$16:$AK$198,2*(ROWS($O$63:O74)-1)+1))),INDEX('M04-S01'!$Z$16:$Z$198,2*(ROWS($L$63:L74)-1)+1),0)</f>
        <v>0</v>
      </c>
      <c r="AF74" s="277">
        <f>INDEX('M04-S01'!$S$16:$S$198,2*(ROWS($AF$63:AF74)-1)+1)</f>
        <v>0</v>
      </c>
      <c r="AG74" s="277">
        <f>INDEX('M04-S01'!$AB$16:$AB$198,2*(ROWS($AG$63:AG74)-1)+1)</f>
        <v>0</v>
      </c>
      <c r="AH74" s="277" t="str">
        <f t="shared" si="36"/>
        <v/>
      </c>
      <c r="AI74" s="277" t="str">
        <f t="shared" si="37"/>
        <v/>
      </c>
      <c r="AJ74" s="107" t="str">
        <f t="shared" si="14"/>
        <v/>
      </c>
      <c r="AK74" s="107" t="str">
        <f t="shared" si="15"/>
        <v/>
      </c>
      <c r="AL74" s="107" t="str">
        <f t="shared" si="16"/>
        <v/>
      </c>
      <c r="AM74" s="107">
        <f>INDEX('M04-S01'!$AU$16:$AU$198,2*(ROWS($AM$63:AM74)-1)+1)</f>
        <v>0</v>
      </c>
      <c r="AN74" s="107">
        <f>INDEX('M04-S01'!$BB$16:$BB$198,2*(ROWS($AN$63:AN74)-1)+1)</f>
        <v>0</v>
      </c>
      <c r="AO74" s="277">
        <f>INDEX('M04-S01'!$Q$16:$Q$198,2*(ROWS($AO$63:AO74)-1)+1)</f>
        <v>0</v>
      </c>
      <c r="AP74" s="278"/>
      <c r="AQ74" s="278"/>
    </row>
    <row r="75" spans="1:43" x14ac:dyDescent="0.25">
      <c r="A75" s="118">
        <f t="shared" si="33"/>
        <v>0</v>
      </c>
      <c r="B75" s="118" t="str">
        <f t="shared" si="38"/>
        <v/>
      </c>
      <c r="C75" s="118" t="str">
        <f>IF(J75&gt;0,INDEX('M04-S01'!$AY$16:$AY$198,2*(ROWS($C$63:C75)-1)+1),"")</f>
        <v/>
      </c>
      <c r="D75" s="63" t="s">
        <v>215</v>
      </c>
      <c r="E75" s="301">
        <f>IFERROR(INDEX('M04-S01'!$AW$16:$AW$198,2*(ROWS($E$63:E75)-1)+1),"")</f>
        <v>0</v>
      </c>
      <c r="F75" s="278"/>
      <c r="G75" s="254"/>
      <c r="H75" s="107">
        <f>INDEX('M04-S01'!$AD$16:$AD$198,2*(ROWS($H$63:H75)-1)+1)</f>
        <v>0</v>
      </c>
      <c r="I75" s="107">
        <f>INDEX('M04-S01'!$AF$16:$AF$198,2*(ROWS($I$63:I75)-1)+1)</f>
        <v>0</v>
      </c>
      <c r="J75" s="107">
        <f>INDEX('M04-S01'!$AH$16:$AH$198,2*(ROWS($J$63:J75)-1)+1)</f>
        <v>0</v>
      </c>
      <c r="K75" s="63" t="str">
        <f>IFERROR(INDEX(CMEHVAC[Cost Basis],MATCH(INDEX('M04-S01'!$F$16:$F$198,2*(ROWS($K$63:K75)-1)+1),CMEHVAC[Proj Desc 1],0)),"")</f>
        <v/>
      </c>
      <c r="L75" s="277">
        <f>IF(ISNUMBER(INDEX('M04-S01'!$AK$16:$AK$198,2*(ROWS($O$63:O75)-1)+1)),INDEX('M04-S01'!$Z$16:$Z$198,2*(ROWS($L$63:L75)-1)+1),0)</f>
        <v>0</v>
      </c>
      <c r="M75" s="277">
        <f>IFERROR(IF(ISNUMBER(INDEX('M04-S01'!$AK$16:$AK$198,2*(ROWS($O$63:O75)-1)+1)),INDEX('M04-S01'!$AO$16:$AO$198,2*(ROWS($M$63:M75)-1)+1),0),"")</f>
        <v>0</v>
      </c>
      <c r="N75" s="335">
        <f>IFERROR(IF(ISNUMBER(INDEX('M04-S01'!$AK$16:$AK$198,2*(ROWS($O$63:O75)-1)+1)),INDEX('M04-S01'!$AV$16:$AV$198,2*(ROWS($N$63:N75)-1)+1),0),"")</f>
        <v>0</v>
      </c>
      <c r="O75" s="107">
        <f>IF(ISNUMBER(INDEX('M04-S01'!$AK$16:$AK$198,2*(ROWS($O$63:O75)-1)+1)),INDEX('M04-S01'!$AK$16:$AK$198,2*(ROWS($O$63:O75)-1)+1),0)</f>
        <v>0</v>
      </c>
      <c r="P75" s="277">
        <f>IFERROR(IF(NOT(ISNUMBER(INDEX('M04-S01'!$AK$16:$AK$198,2*(ROWS($O$63:O75)-1)+1))),INDEX('M04-S01'!$AO$16:$AO$198,2*(ROWS($O$63:O75)-1)+1),0),"")</f>
        <v>0</v>
      </c>
      <c r="Q75" s="335">
        <f>IFERROR(IF(NOT(ISNUMBER(INDEX('M04-S01'!$AK$16:$AK$198,2*(ROWS($O$63:O75)-1)+1))),INDEX('M04-S01'!$AV$16:$AV$198,2*(ROWS($O$63:O75)-1)+1),0),"")</f>
        <v>0</v>
      </c>
      <c r="R75" s="63" t="str">
        <f>IFERROR(IF(NOT(ISNUMBER(INDEX('M04-S01'!$AK$16:$AK$198,2*(ROWS($O$63:O75)-1)+1))),INDEX(SPILLOVER[Spillover Reason],MATCH(INDEX('M04-S01'!$BC$16:$BC$198,2*(ROWS($O$63:O75)-1)+1),SPILLOVER[Spillover Text],0)),""),"")</f>
        <v/>
      </c>
      <c r="S75" s="283"/>
      <c r="T75" s="283"/>
      <c r="U75" s="277">
        <f>INDEX('M04-S01'!$B$16:$B$198,2*(ROWS($U$63:U75)-1)+1)</f>
        <v>13</v>
      </c>
      <c r="V75" s="254"/>
      <c r="W75" s="104">
        <f>INDEX('M04-S01'!$F$16:$F$198,2*(ROWS($W$63:W75)-1)+1)</f>
        <v>0</v>
      </c>
      <c r="X75" s="63">
        <f>INDEX('M04-S01'!$M$16:$M$198,2*(ROWS($X$63:X75)-1)+1)</f>
        <v>0</v>
      </c>
      <c r="Y75" s="63">
        <f>INDEX('M04-S01'!$U$16:$U$198,2*(ROWS($Y$63:Y75)-1)+1)</f>
        <v>0</v>
      </c>
      <c r="Z75" s="254"/>
      <c r="AA75" s="254"/>
      <c r="AB75" s="254"/>
      <c r="AC75" s="254"/>
      <c r="AD75" s="254"/>
      <c r="AE75" s="277">
        <f>IF(NOT(ISNUMBER(INDEX('M04-S01'!$AK$16:$AK$198,2*(ROWS($O$63:O75)-1)+1))),INDEX('M04-S01'!$Z$16:$Z$198,2*(ROWS($L$63:L75)-1)+1),0)</f>
        <v>0</v>
      </c>
      <c r="AF75" s="277">
        <f>INDEX('M04-S01'!$S$16:$S$198,2*(ROWS($AF$63:AF75)-1)+1)</f>
        <v>0</v>
      </c>
      <c r="AG75" s="277">
        <f>INDEX('M04-S01'!$AB$16:$AB$198,2*(ROWS($AG$63:AG75)-1)+1)</f>
        <v>0</v>
      </c>
      <c r="AH75" s="277" t="str">
        <f t="shared" si="36"/>
        <v/>
      </c>
      <c r="AI75" s="277" t="str">
        <f t="shared" si="37"/>
        <v/>
      </c>
      <c r="AJ75" s="107" t="str">
        <f t="shared" si="14"/>
        <v/>
      </c>
      <c r="AK75" s="107" t="str">
        <f t="shared" si="15"/>
        <v/>
      </c>
      <c r="AL75" s="107" t="str">
        <f t="shared" si="16"/>
        <v/>
      </c>
      <c r="AM75" s="107">
        <f>INDEX('M04-S01'!$AU$16:$AU$198,2*(ROWS($AM$63:AM75)-1)+1)</f>
        <v>0</v>
      </c>
      <c r="AN75" s="107">
        <f>INDEX('M04-S01'!$BB$16:$BB$198,2*(ROWS($AN$63:AN75)-1)+1)</f>
        <v>0</v>
      </c>
      <c r="AO75" s="277">
        <f>INDEX('M04-S01'!$Q$16:$Q$198,2*(ROWS($AO$63:AO75)-1)+1)</f>
        <v>0</v>
      </c>
      <c r="AP75" s="278"/>
      <c r="AQ75" s="278"/>
    </row>
    <row r="76" spans="1:43" x14ac:dyDescent="0.25">
      <c r="A76" s="118">
        <f t="shared" si="33"/>
        <v>0</v>
      </c>
      <c r="B76" s="118" t="str">
        <f t="shared" si="38"/>
        <v/>
      </c>
      <c r="C76" s="118" t="str">
        <f>IF(J76&gt;0,INDEX('M04-S01'!$AY$16:$AY$198,2*(ROWS($C$63:C76)-1)+1),"")</f>
        <v/>
      </c>
      <c r="D76" s="63" t="s">
        <v>215</v>
      </c>
      <c r="E76" s="301">
        <f>IFERROR(INDEX('M04-S01'!$AW$16:$AW$198,2*(ROWS($E$63:E76)-1)+1),"")</f>
        <v>0</v>
      </c>
      <c r="F76" s="278"/>
      <c r="G76" s="254"/>
      <c r="H76" s="107">
        <f>INDEX('M04-S01'!$AD$16:$AD$198,2*(ROWS($H$63:H76)-1)+1)</f>
        <v>0</v>
      </c>
      <c r="I76" s="107">
        <f>INDEX('M04-S01'!$AF$16:$AF$198,2*(ROWS($I$63:I76)-1)+1)</f>
        <v>0</v>
      </c>
      <c r="J76" s="107">
        <f>INDEX('M04-S01'!$AH$16:$AH$198,2*(ROWS($J$63:J76)-1)+1)</f>
        <v>0</v>
      </c>
      <c r="K76" s="63" t="str">
        <f>IFERROR(INDEX(CMEHVAC[Cost Basis],MATCH(INDEX('M04-S01'!$F$16:$F$198,2*(ROWS($K$63:K76)-1)+1),CMEHVAC[Proj Desc 1],0)),"")</f>
        <v/>
      </c>
      <c r="L76" s="277">
        <f>IF(ISNUMBER(INDEX('M04-S01'!$AK$16:$AK$198,2*(ROWS($O$63:O76)-1)+1)),INDEX('M04-S01'!$Z$16:$Z$198,2*(ROWS($L$63:L76)-1)+1),0)</f>
        <v>0</v>
      </c>
      <c r="M76" s="277">
        <f>IFERROR(IF(ISNUMBER(INDEX('M04-S01'!$AK$16:$AK$198,2*(ROWS($O$63:O76)-1)+1)),INDEX('M04-S01'!$AO$16:$AO$198,2*(ROWS($M$63:M76)-1)+1),0),"")</f>
        <v>0</v>
      </c>
      <c r="N76" s="335">
        <f>IFERROR(IF(ISNUMBER(INDEX('M04-S01'!$AK$16:$AK$198,2*(ROWS($O$63:O76)-1)+1)),INDEX('M04-S01'!$AV$16:$AV$198,2*(ROWS($N$63:N76)-1)+1),0),"")</f>
        <v>0</v>
      </c>
      <c r="O76" s="107">
        <f>IF(ISNUMBER(INDEX('M04-S01'!$AK$16:$AK$198,2*(ROWS($O$63:O76)-1)+1)),INDEX('M04-S01'!$AK$16:$AK$198,2*(ROWS($O$63:O76)-1)+1),0)</f>
        <v>0</v>
      </c>
      <c r="P76" s="277">
        <f>IFERROR(IF(NOT(ISNUMBER(INDEX('M04-S01'!$AK$16:$AK$198,2*(ROWS($O$63:O76)-1)+1))),INDEX('M04-S01'!$AO$16:$AO$198,2*(ROWS($O$63:O76)-1)+1),0),"")</f>
        <v>0</v>
      </c>
      <c r="Q76" s="335">
        <f>IFERROR(IF(NOT(ISNUMBER(INDEX('M04-S01'!$AK$16:$AK$198,2*(ROWS($O$63:O76)-1)+1))),INDEX('M04-S01'!$AV$16:$AV$198,2*(ROWS($O$63:O76)-1)+1),0),"")</f>
        <v>0</v>
      </c>
      <c r="R76" s="63" t="str">
        <f>IFERROR(IF(NOT(ISNUMBER(INDEX('M04-S01'!$AK$16:$AK$198,2*(ROWS($O$63:O76)-1)+1))),INDEX(SPILLOVER[Spillover Reason],MATCH(INDEX('M04-S01'!$BC$16:$BC$198,2*(ROWS($O$63:O76)-1)+1),SPILLOVER[Spillover Text],0)),""),"")</f>
        <v/>
      </c>
      <c r="S76" s="283"/>
      <c r="T76" s="283"/>
      <c r="U76" s="277">
        <f>INDEX('M04-S01'!$B$16:$B$198,2*(ROWS($U$63:U76)-1)+1)</f>
        <v>14</v>
      </c>
      <c r="V76" s="254"/>
      <c r="W76" s="104">
        <f>INDEX('M04-S01'!$F$16:$F$198,2*(ROWS($W$63:W76)-1)+1)</f>
        <v>0</v>
      </c>
      <c r="X76" s="63">
        <f>INDEX('M04-S01'!$M$16:$M$198,2*(ROWS($X$63:X76)-1)+1)</f>
        <v>0</v>
      </c>
      <c r="Y76" s="63">
        <f>INDEX('M04-S01'!$U$16:$U$198,2*(ROWS($Y$63:Y76)-1)+1)</f>
        <v>0</v>
      </c>
      <c r="Z76" s="254"/>
      <c r="AA76" s="254"/>
      <c r="AB76" s="254"/>
      <c r="AC76" s="254"/>
      <c r="AD76" s="254"/>
      <c r="AE76" s="277">
        <f>IF(NOT(ISNUMBER(INDEX('M04-S01'!$AK$16:$AK$198,2*(ROWS($O$63:O76)-1)+1))),INDEX('M04-S01'!$Z$16:$Z$198,2*(ROWS($L$63:L76)-1)+1),0)</f>
        <v>0</v>
      </c>
      <c r="AF76" s="277">
        <f>INDEX('M04-S01'!$S$16:$S$198,2*(ROWS($AF$63:AF76)-1)+1)</f>
        <v>0</v>
      </c>
      <c r="AG76" s="277">
        <f>INDEX('M04-S01'!$AB$16:$AB$198,2*(ROWS($AG$63:AG76)-1)+1)</f>
        <v>0</v>
      </c>
      <c r="AH76" s="277" t="str">
        <f t="shared" si="36"/>
        <v/>
      </c>
      <c r="AI76" s="277" t="str">
        <f t="shared" si="37"/>
        <v/>
      </c>
      <c r="AJ76" s="107" t="str">
        <f t="shared" si="14"/>
        <v/>
      </c>
      <c r="AK76" s="107" t="str">
        <f t="shared" si="15"/>
        <v/>
      </c>
      <c r="AL76" s="107" t="str">
        <f t="shared" si="16"/>
        <v/>
      </c>
      <c r="AM76" s="107">
        <f>INDEX('M04-S01'!$AU$16:$AU$198,2*(ROWS($AM$63:AM76)-1)+1)</f>
        <v>0</v>
      </c>
      <c r="AN76" s="107">
        <f>INDEX('M04-S01'!$BB$16:$BB$198,2*(ROWS($AN$63:AN76)-1)+1)</f>
        <v>0</v>
      </c>
      <c r="AO76" s="277">
        <f>INDEX('M04-S01'!$Q$16:$Q$198,2*(ROWS($AO$63:AO76)-1)+1)</f>
        <v>0</v>
      </c>
      <c r="AP76" s="278"/>
      <c r="AQ76" s="278"/>
    </row>
    <row r="77" spans="1:43" x14ac:dyDescent="0.25">
      <c r="A77" s="118">
        <f t="shared" si="33"/>
        <v>0</v>
      </c>
      <c r="B77" s="118" t="str">
        <f t="shared" si="38"/>
        <v/>
      </c>
      <c r="C77" s="118" t="str">
        <f>IF(J77&gt;0,INDEX('M04-S01'!$AY$16:$AY$198,2*(ROWS($C$63:C77)-1)+1),"")</f>
        <v/>
      </c>
      <c r="D77" s="63" t="s">
        <v>215</v>
      </c>
      <c r="E77" s="301">
        <f>IFERROR(INDEX('M04-S01'!$AW$16:$AW$198,2*(ROWS($E$63:E77)-1)+1),"")</f>
        <v>0</v>
      </c>
      <c r="F77" s="278"/>
      <c r="G77" s="254"/>
      <c r="H77" s="107">
        <f>INDEX('M04-S01'!$AD$16:$AD$198,2*(ROWS($H$63:H77)-1)+1)</f>
        <v>0</v>
      </c>
      <c r="I77" s="107">
        <f>INDEX('M04-S01'!$AF$16:$AF$198,2*(ROWS($I$63:I77)-1)+1)</f>
        <v>0</v>
      </c>
      <c r="J77" s="107">
        <f>INDEX('M04-S01'!$AH$16:$AH$198,2*(ROWS($J$63:J77)-1)+1)</f>
        <v>0</v>
      </c>
      <c r="K77" s="63" t="str">
        <f>IFERROR(INDEX(CMEHVAC[Cost Basis],MATCH(INDEX('M04-S01'!$F$16:$F$198,2*(ROWS($K$63:K77)-1)+1),CMEHVAC[Proj Desc 1],0)),"")</f>
        <v/>
      </c>
      <c r="L77" s="277">
        <f>IF(ISNUMBER(INDEX('M04-S01'!$AK$16:$AK$198,2*(ROWS($O$63:O77)-1)+1)),INDEX('M04-S01'!$Z$16:$Z$198,2*(ROWS($L$63:L77)-1)+1),0)</f>
        <v>0</v>
      </c>
      <c r="M77" s="277">
        <f>IFERROR(IF(ISNUMBER(INDEX('M04-S01'!$AK$16:$AK$198,2*(ROWS($O$63:O77)-1)+1)),INDEX('M04-S01'!$AO$16:$AO$198,2*(ROWS($M$63:M77)-1)+1),0),"")</f>
        <v>0</v>
      </c>
      <c r="N77" s="335">
        <f>IFERROR(IF(ISNUMBER(INDEX('M04-S01'!$AK$16:$AK$198,2*(ROWS($O$63:O77)-1)+1)),INDEX('M04-S01'!$AV$16:$AV$198,2*(ROWS($N$63:N77)-1)+1),0),"")</f>
        <v>0</v>
      </c>
      <c r="O77" s="107">
        <f>IF(ISNUMBER(INDEX('M04-S01'!$AK$16:$AK$198,2*(ROWS($O$63:O77)-1)+1)),INDEX('M04-S01'!$AK$16:$AK$198,2*(ROWS($O$63:O77)-1)+1),0)</f>
        <v>0</v>
      </c>
      <c r="P77" s="277">
        <f>IFERROR(IF(NOT(ISNUMBER(INDEX('M04-S01'!$AK$16:$AK$198,2*(ROWS($O$63:O77)-1)+1))),INDEX('M04-S01'!$AO$16:$AO$198,2*(ROWS($O$63:O77)-1)+1),0),"")</f>
        <v>0</v>
      </c>
      <c r="Q77" s="335">
        <f>IFERROR(IF(NOT(ISNUMBER(INDEX('M04-S01'!$AK$16:$AK$198,2*(ROWS($O$63:O77)-1)+1))),INDEX('M04-S01'!$AV$16:$AV$198,2*(ROWS($O$63:O77)-1)+1),0),"")</f>
        <v>0</v>
      </c>
      <c r="R77" s="63" t="str">
        <f>IFERROR(IF(NOT(ISNUMBER(INDEX('M04-S01'!$AK$16:$AK$198,2*(ROWS($O$63:O77)-1)+1))),INDEX(SPILLOVER[Spillover Reason],MATCH(INDEX('M04-S01'!$BC$16:$BC$198,2*(ROWS($O$63:O77)-1)+1),SPILLOVER[Spillover Text],0)),""),"")</f>
        <v/>
      </c>
      <c r="S77" s="283"/>
      <c r="T77" s="283"/>
      <c r="U77" s="277">
        <f>INDEX('M04-S01'!$B$16:$B$198,2*(ROWS($U$63:U77)-1)+1)</f>
        <v>15</v>
      </c>
      <c r="V77" s="254"/>
      <c r="W77" s="104">
        <f>INDEX('M04-S01'!$F$16:$F$198,2*(ROWS($W$63:W77)-1)+1)</f>
        <v>0</v>
      </c>
      <c r="X77" s="63">
        <f>INDEX('M04-S01'!$M$16:$M$198,2*(ROWS($X$63:X77)-1)+1)</f>
        <v>0</v>
      </c>
      <c r="Y77" s="63">
        <f>INDEX('M04-S01'!$U$16:$U$198,2*(ROWS($Y$63:Y77)-1)+1)</f>
        <v>0</v>
      </c>
      <c r="Z77" s="254"/>
      <c r="AA77" s="254"/>
      <c r="AB77" s="254"/>
      <c r="AC77" s="254"/>
      <c r="AD77" s="254"/>
      <c r="AE77" s="277">
        <f>IF(NOT(ISNUMBER(INDEX('M04-S01'!$AK$16:$AK$198,2*(ROWS($O$63:O77)-1)+1))),INDEX('M04-S01'!$Z$16:$Z$198,2*(ROWS($L$63:L77)-1)+1),0)</f>
        <v>0</v>
      </c>
      <c r="AF77" s="277">
        <f>INDEX('M04-S01'!$S$16:$S$198,2*(ROWS($AF$63:AF77)-1)+1)</f>
        <v>0</v>
      </c>
      <c r="AG77" s="277">
        <f>INDEX('M04-S01'!$AB$16:$AB$198,2*(ROWS($AG$63:AG77)-1)+1)</f>
        <v>0</v>
      </c>
      <c r="AH77" s="277" t="str">
        <f t="shared" si="36"/>
        <v/>
      </c>
      <c r="AI77" s="277" t="str">
        <f t="shared" si="37"/>
        <v/>
      </c>
      <c r="AJ77" s="107" t="str">
        <f t="shared" si="14"/>
        <v/>
      </c>
      <c r="AK77" s="107" t="str">
        <f t="shared" si="15"/>
        <v/>
      </c>
      <c r="AL77" s="107" t="str">
        <f t="shared" si="16"/>
        <v/>
      </c>
      <c r="AM77" s="107">
        <f>INDEX('M04-S01'!$AU$16:$AU$198,2*(ROWS($AM$63:AM77)-1)+1)</f>
        <v>0</v>
      </c>
      <c r="AN77" s="107">
        <f>INDEX('M04-S01'!$BB$16:$BB$198,2*(ROWS($AN$63:AN77)-1)+1)</f>
        <v>0</v>
      </c>
      <c r="AO77" s="277">
        <f>INDEX('M04-S01'!$Q$16:$Q$198,2*(ROWS($AO$63:AO77)-1)+1)</f>
        <v>0</v>
      </c>
      <c r="AP77" s="278"/>
      <c r="AQ77" s="278"/>
    </row>
    <row r="78" spans="1:43" x14ac:dyDescent="0.25">
      <c r="A78" s="554" t="str">
        <f>CONCATENATE(MAIN4," ",M4S2)</f>
        <v>PRE-APPROVAL MEASURES LPD-Exempt Interior Lighting</v>
      </c>
      <c r="B78" s="317"/>
      <c r="C78" s="317"/>
      <c r="D78" s="318"/>
      <c r="E78" s="317"/>
      <c r="F78" s="319"/>
      <c r="G78" s="318"/>
      <c r="H78" s="320"/>
      <c r="I78" s="320"/>
      <c r="J78" s="320"/>
      <c r="K78" s="318"/>
      <c r="L78" s="319"/>
      <c r="M78" s="319"/>
      <c r="N78" s="338"/>
      <c r="O78" s="320"/>
      <c r="P78" s="319"/>
      <c r="Q78" s="338"/>
      <c r="R78" s="318"/>
      <c r="S78" s="321"/>
      <c r="T78" s="321"/>
      <c r="U78" s="319"/>
      <c r="V78" s="318"/>
      <c r="W78" s="322"/>
      <c r="X78" s="318"/>
      <c r="Y78" s="318"/>
      <c r="Z78" s="323"/>
      <c r="AA78" s="318"/>
      <c r="AB78" s="318"/>
      <c r="AC78" s="318"/>
      <c r="AD78" s="318"/>
      <c r="AE78" s="319"/>
      <c r="AF78" s="319"/>
      <c r="AG78" s="319"/>
      <c r="AH78" s="319"/>
      <c r="AI78" s="319"/>
      <c r="AJ78" s="320" t="str">
        <f t="shared" si="14"/>
        <v/>
      </c>
      <c r="AK78" s="320" t="str">
        <f t="shared" si="15"/>
        <v/>
      </c>
      <c r="AL78" s="320" t="str">
        <f t="shared" si="16"/>
        <v/>
      </c>
      <c r="AM78" s="320"/>
      <c r="AN78" s="320"/>
      <c r="AO78" s="319"/>
      <c r="AP78" s="319"/>
      <c r="AQ78" s="319"/>
    </row>
    <row r="79" spans="1:43" x14ac:dyDescent="0.25">
      <c r="A79" s="118">
        <f>PROJID</f>
        <v>0</v>
      </c>
      <c r="B79" s="118" t="str">
        <f>IF(C79="","",CONCATENATE(ROW(),"-",C79))</f>
        <v/>
      </c>
      <c r="C79" s="118" t="str">
        <f>IFERROR(IF(J79&gt;0,INDEX('M04-S02'!$BB$18:$BB$198,2*(ROWS($C$79:C79)-1)+1),""),"")</f>
        <v/>
      </c>
      <c r="D79" s="63" t="s">
        <v>215</v>
      </c>
      <c r="E79" s="301" t="str">
        <f>IFERROR(INDEX(PMELIGHTLIN[End Use Category],MATCH(INDEX('M04-S02'!$BA$18:$BA$198,2*(ROWS($E$79:E79)-1)+1),PMELIGHTLIN[Measure Validator],0)),"")</f>
        <v>Lighting</v>
      </c>
      <c r="F79" s="277" t="str">
        <f>INDEX('M04-S02'!$AD$18:$AD$198,2*(ROWS($F$79:F79)-1)+1)</f>
        <v/>
      </c>
      <c r="G79" s="63" t="str">
        <f>INDEX('M04-S02'!$AA$18:$AA$198,2*(ROWS($G$79:G79)-1)+1)</f>
        <v/>
      </c>
      <c r="H79" s="107">
        <f>IFERROR(ROUND(INDEX('M04-S02'!$U$18:$U$198,2*(ROWS($H$79:H79)-1)+1)*INDEX('M04-S02'!$AF$18:$AF$198,2*(ROWS($H$79:H79)-1)+1),2),0)</f>
        <v>0</v>
      </c>
      <c r="I79" s="107">
        <f>IFERROR(ROUND(INDEX('M04-S02'!$U$18:$U$198,2*(ROWS($I$79:I79)-1)+1)*INDEX('M04-S02'!$AH$18:$AH$198,2*(ROWS($I$79:I79)-1)+1),2),0)</f>
        <v>0</v>
      </c>
      <c r="J79" s="107" t="str">
        <f>INDEX('M04-S02'!$AU$18:$AU$198,2*(ROWS($J$79:J79)-1)+1)</f>
        <v/>
      </c>
      <c r="K79" s="63" t="s">
        <v>134</v>
      </c>
      <c r="L79" s="277">
        <f>IF(ISNUMBER(INDEX('M04-S02'!$AO$18:$AO$198,2*(ROWS($M$79:M79)-1)+1)),INDEX('M04-S02'!$U$18:$U$198,2*(ROWS($L$79:L79)-1)+1),0)</f>
        <v>0</v>
      </c>
      <c r="M79" s="277">
        <f>IF(ISNUMBER(INDEX('M04-S02'!$AO$18:$AO$198,2*(ROWS($M$79:M79)-1)+1)),INDEX('M04-S02'!$AL$18:$AL$198,2*(ROWS($M$79:M79)-1)+1),0)</f>
        <v>0</v>
      </c>
      <c r="N79" s="335">
        <f>IF(ISNUMBER(INDEX('M04-S02'!$AO$18:$AO$198,2*(ROWS($M$79:M79)-1)+1)),IFERROR(INDEX('M04-S02'!$AV$18:$AV$198,2*(ROWS($N$79:N79)-1)+1),0),0)</f>
        <v>0</v>
      </c>
      <c r="O79" s="107">
        <f>IF(ISNUMBER(INDEX('M04-S02'!$AO$18:$AO$198,2*(ROWS($M$79:M79)-1)+1)),IFERROR(INDEX('M04-S02'!$AO$18:$AO$198,2*(ROWS($O$79:O79)-1)+1),""),0)</f>
        <v>0</v>
      </c>
      <c r="P79" s="277" t="str">
        <f>IFERROR(IF(NOT(ISNUMBER(INDEX('M04-S02'!$AO$18:$AO$198,2*(ROWS($O$79:O79)-1)+1))),INDEX('M04-S02'!$AL$18:$AL$198,2*(ROWS($M$79:M79)-1)+1),0),0)</f>
        <v/>
      </c>
      <c r="Q79" s="335" t="str">
        <f>IFERROR(IF(NOT(ISNUMBER(INDEX('M04-S02'!$AO$18:$AO$198,2*(ROWS($O$79:O79)-1)+1))),INDEX('M04-S02'!$AV$18:$AV$198,2*(ROWS($N$79:N79)-1)+1),0),0)</f>
        <v/>
      </c>
      <c r="R79" s="63" t="str">
        <f>IFERROR(IF(NOT(ISNUMBER(INDEX('M04-S02'!$AO$18:$AO$198,2*(ROWS($O$79:O79)-1)+1))),"Not Eligible",""),"")</f>
        <v>Not Eligible</v>
      </c>
      <c r="S79" s="282" t="str">
        <f>INDEX('M04-S02'!$M$18:$M$198,2*(ROWS($S$79:S79)-1)+1)</f>
        <v/>
      </c>
      <c r="T79" s="282" t="str">
        <f>INDEX('M04-S02'!$Y$18:$Y$198,2*(ROWS($T$79:T79)-1)+1)</f>
        <v/>
      </c>
      <c r="U79" s="277">
        <f>INDEX('M04-S02'!$B$18:$B$198,2*(ROWS($U$79:U79)-1)+1)</f>
        <v>1</v>
      </c>
      <c r="V79" s="104" t="str">
        <f>INDEX('M04-S02'!$E$18:$E$198,2*(ROWS($V$79:V79)-1)+1)</f>
        <v>Space 1 Baseline</v>
      </c>
      <c r="W79" s="104" t="str">
        <f>IF(INDEX('M04-S02'!$O$18:$O$198,2*(ROWS($W$79:W79)-1)+1)="Fixture","LED Fixture",INDEX('M04-S02'!$O$18:$O$198,2*(ROWS($W$79:W79)-1)+1))</f>
        <v>Efficient Design</v>
      </c>
      <c r="X79" s="301" t="str">
        <f>INDEX('M04-S02'!$H$18:$H$198,2*(ROWS($X$79:X79)-1)+1)</f>
        <v>Complete Worksheet</v>
      </c>
      <c r="Y79" s="63" t="str">
        <f>INDEX('M04-S02'!$R$18:$R$198,2*(ROWS($Y$79:Y79)-1)+1)</f>
        <v>Complete Worksheet</v>
      </c>
      <c r="Z79" s="254"/>
      <c r="AA79" s="254" t="str">
        <f>IFERROR(INDEX(CMLIGHTBASE[Measure Subgroup 1],MATCH(INDEX('M04-S02'!$E$18:$E$198,2*(ROWS($V$10:V79)-1)+1),CMLIGHTBASE[Base Desc 1],0)),"")</f>
        <v/>
      </c>
      <c r="AB79" s="254" t="str">
        <f>IFERROR(INDEX(CMLIGHTBASE[Measure Subgroup 2],MATCH(INDEX('M04-S02'!$E$18:$E$198,2*(ROWS($V$10:V79)-1)+1),CMLIGHTBASE[Base Desc 1],0)),"")</f>
        <v/>
      </c>
      <c r="AC79" s="254"/>
      <c r="AD79" s="254" t="str">
        <f>IF(ISNUMBER(INDEX('M04-S02'!$E$18:$E$198,2*(ROWS($AD$10:AD79)-1)+1)),INDEX('M04-S02'!$E$18:$E$198,2*(ROWS($AD$10:AD79)-1)+1)&amp;" Lamp","")</f>
        <v/>
      </c>
      <c r="AE79" s="277" t="str">
        <f>IFERROR(IF(NOT(ISNUMBER(INDEX('M04-S02'!$AO$18:$AO$198,2*(ROWS($O$79:O79)-1)+1))),INDEX('M04-S02'!$U$18:$U$198,2*(ROWS($L$79:L79)-1)+1),0),0)</f>
        <v/>
      </c>
      <c r="AF79" s="277" t="str">
        <f>INDEX('M04-S02'!$AW$18:$AW$198,2*(ROWS($AF$79:AF79)-1)+1)</f>
        <v/>
      </c>
      <c r="AG79" s="277" t="str">
        <f>INDEX('M04-S02'!$AX$18:$AX$198,2*(ROWS($AG$79:AG79)-1)+1)</f>
        <v/>
      </c>
      <c r="AH79" s="277" t="str">
        <f>IFERROR(AF79/AO79,"")</f>
        <v/>
      </c>
      <c r="AI79" s="277" t="str">
        <f>IFERROR(AG79/L79,"")</f>
        <v/>
      </c>
      <c r="AJ79" s="107" t="str">
        <f>IFERROR(O79/M79,"")</f>
        <v/>
      </c>
      <c r="AK79" s="107" t="str">
        <f>IFERROR(O79/N79,"")</f>
        <v/>
      </c>
      <c r="AL79" s="107" t="str">
        <f>IFERROR(O79/L79,"")</f>
        <v/>
      </c>
      <c r="AM79" s="280"/>
      <c r="AN79" s="107" t="str">
        <f>IFERROR(J79/M79/M02S02F35,"")</f>
        <v/>
      </c>
      <c r="AO79" s="277" t="str">
        <f>INDEX('M04-S02'!$K$18:$K$198,2*(ROWS($AO$79:AO79)-1)+1)</f>
        <v/>
      </c>
      <c r="AP79" s="277"/>
      <c r="AQ79" s="280"/>
    </row>
    <row r="80" spans="1:43" x14ac:dyDescent="0.25">
      <c r="A80" s="118">
        <f>PROJID</f>
        <v>0</v>
      </c>
      <c r="B80" s="118" t="str">
        <f t="shared" ref="B80:B82" si="39">IF(C80="","",CONCATENATE(ROW(),"-",C80))</f>
        <v/>
      </c>
      <c r="C80" s="118" t="str">
        <f>IFERROR(IF(J80&gt;0,INDEX('M04-S02'!$BB$18:$BB$198,2*(ROWS($C$79:C80)-1)+1),""),"")</f>
        <v/>
      </c>
      <c r="D80" s="63" t="s">
        <v>215</v>
      </c>
      <c r="E80" s="301" t="str">
        <f>IFERROR(INDEX(PMELIGHTLIN[End Use Category],MATCH(INDEX('M04-S02'!$BA$18:$BA$198,2*(ROWS($E$79:E80)-1)+1),PMELIGHTLIN[Measure Validator],0)),"")</f>
        <v>Lighting</v>
      </c>
      <c r="F80" s="277" t="str">
        <f>INDEX('M04-S02'!$AD$18:$AD$198,2*(ROWS($F$79:F80)-1)+1)</f>
        <v/>
      </c>
      <c r="G80" s="63" t="str">
        <f>INDEX('M04-S02'!$AA$18:$AA$198,2*(ROWS($G$79:G80)-1)+1)</f>
        <v/>
      </c>
      <c r="H80" s="107">
        <f>IFERROR(ROUND(INDEX('M04-S02'!$U$18:$U$198,2*(ROWS($H$79:H80)-1)+1)*INDEX('M04-S02'!$AF$18:$AF$198,2*(ROWS($H$79:H80)-1)+1),2),0)</f>
        <v>0</v>
      </c>
      <c r="I80" s="107">
        <f>IFERROR(ROUND(INDEX('M04-S02'!$U$18:$U$198,2*(ROWS($I$79:I80)-1)+1)*INDEX('M04-S02'!$AH$18:$AH$198,2*(ROWS($I$79:I80)-1)+1),2),0)</f>
        <v>0</v>
      </c>
      <c r="J80" s="107" t="str">
        <f>INDEX('M04-S02'!$AU$18:$AU$198,2*(ROWS($J$79:J80)-1)+1)</f>
        <v/>
      </c>
      <c r="K80" s="63" t="s">
        <v>134</v>
      </c>
      <c r="L80" s="277">
        <f>IF(ISNUMBER(INDEX('M04-S02'!$AO$18:$AO$198,2*(ROWS($M$79:M80)-1)+1)),INDEX('M04-S02'!$U$18:$U$198,2*(ROWS($L$79:L80)-1)+1),0)</f>
        <v>0</v>
      </c>
      <c r="M80" s="277">
        <f>IF(ISNUMBER(INDEX('M04-S02'!$AO$18:$AO$198,2*(ROWS($M$79:M80)-1)+1)),INDEX('M04-S02'!$AL$18:$AL$198,2*(ROWS($M$79:M80)-1)+1),0)</f>
        <v>0</v>
      </c>
      <c r="N80" s="335">
        <f>IF(ISNUMBER(INDEX('M04-S02'!$AO$18:$AO$198,2*(ROWS($M$79:M80)-1)+1)),IFERROR(INDEX('M04-S02'!$AV$18:$AV$198,2*(ROWS($N$79:N80)-1)+1),0),0)</f>
        <v>0</v>
      </c>
      <c r="O80" s="107">
        <f>IF(ISNUMBER(INDEX('M04-S02'!$AO$18:$AO$198,2*(ROWS($M$79:M80)-1)+1)),IFERROR(INDEX('M04-S02'!$AO$18:$AO$198,2*(ROWS($O$79:O80)-1)+1),""),0)</f>
        <v>0</v>
      </c>
      <c r="P80" s="277" t="str">
        <f>IFERROR(IF(NOT(ISNUMBER(INDEX('M04-S02'!$AO$18:$AO$198,2*(ROWS($O$79:O80)-1)+1))),INDEX('M04-S02'!$AL$18:$AL$198,2*(ROWS($M$79:M80)-1)+1),0),0)</f>
        <v/>
      </c>
      <c r="Q80" s="335" t="str">
        <f>IFERROR(IF(NOT(ISNUMBER(INDEX('M04-S02'!$AO$18:$AO$198,2*(ROWS($O$79:O80)-1)+1))),INDEX('M04-S02'!$AV$18:$AV$198,2*(ROWS($N$79:N80)-1)+1),0),0)</f>
        <v/>
      </c>
      <c r="R80" s="63" t="str">
        <f>IFERROR(IF(NOT(ISNUMBER(INDEX('M04-S02'!$AO$18:$AO$198,2*(ROWS($O$79:O80)-1)+1))),"Not Eligible",""),"")</f>
        <v>Not Eligible</v>
      </c>
      <c r="S80" s="282" t="str">
        <f>INDEX('M04-S02'!$M$18:$M$198,2*(ROWS($S$79:S80)-1)+1)</f>
        <v/>
      </c>
      <c r="T80" s="282" t="str">
        <f>INDEX('M04-S02'!$Y$18:$Y$198,2*(ROWS($T$79:T80)-1)+1)</f>
        <v/>
      </c>
      <c r="U80" s="277">
        <f>INDEX('M04-S02'!$B$18:$B$198,2*(ROWS($U$79:U80)-1)+1)</f>
        <v>2</v>
      </c>
      <c r="V80" s="104" t="str">
        <f>INDEX('M04-S02'!$E$18:$E$198,2*(ROWS($V$79:V80)-1)+1)</f>
        <v>Space 2 Baseline</v>
      </c>
      <c r="W80" s="104" t="str">
        <f>IF(INDEX('M04-S02'!$O$18:$O$198,2*(ROWS($W$79:W80)-1)+1)="Fixture","LED Fixture",INDEX('M04-S02'!$O$18:$O$198,2*(ROWS($W$79:W80)-1)+1))</f>
        <v>Efficient Design</v>
      </c>
      <c r="X80" s="301" t="str">
        <f>INDEX('M04-S02'!$H$18:$H$198,2*(ROWS($X$79:X80)-1)+1)</f>
        <v>Complete Worksheet</v>
      </c>
      <c r="Y80" s="63" t="str">
        <f>INDEX('M04-S02'!$R$18:$R$198,2*(ROWS($Y$79:Y80)-1)+1)</f>
        <v>Complete Worksheet</v>
      </c>
      <c r="Z80" s="254"/>
      <c r="AA80" s="254" t="str">
        <f>IFERROR(INDEX(CMLIGHTBASE[Measure Subgroup 1],MATCH(INDEX('M04-S02'!$E$18:$E$198,2*(ROWS($V$10:V80)-1)+1),CMLIGHTBASE[Base Desc 1],0)),"")</f>
        <v/>
      </c>
      <c r="AB80" s="254" t="str">
        <f>IFERROR(INDEX(CMLIGHTBASE[Measure Subgroup 2],MATCH(INDEX('M04-S02'!$E$18:$E$198,2*(ROWS($V$10:V80)-1)+1),CMLIGHTBASE[Base Desc 1],0)),"")</f>
        <v/>
      </c>
      <c r="AC80" s="254"/>
      <c r="AD80" s="254" t="str">
        <f>IF(ISNUMBER(INDEX('M04-S02'!$E$18:$E$198,2*(ROWS($AD$10:AD80)-1)+1)),INDEX('M04-S02'!$E$18:$E$198,2*(ROWS($AD$10:AD80)-1)+1)&amp;" Lamp","")</f>
        <v/>
      </c>
      <c r="AE80" s="277" t="str">
        <f>IFERROR(IF(NOT(ISNUMBER(INDEX('M04-S02'!$AO$18:$AO$198,2*(ROWS($O$79:O80)-1)+1))),INDEX('M04-S02'!$U$18:$U$198,2*(ROWS($L$79:L80)-1)+1),0),0)</f>
        <v/>
      </c>
      <c r="AF80" s="277" t="str">
        <f>INDEX('M04-S02'!$AW$18:$AW$198,2*(ROWS($AF$79:AF80)-1)+1)</f>
        <v/>
      </c>
      <c r="AG80" s="277" t="str">
        <f>INDEX('M04-S02'!$AX$18:$AX$198,2*(ROWS($AG$79:AG80)-1)+1)</f>
        <v/>
      </c>
      <c r="AH80" s="277" t="str">
        <f t="shared" ref="AH80:AH82" si="40">IFERROR(AF80/AO80,"")</f>
        <v/>
      </c>
      <c r="AI80" s="277" t="str">
        <f t="shared" ref="AI80:AI82" si="41">IFERROR(AG80/L80,"")</f>
        <v/>
      </c>
      <c r="AJ80" s="107" t="str">
        <f t="shared" ref="AJ80:AJ82" si="42">IFERROR(O80/M80,"")</f>
        <v/>
      </c>
      <c r="AK80" s="107" t="str">
        <f t="shared" ref="AK80:AK82" si="43">IFERROR(O80/N80,"")</f>
        <v/>
      </c>
      <c r="AL80" s="107" t="str">
        <f t="shared" ref="AL80:AL82" si="44">IFERROR(O80/L80,"")</f>
        <v/>
      </c>
      <c r="AM80" s="280"/>
      <c r="AN80" s="107" t="str">
        <f>IFERROR(J80/M80/M02S02F35,"")</f>
        <v/>
      </c>
      <c r="AO80" s="277" t="str">
        <f>INDEX('M04-S02'!$K$18:$K$198,2*(ROWS($AO$79:AO80)-1)+1)</f>
        <v/>
      </c>
      <c r="AP80" s="277"/>
      <c r="AQ80" s="280"/>
    </row>
    <row r="81" spans="1:43" x14ac:dyDescent="0.25">
      <c r="A81" s="118">
        <f>PROJID</f>
        <v>0</v>
      </c>
      <c r="B81" s="118" t="str">
        <f t="shared" si="39"/>
        <v/>
      </c>
      <c r="C81" s="118" t="str">
        <f>IFERROR(IF(J81&gt;0,INDEX('M04-S02'!$BB$18:$BB$198,2*(ROWS($C$79:C81)-1)+1),""),"")</f>
        <v/>
      </c>
      <c r="D81" s="63" t="s">
        <v>215</v>
      </c>
      <c r="E81" s="301" t="str">
        <f>IFERROR(INDEX(PMELIGHTLIN[End Use Category],MATCH(INDEX('M04-S02'!$BA$18:$BA$198,2*(ROWS($E$79:E81)-1)+1),PMELIGHTLIN[Measure Validator],0)),"")</f>
        <v>Lighting</v>
      </c>
      <c r="F81" s="277" t="str">
        <f>INDEX('M04-S02'!$AD$18:$AD$198,2*(ROWS($F$79:F81)-1)+1)</f>
        <v/>
      </c>
      <c r="G81" s="63" t="str">
        <f>INDEX('M04-S02'!$AA$18:$AA$198,2*(ROWS($G$79:G81)-1)+1)</f>
        <v/>
      </c>
      <c r="H81" s="107">
        <f>IFERROR(ROUND(INDEX('M04-S02'!$U$18:$U$198,2*(ROWS($H$79:H81)-1)+1)*INDEX('M04-S02'!$AF$18:$AF$198,2*(ROWS($H$79:H81)-1)+1),2),0)</f>
        <v>0</v>
      </c>
      <c r="I81" s="107">
        <f>IFERROR(ROUND(INDEX('M04-S02'!$U$18:$U$198,2*(ROWS($I$79:I81)-1)+1)*INDEX('M04-S02'!$AH$18:$AH$198,2*(ROWS($I$79:I81)-1)+1),2),0)</f>
        <v>0</v>
      </c>
      <c r="J81" s="107" t="str">
        <f>INDEX('M04-S02'!$AU$18:$AU$198,2*(ROWS($J$79:J81)-1)+1)</f>
        <v/>
      </c>
      <c r="K81" s="63" t="s">
        <v>134</v>
      </c>
      <c r="L81" s="277">
        <f>IF(ISNUMBER(INDEX('M04-S02'!$AO$18:$AO$198,2*(ROWS($M$79:M81)-1)+1)),INDEX('M04-S02'!$U$18:$U$198,2*(ROWS($L$79:L81)-1)+1),0)</f>
        <v>0</v>
      </c>
      <c r="M81" s="277">
        <f>IF(ISNUMBER(INDEX('M04-S02'!$AO$18:$AO$198,2*(ROWS($M$79:M81)-1)+1)),INDEX('M04-S02'!$AL$18:$AL$198,2*(ROWS($M$79:M81)-1)+1),0)</f>
        <v>0</v>
      </c>
      <c r="N81" s="335">
        <f>IF(ISNUMBER(INDEX('M04-S02'!$AO$18:$AO$198,2*(ROWS($M$79:M81)-1)+1)),IFERROR(INDEX('M04-S02'!$AV$18:$AV$198,2*(ROWS($N$79:N81)-1)+1),0),0)</f>
        <v>0</v>
      </c>
      <c r="O81" s="107">
        <f>IF(ISNUMBER(INDEX('M04-S02'!$AO$18:$AO$198,2*(ROWS($M$79:M81)-1)+1)),IFERROR(INDEX('M04-S02'!$AO$18:$AO$198,2*(ROWS($O$79:O81)-1)+1),""),0)</f>
        <v>0</v>
      </c>
      <c r="P81" s="277" t="str">
        <f>IFERROR(IF(NOT(ISNUMBER(INDEX('M04-S02'!$AO$18:$AO$198,2*(ROWS($O$79:O81)-1)+1))),INDEX('M04-S02'!$AL$18:$AL$198,2*(ROWS($M$79:M81)-1)+1),0),0)</f>
        <v/>
      </c>
      <c r="Q81" s="335" t="str">
        <f>IFERROR(IF(NOT(ISNUMBER(INDEX('M04-S02'!$AO$18:$AO$198,2*(ROWS($O$79:O81)-1)+1))),INDEX('M04-S02'!$AV$18:$AV$198,2*(ROWS($N$79:N81)-1)+1),0),0)</f>
        <v/>
      </c>
      <c r="R81" s="63" t="str">
        <f>IFERROR(IF(NOT(ISNUMBER(INDEX('M04-S02'!$AO$18:$AO$198,2*(ROWS($O$79:O81)-1)+1))),"Not Eligible",""),"")</f>
        <v>Not Eligible</v>
      </c>
      <c r="S81" s="282" t="str">
        <f>INDEX('M04-S02'!$M$18:$M$198,2*(ROWS($S$79:S81)-1)+1)</f>
        <v/>
      </c>
      <c r="T81" s="282" t="str">
        <f>INDEX('M04-S02'!$Y$18:$Y$198,2*(ROWS($T$79:T81)-1)+1)</f>
        <v/>
      </c>
      <c r="U81" s="277">
        <f>INDEX('M04-S02'!$B$18:$B$198,2*(ROWS($U$79:U81)-1)+1)</f>
        <v>3</v>
      </c>
      <c r="V81" s="104" t="str">
        <f>INDEX('M04-S02'!$E$18:$E$198,2*(ROWS($V$79:V81)-1)+1)</f>
        <v>Space 3 Baseline</v>
      </c>
      <c r="W81" s="104" t="str">
        <f>IF(INDEX('M04-S02'!$O$18:$O$198,2*(ROWS($W$79:W81)-1)+1)="Fixture","LED Fixture",INDEX('M04-S02'!$O$18:$O$198,2*(ROWS($W$79:W81)-1)+1))</f>
        <v>Efficient Design</v>
      </c>
      <c r="X81" s="301" t="str">
        <f>INDEX('M04-S02'!$H$18:$H$198,2*(ROWS($X$79:X81)-1)+1)</f>
        <v>Complete Worksheet</v>
      </c>
      <c r="Y81" s="63" t="str">
        <f>INDEX('M04-S02'!$R$18:$R$198,2*(ROWS($Y$79:Y81)-1)+1)</f>
        <v>Complete Worksheet</v>
      </c>
      <c r="Z81" s="254"/>
      <c r="AA81" s="254" t="str">
        <f>IFERROR(INDEX(CMLIGHTBASE[Measure Subgroup 1],MATCH(INDEX('M04-S02'!$E$18:$E$198,2*(ROWS($V$10:V81)-1)+1),CMLIGHTBASE[Base Desc 1],0)),"")</f>
        <v/>
      </c>
      <c r="AB81" s="254" t="str">
        <f>IFERROR(INDEX(CMLIGHTBASE[Measure Subgroup 2],MATCH(INDEX('M04-S02'!$E$18:$E$198,2*(ROWS($V$10:V81)-1)+1),CMLIGHTBASE[Base Desc 1],0)),"")</f>
        <v/>
      </c>
      <c r="AC81" s="254"/>
      <c r="AD81" s="254" t="str">
        <f>IF(ISNUMBER(INDEX('M04-S02'!$E$18:$E$198,2*(ROWS($AD$10:AD81)-1)+1)),INDEX('M04-S02'!$E$18:$E$198,2*(ROWS($AD$10:AD81)-1)+1)&amp;" Lamp","")</f>
        <v/>
      </c>
      <c r="AE81" s="277" t="str">
        <f>IFERROR(IF(NOT(ISNUMBER(INDEX('M04-S02'!$AO$18:$AO$198,2*(ROWS($O$79:O81)-1)+1))),INDEX('M04-S02'!$U$18:$U$198,2*(ROWS($L$79:L81)-1)+1),0),0)</f>
        <v/>
      </c>
      <c r="AF81" s="277" t="str">
        <f>INDEX('M04-S02'!$AW$18:$AW$198,2*(ROWS($AF$79:AF81)-1)+1)</f>
        <v/>
      </c>
      <c r="AG81" s="277" t="str">
        <f>INDEX('M04-S02'!$AX$18:$AX$198,2*(ROWS($AG$79:AG81)-1)+1)</f>
        <v/>
      </c>
      <c r="AH81" s="277" t="str">
        <f t="shared" si="40"/>
        <v/>
      </c>
      <c r="AI81" s="277" t="str">
        <f t="shared" si="41"/>
        <v/>
      </c>
      <c r="AJ81" s="107" t="str">
        <f t="shared" si="42"/>
        <v/>
      </c>
      <c r="AK81" s="107" t="str">
        <f t="shared" si="43"/>
        <v/>
      </c>
      <c r="AL81" s="107" t="str">
        <f t="shared" si="44"/>
        <v/>
      </c>
      <c r="AM81" s="280"/>
      <c r="AN81" s="107" t="str">
        <f>IFERROR(J81/M81/M02S02F35,"")</f>
        <v/>
      </c>
      <c r="AO81" s="277" t="str">
        <f>INDEX('M04-S02'!$K$18:$K$198,2*(ROWS($AO$79:AO81)-1)+1)</f>
        <v/>
      </c>
      <c r="AP81" s="277"/>
      <c r="AQ81" s="280"/>
    </row>
    <row r="82" spans="1:43" x14ac:dyDescent="0.25">
      <c r="A82" s="118">
        <f>PROJID</f>
        <v>0</v>
      </c>
      <c r="B82" s="118" t="str">
        <f t="shared" si="39"/>
        <v/>
      </c>
      <c r="C82" s="118" t="str">
        <f>IFERROR(IF(J82&gt;0,INDEX('M04-S02'!$BB$18:$BB$198,2*(ROWS($C$79:C82)-1)+1),""),"")</f>
        <v/>
      </c>
      <c r="D82" s="63" t="s">
        <v>215</v>
      </c>
      <c r="E82" s="301" t="str">
        <f>IFERROR(INDEX(PMELIGHTLIN[End Use Category],MATCH(INDEX('M04-S02'!$BA$18:$BA$198,2*(ROWS($E$79:E82)-1)+1),PMELIGHTLIN[Measure Validator],0)),"")</f>
        <v>Lighting</v>
      </c>
      <c r="F82" s="277" t="str">
        <f>INDEX('M04-S02'!$AD$18:$AD$198,2*(ROWS($F$79:F82)-1)+1)</f>
        <v/>
      </c>
      <c r="G82" s="63" t="str">
        <f>INDEX('M04-S02'!$AA$18:$AA$198,2*(ROWS($G$79:G82)-1)+1)</f>
        <v/>
      </c>
      <c r="H82" s="107">
        <f>IFERROR(ROUND(INDEX('M04-S02'!$U$18:$U$198,2*(ROWS($H$79:H82)-1)+1)*INDEX('M04-S02'!$AF$18:$AF$198,2*(ROWS($H$79:H82)-1)+1),2),0)</f>
        <v>0</v>
      </c>
      <c r="I82" s="107">
        <f>IFERROR(ROUND(INDEX('M04-S02'!$U$18:$U$198,2*(ROWS($I$79:I82)-1)+1)*INDEX('M04-S02'!$AH$18:$AH$198,2*(ROWS($I$79:I82)-1)+1),2),0)</f>
        <v>0</v>
      </c>
      <c r="J82" s="107" t="str">
        <f>INDEX('M04-S02'!$AU$18:$AU$198,2*(ROWS($J$79:J82)-1)+1)</f>
        <v/>
      </c>
      <c r="K82" s="63" t="s">
        <v>134</v>
      </c>
      <c r="L82" s="277">
        <f>IF(ISNUMBER(INDEX('M04-S02'!$AO$18:$AO$198,2*(ROWS($M$79:M82)-1)+1)),INDEX('M04-S02'!$U$18:$U$198,2*(ROWS($L$79:L82)-1)+1),0)</f>
        <v>0</v>
      </c>
      <c r="M82" s="277">
        <f>IF(ISNUMBER(INDEX('M04-S02'!$AO$18:$AO$198,2*(ROWS($M$79:M82)-1)+1)),INDEX('M04-S02'!$AL$18:$AL$198,2*(ROWS($M$79:M82)-1)+1),0)</f>
        <v>0</v>
      </c>
      <c r="N82" s="335">
        <f>IF(ISNUMBER(INDEX('M04-S02'!$AO$18:$AO$198,2*(ROWS($M$79:M82)-1)+1)),IFERROR(INDEX('M04-S02'!$AV$18:$AV$198,2*(ROWS($N$79:N82)-1)+1),0),0)</f>
        <v>0</v>
      </c>
      <c r="O82" s="107">
        <f>IF(ISNUMBER(INDEX('M04-S02'!$AO$18:$AO$198,2*(ROWS($M$79:M82)-1)+1)),IFERROR(INDEX('M04-S02'!$AO$18:$AO$198,2*(ROWS($O$79:O82)-1)+1),""),0)</f>
        <v>0</v>
      </c>
      <c r="P82" s="277" t="str">
        <f>IFERROR(IF(NOT(ISNUMBER(INDEX('M04-S02'!$AO$18:$AO$198,2*(ROWS($O$79:O82)-1)+1))),INDEX('M04-S02'!$AL$18:$AL$198,2*(ROWS($M$79:M82)-1)+1),0),0)</f>
        <v/>
      </c>
      <c r="Q82" s="335" t="str">
        <f>IFERROR(IF(NOT(ISNUMBER(INDEX('M04-S02'!$AO$18:$AO$198,2*(ROWS($O$79:O82)-1)+1))),INDEX('M04-S02'!$AV$18:$AV$198,2*(ROWS($N$79:N82)-1)+1),0),0)</f>
        <v/>
      </c>
      <c r="R82" s="63" t="str">
        <f>IFERROR(IF(NOT(ISNUMBER(INDEX('M04-S02'!$AO$18:$AO$198,2*(ROWS($O$79:O82)-1)+1))),"Not Eligible",""),"")</f>
        <v>Not Eligible</v>
      </c>
      <c r="S82" s="282" t="str">
        <f>INDEX('M04-S02'!$M$18:$M$198,2*(ROWS($S$79:S82)-1)+1)</f>
        <v/>
      </c>
      <c r="T82" s="282" t="str">
        <f>INDEX('M04-S02'!$Y$18:$Y$198,2*(ROWS($T$79:T82)-1)+1)</f>
        <v/>
      </c>
      <c r="U82" s="277">
        <f>INDEX('M04-S02'!$B$18:$B$198,2*(ROWS($U$79:U82)-1)+1)</f>
        <v>4</v>
      </c>
      <c r="V82" s="104" t="str">
        <f>INDEX('M04-S02'!$E$18:$E$198,2*(ROWS($V$79:V82)-1)+1)</f>
        <v>Space 4 Baseline</v>
      </c>
      <c r="W82" s="104" t="str">
        <f>IF(INDEX('M04-S02'!$O$18:$O$198,2*(ROWS($W$79:W82)-1)+1)="Fixture","LED Fixture",INDEX('M04-S02'!$O$18:$O$198,2*(ROWS($W$79:W82)-1)+1))</f>
        <v>Efficient Design</v>
      </c>
      <c r="X82" s="301" t="str">
        <f>INDEX('M04-S02'!$H$18:$H$198,2*(ROWS($X$79:X82)-1)+1)</f>
        <v>Complete Worksheet</v>
      </c>
      <c r="Y82" s="63" t="str">
        <f>INDEX('M04-S02'!$R$18:$R$198,2*(ROWS($Y$79:Y82)-1)+1)</f>
        <v>Complete Worksheet</v>
      </c>
      <c r="Z82" s="254"/>
      <c r="AA82" s="254" t="str">
        <f>IFERROR(INDEX(CMLIGHTBASE[Measure Subgroup 1],MATCH(INDEX('M04-S02'!$E$18:$E$198,2*(ROWS($V$10:V82)-1)+1),CMLIGHTBASE[Base Desc 1],0)),"")</f>
        <v/>
      </c>
      <c r="AB82" s="254" t="str">
        <f>IFERROR(INDEX(CMLIGHTBASE[Measure Subgroup 2],MATCH(INDEX('M04-S02'!$E$18:$E$198,2*(ROWS($V$10:V82)-1)+1),CMLIGHTBASE[Base Desc 1],0)),"")</f>
        <v/>
      </c>
      <c r="AC82" s="254"/>
      <c r="AD82" s="254" t="str">
        <f>IF(ISNUMBER(INDEX('M04-S02'!$E$18:$E$198,2*(ROWS($AD$10:AD82)-1)+1)),INDEX('M04-S02'!$E$18:$E$198,2*(ROWS($AD$10:AD82)-1)+1)&amp;" Lamp","")</f>
        <v/>
      </c>
      <c r="AE82" s="277" t="str">
        <f>IFERROR(IF(NOT(ISNUMBER(INDEX('M04-S02'!$AO$18:$AO$198,2*(ROWS($O$79:O82)-1)+1))),INDEX('M04-S02'!$U$18:$U$198,2*(ROWS($L$79:L82)-1)+1),0),0)</f>
        <v/>
      </c>
      <c r="AF82" s="277" t="str">
        <f>INDEX('M04-S02'!$AW$18:$AW$198,2*(ROWS($AF$79:AF82)-1)+1)</f>
        <v/>
      </c>
      <c r="AG82" s="277" t="str">
        <f>INDEX('M04-S02'!$AX$18:$AX$198,2*(ROWS($AG$79:AG82)-1)+1)</f>
        <v/>
      </c>
      <c r="AH82" s="277" t="str">
        <f t="shared" si="40"/>
        <v/>
      </c>
      <c r="AI82" s="277" t="str">
        <f t="shared" si="41"/>
        <v/>
      </c>
      <c r="AJ82" s="107" t="str">
        <f t="shared" si="42"/>
        <v/>
      </c>
      <c r="AK82" s="107" t="str">
        <f t="shared" si="43"/>
        <v/>
      </c>
      <c r="AL82" s="107" t="str">
        <f t="shared" si="44"/>
        <v/>
      </c>
      <c r="AM82" s="280"/>
      <c r="AN82" s="107" t="str">
        <f>IFERROR(J82/M82/M02S02F35,"")</f>
        <v/>
      </c>
      <c r="AO82" s="277" t="str">
        <f>INDEX('M04-S02'!$K$18:$K$198,2*(ROWS($AO$79:AO82)-1)+1)</f>
        <v/>
      </c>
      <c r="AP82" s="277"/>
      <c r="AQ82" s="280"/>
    </row>
    <row r="83" spans="1:43" x14ac:dyDescent="0.25">
      <c r="A83" s="554" t="str">
        <f>CONCATENATE(MAIN4," ",M4S3)</f>
        <v>PRE-APPROVAL MEASURES Commercial Cooking / Water Heating</v>
      </c>
      <c r="B83" s="317"/>
      <c r="C83" s="317"/>
      <c r="D83" s="318"/>
      <c r="E83" s="317"/>
      <c r="F83" s="319"/>
      <c r="G83" s="318"/>
      <c r="H83" s="320"/>
      <c r="I83" s="320"/>
      <c r="J83" s="320"/>
      <c r="K83" s="318"/>
      <c r="L83" s="319"/>
      <c r="M83" s="319"/>
      <c r="N83" s="338"/>
      <c r="O83" s="320"/>
      <c r="P83" s="319"/>
      <c r="Q83" s="338"/>
      <c r="R83" s="318"/>
      <c r="S83" s="321"/>
      <c r="T83" s="321"/>
      <c r="U83" s="319"/>
      <c r="V83" s="318"/>
      <c r="W83" s="322"/>
      <c r="X83" s="318"/>
      <c r="Y83" s="318"/>
      <c r="Z83" s="323"/>
      <c r="AA83" s="318"/>
      <c r="AB83" s="318"/>
      <c r="AC83" s="318"/>
      <c r="AD83" s="318"/>
      <c r="AE83" s="319"/>
      <c r="AF83" s="319"/>
      <c r="AG83" s="319"/>
      <c r="AH83" s="319"/>
      <c r="AI83" s="319"/>
      <c r="AJ83" s="320" t="str">
        <f t="shared" ref="AJ83:AJ115" si="45">IFERROR(O83/M83,"")</f>
        <v/>
      </c>
      <c r="AK83" s="320" t="str">
        <f t="shared" ref="AK83:AK115" si="46">IFERROR(O83/N83,"")</f>
        <v/>
      </c>
      <c r="AL83" s="320" t="str">
        <f t="shared" ref="AL83:AL116" si="47">IFERROR(O83/L83,"")</f>
        <v/>
      </c>
      <c r="AM83" s="320"/>
      <c r="AN83" s="320"/>
      <c r="AO83" s="319"/>
      <c r="AP83" s="319"/>
      <c r="AQ83" s="319"/>
    </row>
    <row r="84" spans="1:43" x14ac:dyDescent="0.25">
      <c r="A84" s="118">
        <f t="shared" ref="A84:A98" si="48">PROJID</f>
        <v>0</v>
      </c>
      <c r="B84" s="118" t="str">
        <f t="shared" ref="B84:B98" si="49">IF(C84="","",CONCATENATE(ROW(),"-",C84))</f>
        <v/>
      </c>
      <c r="C84" s="118" t="str">
        <f>IF(J84&gt;0,INDEX('M04-S03'!$AY$16:$AY$198,2*(ROWS($C$84:C84)-1)+1),"")</f>
        <v/>
      </c>
      <c r="D84" s="63" t="s">
        <v>215</v>
      </c>
      <c r="E84" s="301" t="str">
        <f>IFERROR(INDEX('M04-S03'!$AW$16:$AW$198,2*(ROWS($E$84:E84)-1)+1),"")</f>
        <v/>
      </c>
      <c r="F84" s="278"/>
      <c r="G84" s="254"/>
      <c r="H84" s="107">
        <f>INDEX('M04-S03'!$AD$16:$AD$198,2*(ROWS($H$84:H84)-1)+1)</f>
        <v>0</v>
      </c>
      <c r="I84" s="107">
        <f>INDEX('M04-S03'!$AF$16:$AF$198,2*(ROWS($I$84:I84)-1)+1)</f>
        <v>0</v>
      </c>
      <c r="J84" s="107" t="str">
        <f>INDEX('M04-S03'!$AH$16:$AH$198,2*(ROWS($J$84:J84)-1)+1)</f>
        <v/>
      </c>
      <c r="K84" s="63" t="str">
        <f>IFERROR(INDEX(CMECOOK[Cost Basis],MATCH(INDEX('M04-S03'!$F$16:$F$198,2*(ROWS($K$84:K84)-1)+1),CMECOOK[Proj Desc 1],0)),"")</f>
        <v/>
      </c>
      <c r="L84" s="277">
        <f>IF(ISNUMBER(INDEX('M04-S03'!$AK$16:$AK$198,2*(ROWS($O$84:O84)-1)+1)),INDEX('M04-S03'!$Z$16:$Z$198,2*(ROWS($L$84:L84)-1)+1),0)</f>
        <v>0</v>
      </c>
      <c r="M84" s="277">
        <f>IFERROR(IF(ISNUMBER(INDEX('M04-S03'!$AK$16:$AK$198,2*(ROWS($O$84:O84)-1)+1)),INDEX('M04-S03'!$AO$16:$AO$198,2*(ROWS($M$84:M84)-1)+1),0),"")</f>
        <v>0</v>
      </c>
      <c r="N84" s="335">
        <f>IFERROR(IF(ISNUMBER(INDEX('M04-S03'!$AK$16:$AK$198,2*(ROWS($O$84:O84)-1)+1)),INDEX('M04-S03'!$AV$16:$AV$198,2*(ROWS($N$84:N84)-1)+1),0),"")</f>
        <v>0</v>
      </c>
      <c r="O84" s="107">
        <f>IF(ISNUMBER(INDEX('M04-S03'!$AK$16:$AK$198,2*(ROWS($O$84:O84)-1)+1)),INDEX('M04-S03'!$AK$16:$AK$198,2*(ROWS($O$84:O84)-1)+1),0)</f>
        <v>0</v>
      </c>
      <c r="P84" s="277" t="str">
        <f>IFERROR(IF(NOT(ISNUMBER(INDEX('M04-S03'!$AK$16:$AK$198,2*(ROWS($O$84:O84)-1)+1))),INDEX('M04-S03'!$AO$16:$AO$198,2*(ROWS($O$84:O84)-1)+1),0),"")</f>
        <v/>
      </c>
      <c r="Q84" s="335" t="str">
        <f>IFERROR(IF(NOT(ISNUMBER(INDEX('M04-S03'!$AK$16:$AK$198,2*(ROWS($O$84:O84)-1)+1))),INDEX('M04-S03'!$AV$16:$AV$198,2*(ROWS($O$84:O84)-1)+1),0),"")</f>
        <v/>
      </c>
      <c r="R84" s="63" t="str">
        <f>IFERROR(IF(NOT(ISNUMBER(INDEX('M04-S03'!$AK$16:$AK$198,2*(ROWS($O$84:O84)-1)+1))),INDEX(SPILLOVER[Spillover Reason],MATCH(INDEX('M04-S03'!$BC$16:$BC$198,2*(ROWS($O$84:O84)-1)+1),SPILLOVER[Spillover Text],0)),""),"")</f>
        <v>Not Eligible</v>
      </c>
      <c r="S84" s="283"/>
      <c r="T84" s="283"/>
      <c r="U84" s="277">
        <f>INDEX('M04-S03'!$B$16:$B$198,2*(ROWS($U$84:U84)-1)+1)</f>
        <v>1</v>
      </c>
      <c r="V84" s="254"/>
      <c r="W84" s="104">
        <f>INDEX('M04-S03'!$F$16:$F$198,2*(ROWS($W$84:W84)-1)+1)</f>
        <v>0</v>
      </c>
      <c r="X84" s="63">
        <f>INDEX('M04-S03'!$L$16:$L$198,2*(ROWS($X$84:X84)-1)+1)</f>
        <v>0</v>
      </c>
      <c r="Y84" s="63">
        <f>INDEX('M04-S03'!$U$16:$U$198,2*(ROWS($Y$84:Y84)-1)+1)</f>
        <v>0</v>
      </c>
      <c r="Z84" s="254"/>
      <c r="AA84" s="254"/>
      <c r="AB84" s="254"/>
      <c r="AC84" s="254"/>
      <c r="AD84" s="254"/>
      <c r="AE84" s="277">
        <f>IF(NOT(ISNUMBER(INDEX('M04-S03'!$AK$16:$AK$198,2*(ROWS($O$84:O84)-1)+1))),INDEX('M04-S03'!$Z$16:$Z$198,2*(ROWS($L$84:L84)-1)+1),0)</f>
        <v>0</v>
      </c>
      <c r="AF84" s="277">
        <f>INDEX('M04-S03'!$S$16:$S$198,2*(ROWS($AF$84:AF84)-1)+1)</f>
        <v>0</v>
      </c>
      <c r="AG84" s="277">
        <f>INDEX('M04-S03'!$AB$16:$AB$198,2*(ROWS($AG$84:AG84)-1)+1)</f>
        <v>0</v>
      </c>
      <c r="AH84" s="277" t="str">
        <f>IFERROR(AF84/AO84,"")</f>
        <v/>
      </c>
      <c r="AI84" s="277" t="str">
        <f>IFERROR(AG84/L84,"")</f>
        <v/>
      </c>
      <c r="AJ84" s="107" t="str">
        <f>IFERROR(O84/M84,"")</f>
        <v/>
      </c>
      <c r="AK84" s="107" t="str">
        <f>IFERROR(O84/N84,"")</f>
        <v/>
      </c>
      <c r="AL84" s="107" t="str">
        <f t="shared" si="47"/>
        <v/>
      </c>
      <c r="AM84" s="107" t="str">
        <f>INDEX('M04-S03'!$AU$16:$AU$198,2*(ROWS($AM$84:AM84)-1)+1)</f>
        <v/>
      </c>
      <c r="AN84" s="107" t="str">
        <f>INDEX('M04-S03'!$BB$16:$BB$198,2*(ROWS($AN$84:AN84)-1)+1)</f>
        <v/>
      </c>
      <c r="AO84" s="277">
        <f>INDEX('M04-S03'!$Q$16:$Q$198,2*(ROWS($AO$84:AO84)-1)+1)</f>
        <v>0</v>
      </c>
      <c r="AP84" s="278"/>
      <c r="AQ84" s="278"/>
    </row>
    <row r="85" spans="1:43" x14ac:dyDescent="0.25">
      <c r="A85" s="118">
        <f t="shared" si="48"/>
        <v>0</v>
      </c>
      <c r="B85" s="118" t="str">
        <f t="shared" si="49"/>
        <v/>
      </c>
      <c r="C85" s="118" t="str">
        <f>IF(J85&gt;0,INDEX('M04-S03'!$AY$16:$AY$198,2*(ROWS($C$84:C85)-1)+1),"")</f>
        <v/>
      </c>
      <c r="D85" s="63" t="s">
        <v>215</v>
      </c>
      <c r="E85" s="301" t="str">
        <f>IFERROR(INDEX('M04-S03'!$AW$16:$AW$198,2*(ROWS($E$84:E85)-1)+1),"")</f>
        <v/>
      </c>
      <c r="F85" s="278"/>
      <c r="G85" s="254"/>
      <c r="H85" s="107">
        <f>INDEX('M04-S03'!$AD$16:$AD$198,2*(ROWS($H$84:H85)-1)+1)</f>
        <v>0</v>
      </c>
      <c r="I85" s="107">
        <f>INDEX('M04-S03'!$AF$16:$AF$198,2*(ROWS($I$84:I85)-1)+1)</f>
        <v>0</v>
      </c>
      <c r="J85" s="107" t="str">
        <f>INDEX('M04-S03'!$AH$16:$AH$198,2*(ROWS($J$84:J85)-1)+1)</f>
        <v/>
      </c>
      <c r="K85" s="63" t="str">
        <f>IFERROR(INDEX(CMECOOK[Cost Basis],MATCH(INDEX('M04-S03'!$F$16:$F$198,2*(ROWS($K$84:K85)-1)+1),CMECOOK[Proj Desc 1],0)),"")</f>
        <v/>
      </c>
      <c r="L85" s="277">
        <f>IF(ISNUMBER(INDEX('M04-S03'!$AK$16:$AK$198,2*(ROWS($O$84:O85)-1)+1)),INDEX('M04-S03'!$Z$16:$Z$198,2*(ROWS($L$84:L85)-1)+1),0)</f>
        <v>0</v>
      </c>
      <c r="M85" s="277">
        <f>IFERROR(IF(ISNUMBER(INDEX('M04-S03'!$AK$16:$AK$198,2*(ROWS($O$84:O85)-1)+1)),INDEX('M04-S03'!$AO$16:$AO$198,2*(ROWS($M$84:M85)-1)+1),0),"")</f>
        <v>0</v>
      </c>
      <c r="N85" s="335">
        <f>IFERROR(IF(ISNUMBER(INDEX('M04-S03'!$AK$16:$AK$198,2*(ROWS($O$84:O85)-1)+1)),INDEX('M04-S03'!$AV$16:$AV$198,2*(ROWS($N$84:N85)-1)+1),0),"")</f>
        <v>0</v>
      </c>
      <c r="O85" s="107">
        <f>IF(ISNUMBER(INDEX('M04-S03'!$AK$16:$AK$198,2*(ROWS($O$84:O85)-1)+1)),INDEX('M04-S03'!$AK$16:$AK$198,2*(ROWS($O$84:O85)-1)+1),0)</f>
        <v>0</v>
      </c>
      <c r="P85" s="277" t="str">
        <f>IFERROR(IF(NOT(ISNUMBER(INDEX('M04-S03'!$AK$16:$AK$198,2*(ROWS($O$84:O85)-1)+1))),INDEX('M04-S03'!$AO$16:$AO$198,2*(ROWS($O$84:O85)-1)+1),0),"")</f>
        <v/>
      </c>
      <c r="Q85" s="335" t="str">
        <f>IFERROR(IF(NOT(ISNUMBER(INDEX('M04-S03'!$AK$16:$AK$198,2*(ROWS($O$84:O85)-1)+1))),INDEX('M04-S03'!$AV$16:$AV$198,2*(ROWS($O$84:O85)-1)+1),0),"")</f>
        <v/>
      </c>
      <c r="R85" s="63" t="str">
        <f>IFERROR(IF(NOT(ISNUMBER(INDEX('M04-S03'!$AK$16:$AK$198,2*(ROWS($O$84:O85)-1)+1))),INDEX(SPILLOVER[Spillover Reason],MATCH(INDEX('M04-S03'!$BC$16:$BC$198,2*(ROWS($O$84:O85)-1)+1),SPILLOVER[Spillover Text],0)),""),"")</f>
        <v>Not Eligible</v>
      </c>
      <c r="S85" s="283"/>
      <c r="T85" s="283"/>
      <c r="U85" s="277">
        <f>INDEX('M04-S03'!$B$16:$B$198,2*(ROWS($U$84:U85)-1)+1)</f>
        <v>2</v>
      </c>
      <c r="V85" s="254"/>
      <c r="W85" s="104">
        <f>INDEX('M04-S03'!$F$16:$F$198,2*(ROWS($W$84:W85)-1)+1)</f>
        <v>0</v>
      </c>
      <c r="X85" s="63">
        <f>INDEX('M04-S03'!$L$16:$L$198,2*(ROWS($X$84:X85)-1)+1)</f>
        <v>0</v>
      </c>
      <c r="Y85" s="63">
        <f>INDEX('M04-S03'!$U$16:$U$198,2*(ROWS($Y$84:Y85)-1)+1)</f>
        <v>0</v>
      </c>
      <c r="Z85" s="254"/>
      <c r="AA85" s="254"/>
      <c r="AB85" s="254"/>
      <c r="AC85" s="254"/>
      <c r="AD85" s="254"/>
      <c r="AE85" s="277">
        <f>IF(NOT(ISNUMBER(INDEX('M04-S03'!$AK$16:$AK$198,2*(ROWS($O$84:O85)-1)+1))),INDEX('M04-S03'!$Z$16:$Z$198,2*(ROWS($L$84:L85)-1)+1),0)</f>
        <v>0</v>
      </c>
      <c r="AF85" s="277">
        <f>INDEX('M04-S03'!$S$16:$S$198,2*(ROWS($AF$84:AF85)-1)+1)</f>
        <v>0</v>
      </c>
      <c r="AG85" s="277">
        <f>INDEX('M04-S03'!$AB$16:$AB$198,2*(ROWS($AG$84:AG85)-1)+1)</f>
        <v>0</v>
      </c>
      <c r="AH85" s="277" t="str">
        <f t="shared" ref="AH85:AH98" si="50">IFERROR(AF85/AO85,"")</f>
        <v/>
      </c>
      <c r="AI85" s="277" t="str">
        <f t="shared" ref="AI85:AI98" si="51">IFERROR(AG85/L85,"")</f>
        <v/>
      </c>
      <c r="AJ85" s="107" t="str">
        <f t="shared" ref="AJ85:AJ98" si="52">IFERROR(O85/M85,"")</f>
        <v/>
      </c>
      <c r="AK85" s="107" t="str">
        <f t="shared" ref="AK85:AK98" si="53">IFERROR(O85/N85,"")</f>
        <v/>
      </c>
      <c r="AL85" s="107" t="str">
        <f t="shared" si="47"/>
        <v/>
      </c>
      <c r="AM85" s="107" t="str">
        <f>INDEX('M04-S03'!$AU$16:$AU$198,2*(ROWS($AM$84:AM85)-1)+1)</f>
        <v/>
      </c>
      <c r="AN85" s="107" t="str">
        <f>INDEX('M04-S03'!$BB$16:$BB$198,2*(ROWS($AN$84:AN85)-1)+1)</f>
        <v/>
      </c>
      <c r="AO85" s="277">
        <f>INDEX('M04-S03'!$Q$16:$Q$198,2*(ROWS($AO$84:AO85)-1)+1)</f>
        <v>0</v>
      </c>
      <c r="AP85" s="278"/>
      <c r="AQ85" s="278"/>
    </row>
    <row r="86" spans="1:43" x14ac:dyDescent="0.25">
      <c r="A86" s="118">
        <f t="shared" si="48"/>
        <v>0</v>
      </c>
      <c r="B86" s="118" t="str">
        <f t="shared" si="49"/>
        <v/>
      </c>
      <c r="C86" s="118" t="str">
        <f>IF(J86&gt;0,INDEX('M04-S03'!$AY$16:$AY$198,2*(ROWS($C$84:C86)-1)+1),"")</f>
        <v/>
      </c>
      <c r="D86" s="63" t="s">
        <v>215</v>
      </c>
      <c r="E86" s="301" t="str">
        <f>IFERROR(INDEX('M04-S03'!$AW$16:$AW$198,2*(ROWS($E$84:E86)-1)+1),"")</f>
        <v/>
      </c>
      <c r="F86" s="278"/>
      <c r="G86" s="254"/>
      <c r="H86" s="107">
        <f>INDEX('M04-S03'!$AD$16:$AD$198,2*(ROWS($H$84:H86)-1)+1)</f>
        <v>0</v>
      </c>
      <c r="I86" s="107">
        <f>INDEX('M04-S03'!$AF$16:$AF$198,2*(ROWS($I$84:I86)-1)+1)</f>
        <v>0</v>
      </c>
      <c r="J86" s="107" t="str">
        <f>INDEX('M04-S03'!$AH$16:$AH$198,2*(ROWS($J$84:J86)-1)+1)</f>
        <v/>
      </c>
      <c r="K86" s="63" t="str">
        <f>IFERROR(INDEX(CMECOOK[Cost Basis],MATCH(INDEX('M04-S03'!$F$16:$F$198,2*(ROWS($K$84:K86)-1)+1),CMECOOK[Proj Desc 1],0)),"")</f>
        <v/>
      </c>
      <c r="L86" s="277">
        <f>IF(ISNUMBER(INDEX('M04-S03'!$AK$16:$AK$198,2*(ROWS($O$84:O86)-1)+1)),INDEX('M04-S03'!$Z$16:$Z$198,2*(ROWS($L$84:L86)-1)+1),0)</f>
        <v>0</v>
      </c>
      <c r="M86" s="277">
        <f>IFERROR(IF(ISNUMBER(INDEX('M04-S03'!$AK$16:$AK$198,2*(ROWS($O$84:O86)-1)+1)),INDEX('M04-S03'!$AO$16:$AO$198,2*(ROWS($M$84:M86)-1)+1),0),"")</f>
        <v>0</v>
      </c>
      <c r="N86" s="335">
        <f>IFERROR(IF(ISNUMBER(INDEX('M04-S03'!$AK$16:$AK$198,2*(ROWS($O$84:O86)-1)+1)),INDEX('M04-S03'!$AV$16:$AV$198,2*(ROWS($N$84:N86)-1)+1),0),"")</f>
        <v>0</v>
      </c>
      <c r="O86" s="107">
        <f>IF(ISNUMBER(INDEX('M04-S03'!$AK$16:$AK$198,2*(ROWS($O$84:O86)-1)+1)),INDEX('M04-S03'!$AK$16:$AK$198,2*(ROWS($O$84:O86)-1)+1),0)</f>
        <v>0</v>
      </c>
      <c r="P86" s="277" t="str">
        <f>IFERROR(IF(NOT(ISNUMBER(INDEX('M04-S03'!$AK$16:$AK$198,2*(ROWS($O$84:O86)-1)+1))),INDEX('M04-S03'!$AO$16:$AO$198,2*(ROWS($O$84:O86)-1)+1),0),"")</f>
        <v/>
      </c>
      <c r="Q86" s="335" t="str">
        <f>IFERROR(IF(NOT(ISNUMBER(INDEX('M04-S03'!$AK$16:$AK$198,2*(ROWS($O$84:O86)-1)+1))),INDEX('M04-S03'!$AV$16:$AV$198,2*(ROWS($O$84:O86)-1)+1),0),"")</f>
        <v/>
      </c>
      <c r="R86" s="63" t="str">
        <f>IFERROR(IF(NOT(ISNUMBER(INDEX('M04-S03'!$AK$16:$AK$198,2*(ROWS($O$84:O86)-1)+1))),INDEX(SPILLOVER[Spillover Reason],MATCH(INDEX('M04-S03'!$BC$16:$BC$198,2*(ROWS($O$84:O86)-1)+1),SPILLOVER[Spillover Text],0)),""),"")</f>
        <v>Not Eligible</v>
      </c>
      <c r="S86" s="283"/>
      <c r="T86" s="283"/>
      <c r="U86" s="277">
        <f>INDEX('M04-S03'!$B$16:$B$198,2*(ROWS($U$84:U86)-1)+1)</f>
        <v>3</v>
      </c>
      <c r="V86" s="254"/>
      <c r="W86" s="104">
        <f>INDEX('M04-S03'!$F$16:$F$198,2*(ROWS($W$84:W86)-1)+1)</f>
        <v>0</v>
      </c>
      <c r="X86" s="63">
        <f>INDEX('M04-S03'!$L$16:$L$198,2*(ROWS($X$84:X86)-1)+1)</f>
        <v>0</v>
      </c>
      <c r="Y86" s="63">
        <f>INDEX('M04-S03'!$U$16:$U$198,2*(ROWS($Y$84:Y86)-1)+1)</f>
        <v>0</v>
      </c>
      <c r="Z86" s="254"/>
      <c r="AA86" s="254"/>
      <c r="AB86" s="254"/>
      <c r="AC86" s="254"/>
      <c r="AD86" s="254"/>
      <c r="AE86" s="277">
        <f>IF(NOT(ISNUMBER(INDEX('M04-S03'!$AK$16:$AK$198,2*(ROWS($O$84:O86)-1)+1))),INDEX('M04-S03'!$Z$16:$Z$198,2*(ROWS($L$84:L86)-1)+1),0)</f>
        <v>0</v>
      </c>
      <c r="AF86" s="277">
        <f>INDEX('M04-S03'!$S$16:$S$198,2*(ROWS($AF$84:AF86)-1)+1)</f>
        <v>0</v>
      </c>
      <c r="AG86" s="277">
        <f>INDEX('M04-S03'!$AB$16:$AB$198,2*(ROWS($AG$84:AG86)-1)+1)</f>
        <v>0</v>
      </c>
      <c r="AH86" s="277" t="str">
        <f t="shared" si="50"/>
        <v/>
      </c>
      <c r="AI86" s="277" t="str">
        <f t="shared" si="51"/>
        <v/>
      </c>
      <c r="AJ86" s="107" t="str">
        <f t="shared" si="52"/>
        <v/>
      </c>
      <c r="AK86" s="107" t="str">
        <f t="shared" si="53"/>
        <v/>
      </c>
      <c r="AL86" s="107" t="str">
        <f t="shared" si="47"/>
        <v/>
      </c>
      <c r="AM86" s="107" t="str">
        <f>INDEX('M04-S03'!$AU$16:$AU$198,2*(ROWS($AM$84:AM86)-1)+1)</f>
        <v/>
      </c>
      <c r="AN86" s="107" t="str">
        <f>INDEX('M04-S03'!$BB$16:$BB$198,2*(ROWS($AN$84:AN86)-1)+1)</f>
        <v/>
      </c>
      <c r="AO86" s="277">
        <f>INDEX('M04-S03'!$Q$16:$Q$198,2*(ROWS($AO$84:AO86)-1)+1)</f>
        <v>0</v>
      </c>
      <c r="AP86" s="278"/>
      <c r="AQ86" s="278"/>
    </row>
    <row r="87" spans="1:43" x14ac:dyDescent="0.25">
      <c r="A87" s="118">
        <f t="shared" si="48"/>
        <v>0</v>
      </c>
      <c r="B87" s="118" t="str">
        <f t="shared" si="49"/>
        <v/>
      </c>
      <c r="C87" s="118" t="str">
        <f>IF(J87&gt;0,INDEX('M04-S03'!$AY$16:$AY$198,2*(ROWS($C$84:C87)-1)+1),"")</f>
        <v/>
      </c>
      <c r="D87" s="63" t="s">
        <v>215</v>
      </c>
      <c r="E87" s="301" t="str">
        <f>IFERROR(INDEX('M04-S03'!$AW$16:$AW$198,2*(ROWS($E$84:E87)-1)+1),"")</f>
        <v/>
      </c>
      <c r="F87" s="278"/>
      <c r="G87" s="254"/>
      <c r="H87" s="107">
        <f>INDEX('M04-S03'!$AD$16:$AD$198,2*(ROWS($H$84:H87)-1)+1)</f>
        <v>0</v>
      </c>
      <c r="I87" s="107">
        <f>INDEX('M04-S03'!$AF$16:$AF$198,2*(ROWS($I$84:I87)-1)+1)</f>
        <v>0</v>
      </c>
      <c r="J87" s="107" t="str">
        <f>INDEX('M04-S03'!$AH$16:$AH$198,2*(ROWS($J$84:J87)-1)+1)</f>
        <v/>
      </c>
      <c r="K87" s="63" t="str">
        <f>IFERROR(INDEX(CMECOOK[Cost Basis],MATCH(INDEX('M04-S03'!$F$16:$F$198,2*(ROWS($K$84:K87)-1)+1),CMECOOK[Proj Desc 1],0)),"")</f>
        <v/>
      </c>
      <c r="L87" s="277">
        <f>IF(ISNUMBER(INDEX('M04-S03'!$AK$16:$AK$198,2*(ROWS($O$84:O87)-1)+1)),INDEX('M04-S03'!$Z$16:$Z$198,2*(ROWS($L$84:L87)-1)+1),0)</f>
        <v>0</v>
      </c>
      <c r="M87" s="277">
        <f>IFERROR(IF(ISNUMBER(INDEX('M04-S03'!$AK$16:$AK$198,2*(ROWS($O$84:O87)-1)+1)),INDEX('M04-S03'!$AO$16:$AO$198,2*(ROWS($M$84:M87)-1)+1),0),"")</f>
        <v>0</v>
      </c>
      <c r="N87" s="335">
        <f>IFERROR(IF(ISNUMBER(INDEX('M04-S03'!$AK$16:$AK$198,2*(ROWS($O$84:O87)-1)+1)),INDEX('M04-S03'!$AV$16:$AV$198,2*(ROWS($N$84:N87)-1)+1),0),"")</f>
        <v>0</v>
      </c>
      <c r="O87" s="107">
        <f>IF(ISNUMBER(INDEX('M04-S03'!$AK$16:$AK$198,2*(ROWS($O$84:O87)-1)+1)),INDEX('M04-S03'!$AK$16:$AK$198,2*(ROWS($O$84:O87)-1)+1),0)</f>
        <v>0</v>
      </c>
      <c r="P87" s="277" t="str">
        <f>IFERROR(IF(NOT(ISNUMBER(INDEX('M04-S03'!$AK$16:$AK$198,2*(ROWS($O$84:O87)-1)+1))),INDEX('M04-S03'!$AO$16:$AO$198,2*(ROWS($O$84:O87)-1)+1),0),"")</f>
        <v/>
      </c>
      <c r="Q87" s="335" t="str">
        <f>IFERROR(IF(NOT(ISNUMBER(INDEX('M04-S03'!$AK$16:$AK$198,2*(ROWS($O$84:O87)-1)+1))),INDEX('M04-S03'!$AV$16:$AV$198,2*(ROWS($O$84:O87)-1)+1),0),"")</f>
        <v/>
      </c>
      <c r="R87" s="63" t="str">
        <f>IFERROR(IF(NOT(ISNUMBER(INDEX('M04-S03'!$AK$16:$AK$198,2*(ROWS($O$84:O87)-1)+1))),INDEX(SPILLOVER[Spillover Reason],MATCH(INDEX('M04-S03'!$BC$16:$BC$198,2*(ROWS($O$84:O87)-1)+1),SPILLOVER[Spillover Text],0)),""),"")</f>
        <v>Not Eligible</v>
      </c>
      <c r="S87" s="283"/>
      <c r="T87" s="283"/>
      <c r="U87" s="277">
        <f>INDEX('M04-S03'!$B$16:$B$198,2*(ROWS($U$84:U87)-1)+1)</f>
        <v>4</v>
      </c>
      <c r="V87" s="254"/>
      <c r="W87" s="104">
        <f>INDEX('M04-S03'!$F$16:$F$198,2*(ROWS($W$84:W87)-1)+1)</f>
        <v>0</v>
      </c>
      <c r="X87" s="63">
        <f>INDEX('M04-S03'!$L$16:$L$198,2*(ROWS($X$84:X87)-1)+1)</f>
        <v>0</v>
      </c>
      <c r="Y87" s="63">
        <f>INDEX('M04-S03'!$U$16:$U$198,2*(ROWS($Y$84:Y87)-1)+1)</f>
        <v>0</v>
      </c>
      <c r="Z87" s="254"/>
      <c r="AA87" s="254"/>
      <c r="AB87" s="254"/>
      <c r="AC87" s="254"/>
      <c r="AD87" s="254"/>
      <c r="AE87" s="277">
        <f>IF(NOT(ISNUMBER(INDEX('M04-S03'!$AK$16:$AK$198,2*(ROWS($O$84:O87)-1)+1))),INDEX('M04-S03'!$Z$16:$Z$198,2*(ROWS($L$84:L87)-1)+1),0)</f>
        <v>0</v>
      </c>
      <c r="AF87" s="277">
        <f>INDEX('M04-S03'!$S$16:$S$198,2*(ROWS($AF$84:AF87)-1)+1)</f>
        <v>0</v>
      </c>
      <c r="AG87" s="277">
        <f>INDEX('M04-S03'!$AB$16:$AB$198,2*(ROWS($AG$84:AG87)-1)+1)</f>
        <v>0</v>
      </c>
      <c r="AH87" s="277" t="str">
        <f t="shared" si="50"/>
        <v/>
      </c>
      <c r="AI87" s="277" t="str">
        <f t="shared" si="51"/>
        <v/>
      </c>
      <c r="AJ87" s="107" t="str">
        <f t="shared" si="52"/>
        <v/>
      </c>
      <c r="AK87" s="107" t="str">
        <f t="shared" si="53"/>
        <v/>
      </c>
      <c r="AL87" s="107" t="str">
        <f t="shared" si="47"/>
        <v/>
      </c>
      <c r="AM87" s="107" t="str">
        <f>INDEX('M04-S03'!$AU$16:$AU$198,2*(ROWS($AM$84:AM87)-1)+1)</f>
        <v/>
      </c>
      <c r="AN87" s="107" t="str">
        <f>INDEX('M04-S03'!$BB$16:$BB$198,2*(ROWS($AN$84:AN87)-1)+1)</f>
        <v/>
      </c>
      <c r="AO87" s="277">
        <f>INDEX('M04-S03'!$Q$16:$Q$198,2*(ROWS($AO$84:AO87)-1)+1)</f>
        <v>0</v>
      </c>
      <c r="AP87" s="278"/>
      <c r="AQ87" s="278"/>
    </row>
    <row r="88" spans="1:43" x14ac:dyDescent="0.25">
      <c r="A88" s="118">
        <f t="shared" si="48"/>
        <v>0</v>
      </c>
      <c r="B88" s="118" t="str">
        <f t="shared" si="49"/>
        <v/>
      </c>
      <c r="C88" s="118" t="str">
        <f>IF(J88&gt;0,INDEX('M04-S03'!$AY$16:$AY$198,2*(ROWS($C$84:C88)-1)+1),"")</f>
        <v/>
      </c>
      <c r="D88" s="63" t="s">
        <v>215</v>
      </c>
      <c r="E88" s="301" t="str">
        <f>IFERROR(INDEX('M04-S03'!$AW$16:$AW$198,2*(ROWS($E$84:E88)-1)+1),"")</f>
        <v/>
      </c>
      <c r="F88" s="278"/>
      <c r="G88" s="254"/>
      <c r="H88" s="107">
        <f>INDEX('M04-S03'!$AD$16:$AD$198,2*(ROWS($H$84:H88)-1)+1)</f>
        <v>0</v>
      </c>
      <c r="I88" s="107">
        <f>INDEX('M04-S03'!$AF$16:$AF$198,2*(ROWS($I$84:I88)-1)+1)</f>
        <v>0</v>
      </c>
      <c r="J88" s="107" t="str">
        <f>INDEX('M04-S03'!$AH$16:$AH$198,2*(ROWS($J$84:J88)-1)+1)</f>
        <v/>
      </c>
      <c r="K88" s="63" t="str">
        <f>IFERROR(INDEX(CMECOOK[Cost Basis],MATCH(INDEX('M04-S03'!$F$16:$F$198,2*(ROWS($K$84:K88)-1)+1),CMECOOK[Proj Desc 1],0)),"")</f>
        <v/>
      </c>
      <c r="L88" s="277">
        <f>IF(ISNUMBER(INDEX('M04-S03'!$AK$16:$AK$198,2*(ROWS($O$84:O88)-1)+1)),INDEX('M04-S03'!$Z$16:$Z$198,2*(ROWS($L$84:L88)-1)+1),0)</f>
        <v>0</v>
      </c>
      <c r="M88" s="277">
        <f>IFERROR(IF(ISNUMBER(INDEX('M04-S03'!$AK$16:$AK$198,2*(ROWS($O$84:O88)-1)+1)),INDEX('M04-S03'!$AO$16:$AO$198,2*(ROWS($M$84:M88)-1)+1),0),"")</f>
        <v>0</v>
      </c>
      <c r="N88" s="335">
        <f>IFERROR(IF(ISNUMBER(INDEX('M04-S03'!$AK$16:$AK$198,2*(ROWS($O$84:O88)-1)+1)),INDEX('M04-S03'!$AV$16:$AV$198,2*(ROWS($N$84:N88)-1)+1),0),"")</f>
        <v>0</v>
      </c>
      <c r="O88" s="107">
        <f>IF(ISNUMBER(INDEX('M04-S03'!$AK$16:$AK$198,2*(ROWS($O$84:O88)-1)+1)),INDEX('M04-S03'!$AK$16:$AK$198,2*(ROWS($O$84:O88)-1)+1),0)</f>
        <v>0</v>
      </c>
      <c r="P88" s="277" t="str">
        <f>IFERROR(IF(NOT(ISNUMBER(INDEX('M04-S03'!$AK$16:$AK$198,2*(ROWS($O$84:O88)-1)+1))),INDEX('M04-S03'!$AO$16:$AO$198,2*(ROWS($O$84:O88)-1)+1),0),"")</f>
        <v/>
      </c>
      <c r="Q88" s="335" t="str">
        <f>IFERROR(IF(NOT(ISNUMBER(INDEX('M04-S03'!$AK$16:$AK$198,2*(ROWS($O$84:O88)-1)+1))),INDEX('M04-S03'!$AV$16:$AV$198,2*(ROWS($O$84:O88)-1)+1),0),"")</f>
        <v/>
      </c>
      <c r="R88" s="63" t="str">
        <f>IFERROR(IF(NOT(ISNUMBER(INDEX('M04-S03'!$AK$16:$AK$198,2*(ROWS($O$84:O88)-1)+1))),INDEX(SPILLOVER[Spillover Reason],MATCH(INDEX('M04-S03'!$BC$16:$BC$198,2*(ROWS($O$84:O88)-1)+1),SPILLOVER[Spillover Text],0)),""),"")</f>
        <v>Not Eligible</v>
      </c>
      <c r="S88" s="283"/>
      <c r="T88" s="283"/>
      <c r="U88" s="277">
        <f>INDEX('M04-S03'!$B$16:$B$198,2*(ROWS($U$84:U88)-1)+1)</f>
        <v>5</v>
      </c>
      <c r="V88" s="254"/>
      <c r="W88" s="104">
        <f>INDEX('M04-S03'!$F$16:$F$198,2*(ROWS($W$84:W88)-1)+1)</f>
        <v>0</v>
      </c>
      <c r="X88" s="63">
        <f>INDEX('M04-S03'!$L$16:$L$198,2*(ROWS($X$84:X88)-1)+1)</f>
        <v>0</v>
      </c>
      <c r="Y88" s="63">
        <f>INDEX('M04-S03'!$U$16:$U$198,2*(ROWS($Y$84:Y88)-1)+1)</f>
        <v>0</v>
      </c>
      <c r="Z88" s="254"/>
      <c r="AA88" s="254"/>
      <c r="AB88" s="254"/>
      <c r="AC88" s="254"/>
      <c r="AD88" s="254"/>
      <c r="AE88" s="277">
        <f>IF(NOT(ISNUMBER(INDEX('M04-S03'!$AK$16:$AK$198,2*(ROWS($O$84:O88)-1)+1))),INDEX('M04-S03'!$Z$16:$Z$198,2*(ROWS($L$84:L88)-1)+1),0)</f>
        <v>0</v>
      </c>
      <c r="AF88" s="277">
        <f>INDEX('M04-S03'!$S$16:$S$198,2*(ROWS($AF$84:AF88)-1)+1)</f>
        <v>0</v>
      </c>
      <c r="AG88" s="277">
        <f>INDEX('M04-S03'!$AB$16:$AB$198,2*(ROWS($AG$84:AG88)-1)+1)</f>
        <v>0</v>
      </c>
      <c r="AH88" s="277" t="str">
        <f t="shared" si="50"/>
        <v/>
      </c>
      <c r="AI88" s="277" t="str">
        <f t="shared" si="51"/>
        <v/>
      </c>
      <c r="AJ88" s="107" t="str">
        <f t="shared" si="52"/>
        <v/>
      </c>
      <c r="AK88" s="107" t="str">
        <f t="shared" si="53"/>
        <v/>
      </c>
      <c r="AL88" s="107" t="str">
        <f t="shared" si="47"/>
        <v/>
      </c>
      <c r="AM88" s="107" t="str">
        <f>INDEX('M04-S03'!$AU$16:$AU$198,2*(ROWS($AM$84:AM88)-1)+1)</f>
        <v/>
      </c>
      <c r="AN88" s="107" t="str">
        <f>INDEX('M04-S03'!$BB$16:$BB$198,2*(ROWS($AN$84:AN88)-1)+1)</f>
        <v/>
      </c>
      <c r="AO88" s="277">
        <f>INDEX('M04-S03'!$Q$16:$Q$198,2*(ROWS($AO$84:AO88)-1)+1)</f>
        <v>0</v>
      </c>
      <c r="AP88" s="278"/>
      <c r="AQ88" s="278"/>
    </row>
    <row r="89" spans="1:43" x14ac:dyDescent="0.25">
      <c r="A89" s="118">
        <f t="shared" si="48"/>
        <v>0</v>
      </c>
      <c r="B89" s="118" t="str">
        <f t="shared" si="49"/>
        <v/>
      </c>
      <c r="C89" s="118" t="str">
        <f>IF(J89&gt;0,INDEX('M04-S03'!$AY$16:$AY$198,2*(ROWS($C$84:C89)-1)+1),"")</f>
        <v/>
      </c>
      <c r="D89" s="63" t="s">
        <v>215</v>
      </c>
      <c r="E89" s="301" t="str">
        <f>IFERROR(INDEX('M04-S03'!$AW$16:$AW$198,2*(ROWS($E$84:E89)-1)+1),"")</f>
        <v/>
      </c>
      <c r="F89" s="278"/>
      <c r="G89" s="254"/>
      <c r="H89" s="107">
        <f>INDEX('M04-S03'!$AD$16:$AD$198,2*(ROWS($H$84:H89)-1)+1)</f>
        <v>0</v>
      </c>
      <c r="I89" s="107">
        <f>INDEX('M04-S03'!$AF$16:$AF$198,2*(ROWS($I$84:I89)-1)+1)</f>
        <v>0</v>
      </c>
      <c r="J89" s="107" t="str">
        <f>INDEX('M04-S03'!$AH$16:$AH$198,2*(ROWS($J$84:J89)-1)+1)</f>
        <v/>
      </c>
      <c r="K89" s="63" t="str">
        <f>IFERROR(INDEX(CMECOOK[Cost Basis],MATCH(INDEX('M04-S03'!$F$16:$F$198,2*(ROWS($K$84:K89)-1)+1),CMECOOK[Proj Desc 1],0)),"")</f>
        <v/>
      </c>
      <c r="L89" s="277">
        <f>IF(ISNUMBER(INDEX('M04-S03'!$AK$16:$AK$198,2*(ROWS($O$84:O89)-1)+1)),INDEX('M04-S03'!$Z$16:$Z$198,2*(ROWS($L$84:L89)-1)+1),0)</f>
        <v>0</v>
      </c>
      <c r="M89" s="277">
        <f>IFERROR(IF(ISNUMBER(INDEX('M04-S03'!$AK$16:$AK$198,2*(ROWS($O$84:O89)-1)+1)),INDEX('M04-S03'!$AO$16:$AO$198,2*(ROWS($M$84:M89)-1)+1),0),"")</f>
        <v>0</v>
      </c>
      <c r="N89" s="335">
        <f>IFERROR(IF(ISNUMBER(INDEX('M04-S03'!$AK$16:$AK$198,2*(ROWS($O$84:O89)-1)+1)),INDEX('M04-S03'!$AV$16:$AV$198,2*(ROWS($N$84:N89)-1)+1),0),"")</f>
        <v>0</v>
      </c>
      <c r="O89" s="107">
        <f>IF(ISNUMBER(INDEX('M04-S03'!$AK$16:$AK$198,2*(ROWS($O$84:O89)-1)+1)),INDEX('M04-S03'!$AK$16:$AK$198,2*(ROWS($O$84:O89)-1)+1),0)</f>
        <v>0</v>
      </c>
      <c r="P89" s="277" t="str">
        <f>IFERROR(IF(NOT(ISNUMBER(INDEX('M04-S03'!$AK$16:$AK$198,2*(ROWS($O$84:O89)-1)+1))),INDEX('M04-S03'!$AO$16:$AO$198,2*(ROWS($O$84:O89)-1)+1),0),"")</f>
        <v/>
      </c>
      <c r="Q89" s="335" t="str">
        <f>IFERROR(IF(NOT(ISNUMBER(INDEX('M04-S03'!$AK$16:$AK$198,2*(ROWS($O$84:O89)-1)+1))),INDEX('M04-S03'!$AV$16:$AV$198,2*(ROWS($O$84:O89)-1)+1),0),"")</f>
        <v/>
      </c>
      <c r="R89" s="63" t="str">
        <f>IFERROR(IF(NOT(ISNUMBER(INDEX('M04-S03'!$AK$16:$AK$198,2*(ROWS($O$84:O89)-1)+1))),INDEX(SPILLOVER[Spillover Reason],MATCH(INDEX('M04-S03'!$BC$16:$BC$198,2*(ROWS($O$84:O89)-1)+1),SPILLOVER[Spillover Text],0)),""),"")</f>
        <v>Not Eligible</v>
      </c>
      <c r="S89" s="283"/>
      <c r="T89" s="283"/>
      <c r="U89" s="277">
        <f>INDEX('M04-S03'!$B$16:$B$198,2*(ROWS($U$84:U89)-1)+1)</f>
        <v>6</v>
      </c>
      <c r="V89" s="254"/>
      <c r="W89" s="104">
        <f>INDEX('M04-S03'!$F$16:$F$198,2*(ROWS($W$84:W89)-1)+1)</f>
        <v>0</v>
      </c>
      <c r="X89" s="63">
        <f>INDEX('M04-S03'!$L$16:$L$198,2*(ROWS($X$84:X89)-1)+1)</f>
        <v>0</v>
      </c>
      <c r="Y89" s="63">
        <f>INDEX('M04-S03'!$U$16:$U$198,2*(ROWS($Y$84:Y89)-1)+1)</f>
        <v>0</v>
      </c>
      <c r="Z89" s="254"/>
      <c r="AA89" s="254"/>
      <c r="AB89" s="254"/>
      <c r="AC89" s="254"/>
      <c r="AD89" s="254"/>
      <c r="AE89" s="277">
        <f>IF(NOT(ISNUMBER(INDEX('M04-S03'!$AK$16:$AK$198,2*(ROWS($O$84:O89)-1)+1))),INDEX('M04-S03'!$Z$16:$Z$198,2*(ROWS($L$84:L89)-1)+1),0)</f>
        <v>0</v>
      </c>
      <c r="AF89" s="277">
        <f>INDEX('M04-S03'!$S$16:$S$198,2*(ROWS($AF$84:AF89)-1)+1)</f>
        <v>0</v>
      </c>
      <c r="AG89" s="277">
        <f>INDEX('M04-S03'!$AB$16:$AB$198,2*(ROWS($AG$84:AG89)-1)+1)</f>
        <v>0</v>
      </c>
      <c r="AH89" s="277" t="str">
        <f t="shared" si="50"/>
        <v/>
      </c>
      <c r="AI89" s="277" t="str">
        <f t="shared" si="51"/>
        <v/>
      </c>
      <c r="AJ89" s="107" t="str">
        <f t="shared" si="52"/>
        <v/>
      </c>
      <c r="AK89" s="107" t="str">
        <f t="shared" si="53"/>
        <v/>
      </c>
      <c r="AL89" s="107" t="str">
        <f t="shared" si="47"/>
        <v/>
      </c>
      <c r="AM89" s="107" t="str">
        <f>INDEX('M04-S03'!$AU$16:$AU$198,2*(ROWS($AM$84:AM89)-1)+1)</f>
        <v/>
      </c>
      <c r="AN89" s="107" t="str">
        <f>INDEX('M04-S03'!$BB$16:$BB$198,2*(ROWS($AN$84:AN89)-1)+1)</f>
        <v/>
      </c>
      <c r="AO89" s="277">
        <f>INDEX('M04-S03'!$Q$16:$Q$198,2*(ROWS($AO$84:AO89)-1)+1)</f>
        <v>0</v>
      </c>
      <c r="AP89" s="278"/>
      <c r="AQ89" s="278"/>
    </row>
    <row r="90" spans="1:43" x14ac:dyDescent="0.25">
      <c r="A90" s="118">
        <f t="shared" si="48"/>
        <v>0</v>
      </c>
      <c r="B90" s="118" t="str">
        <f t="shared" si="49"/>
        <v/>
      </c>
      <c r="C90" s="118" t="str">
        <f>IF(J90&gt;0,INDEX('M04-S03'!$AY$16:$AY$198,2*(ROWS($C$84:C90)-1)+1),"")</f>
        <v/>
      </c>
      <c r="D90" s="63" t="s">
        <v>215</v>
      </c>
      <c r="E90" s="301" t="str">
        <f>IFERROR(INDEX('M04-S03'!$AW$16:$AW$198,2*(ROWS($E$84:E90)-1)+1),"")</f>
        <v/>
      </c>
      <c r="F90" s="278"/>
      <c r="G90" s="254"/>
      <c r="H90" s="107">
        <f>INDEX('M04-S03'!$AD$16:$AD$198,2*(ROWS($H$84:H90)-1)+1)</f>
        <v>0</v>
      </c>
      <c r="I90" s="107">
        <f>INDEX('M04-S03'!$AF$16:$AF$198,2*(ROWS($I$84:I90)-1)+1)</f>
        <v>0</v>
      </c>
      <c r="J90" s="107" t="str">
        <f>INDEX('M04-S03'!$AH$16:$AH$198,2*(ROWS($J$84:J90)-1)+1)</f>
        <v/>
      </c>
      <c r="K90" s="63" t="str">
        <f>IFERROR(INDEX(CMECOOK[Cost Basis],MATCH(INDEX('M04-S03'!$F$16:$F$198,2*(ROWS($K$84:K90)-1)+1),CMECOOK[Proj Desc 1],0)),"")</f>
        <v/>
      </c>
      <c r="L90" s="277">
        <f>IF(ISNUMBER(INDEX('M04-S03'!$AK$16:$AK$198,2*(ROWS($O$84:O90)-1)+1)),INDEX('M04-S03'!$Z$16:$Z$198,2*(ROWS($L$84:L90)-1)+1),0)</f>
        <v>0</v>
      </c>
      <c r="M90" s="277">
        <f>IFERROR(IF(ISNUMBER(INDEX('M04-S03'!$AK$16:$AK$198,2*(ROWS($O$84:O90)-1)+1)),INDEX('M04-S03'!$AO$16:$AO$198,2*(ROWS($M$84:M90)-1)+1),0),"")</f>
        <v>0</v>
      </c>
      <c r="N90" s="335">
        <f>IFERROR(IF(ISNUMBER(INDEX('M04-S03'!$AK$16:$AK$198,2*(ROWS($O$84:O90)-1)+1)),INDEX('M04-S03'!$AV$16:$AV$198,2*(ROWS($N$84:N90)-1)+1),0),"")</f>
        <v>0</v>
      </c>
      <c r="O90" s="107">
        <f>IF(ISNUMBER(INDEX('M04-S03'!$AK$16:$AK$198,2*(ROWS($O$84:O90)-1)+1)),INDEX('M04-S03'!$AK$16:$AK$198,2*(ROWS($O$84:O90)-1)+1),0)</f>
        <v>0</v>
      </c>
      <c r="P90" s="277" t="str">
        <f>IFERROR(IF(NOT(ISNUMBER(INDEX('M04-S03'!$AK$16:$AK$198,2*(ROWS($O$84:O90)-1)+1))),INDEX('M04-S03'!$AO$16:$AO$198,2*(ROWS($O$84:O90)-1)+1),0),"")</f>
        <v/>
      </c>
      <c r="Q90" s="335" t="str">
        <f>IFERROR(IF(NOT(ISNUMBER(INDEX('M04-S03'!$AK$16:$AK$198,2*(ROWS($O$84:O90)-1)+1))),INDEX('M04-S03'!$AV$16:$AV$198,2*(ROWS($O$84:O90)-1)+1),0),"")</f>
        <v/>
      </c>
      <c r="R90" s="63" t="str">
        <f>IFERROR(IF(NOT(ISNUMBER(INDEX('M04-S03'!$AK$16:$AK$198,2*(ROWS($O$84:O90)-1)+1))),INDEX(SPILLOVER[Spillover Reason],MATCH(INDEX('M04-S03'!$BC$16:$BC$198,2*(ROWS($O$84:O90)-1)+1),SPILLOVER[Spillover Text],0)),""),"")</f>
        <v>Not Eligible</v>
      </c>
      <c r="S90" s="283"/>
      <c r="T90" s="283"/>
      <c r="U90" s="277">
        <f>INDEX('M04-S03'!$B$16:$B$198,2*(ROWS($U$84:U90)-1)+1)</f>
        <v>7</v>
      </c>
      <c r="V90" s="254"/>
      <c r="W90" s="104">
        <f>INDEX('M04-S03'!$F$16:$F$198,2*(ROWS($W$84:W90)-1)+1)</f>
        <v>0</v>
      </c>
      <c r="X90" s="63">
        <f>INDEX('M04-S03'!$L$16:$L$198,2*(ROWS($X$84:X90)-1)+1)</f>
        <v>0</v>
      </c>
      <c r="Y90" s="63">
        <f>INDEX('M04-S03'!$U$16:$U$198,2*(ROWS($Y$84:Y90)-1)+1)</f>
        <v>0</v>
      </c>
      <c r="Z90" s="254"/>
      <c r="AA90" s="254"/>
      <c r="AB90" s="254"/>
      <c r="AC90" s="254"/>
      <c r="AD90" s="254"/>
      <c r="AE90" s="277">
        <f>IF(NOT(ISNUMBER(INDEX('M04-S03'!$AK$16:$AK$198,2*(ROWS($O$84:O90)-1)+1))),INDEX('M04-S03'!$Z$16:$Z$198,2*(ROWS($L$84:L90)-1)+1),0)</f>
        <v>0</v>
      </c>
      <c r="AF90" s="277">
        <f>INDEX('M04-S03'!$S$16:$S$198,2*(ROWS($AF$84:AF90)-1)+1)</f>
        <v>0</v>
      </c>
      <c r="AG90" s="277">
        <f>INDEX('M04-S03'!$AB$16:$AB$198,2*(ROWS($AG$84:AG90)-1)+1)</f>
        <v>0</v>
      </c>
      <c r="AH90" s="277" t="str">
        <f t="shared" si="50"/>
        <v/>
      </c>
      <c r="AI90" s="277" t="str">
        <f t="shared" si="51"/>
        <v/>
      </c>
      <c r="AJ90" s="107" t="str">
        <f t="shared" si="52"/>
        <v/>
      </c>
      <c r="AK90" s="107" t="str">
        <f t="shared" si="53"/>
        <v/>
      </c>
      <c r="AL90" s="107" t="str">
        <f t="shared" si="47"/>
        <v/>
      </c>
      <c r="AM90" s="107" t="str">
        <f>INDEX('M04-S03'!$AU$16:$AU$198,2*(ROWS($AM$84:AM90)-1)+1)</f>
        <v/>
      </c>
      <c r="AN90" s="107" t="str">
        <f>INDEX('M04-S03'!$BB$16:$BB$198,2*(ROWS($AN$84:AN90)-1)+1)</f>
        <v/>
      </c>
      <c r="AO90" s="277">
        <f>INDEX('M04-S03'!$Q$16:$Q$198,2*(ROWS($AO$84:AO90)-1)+1)</f>
        <v>0</v>
      </c>
      <c r="AP90" s="278"/>
      <c r="AQ90" s="278"/>
    </row>
    <row r="91" spans="1:43" x14ac:dyDescent="0.25">
      <c r="A91" s="118">
        <f t="shared" si="48"/>
        <v>0</v>
      </c>
      <c r="B91" s="118" t="str">
        <f t="shared" si="49"/>
        <v/>
      </c>
      <c r="C91" s="118" t="str">
        <f>IF(J91&gt;0,INDEX('M04-S03'!$AY$16:$AY$198,2*(ROWS($C$84:C91)-1)+1),"")</f>
        <v/>
      </c>
      <c r="D91" s="63" t="s">
        <v>215</v>
      </c>
      <c r="E91" s="301" t="str">
        <f>IFERROR(INDEX('M04-S03'!$AW$16:$AW$198,2*(ROWS($E$84:E91)-1)+1),"")</f>
        <v/>
      </c>
      <c r="F91" s="278"/>
      <c r="G91" s="254"/>
      <c r="H91" s="107">
        <f>INDEX('M04-S03'!$AD$16:$AD$198,2*(ROWS($H$84:H91)-1)+1)</f>
        <v>0</v>
      </c>
      <c r="I91" s="107">
        <f>INDEX('M04-S03'!$AF$16:$AF$198,2*(ROWS($I$84:I91)-1)+1)</f>
        <v>0</v>
      </c>
      <c r="J91" s="107" t="str">
        <f>INDEX('M04-S03'!$AH$16:$AH$198,2*(ROWS($J$84:J91)-1)+1)</f>
        <v/>
      </c>
      <c r="K91" s="63" t="str">
        <f>IFERROR(INDEX(CMECOOK[Cost Basis],MATCH(INDEX('M04-S03'!$F$16:$F$198,2*(ROWS($K$84:K91)-1)+1),CMECOOK[Proj Desc 1],0)),"")</f>
        <v/>
      </c>
      <c r="L91" s="277">
        <f>IF(ISNUMBER(INDEX('M04-S03'!$AK$16:$AK$198,2*(ROWS($O$84:O91)-1)+1)),INDEX('M04-S03'!$Z$16:$Z$198,2*(ROWS($L$84:L91)-1)+1),0)</f>
        <v>0</v>
      </c>
      <c r="M91" s="277">
        <f>IFERROR(IF(ISNUMBER(INDEX('M04-S03'!$AK$16:$AK$198,2*(ROWS($O$84:O91)-1)+1)),INDEX('M04-S03'!$AO$16:$AO$198,2*(ROWS($M$84:M91)-1)+1),0),"")</f>
        <v>0</v>
      </c>
      <c r="N91" s="335">
        <f>IFERROR(IF(ISNUMBER(INDEX('M04-S03'!$AK$16:$AK$198,2*(ROWS($O$84:O91)-1)+1)),INDEX('M04-S03'!$AV$16:$AV$198,2*(ROWS($N$84:N91)-1)+1),0),"")</f>
        <v>0</v>
      </c>
      <c r="O91" s="107">
        <f>IF(ISNUMBER(INDEX('M04-S03'!$AK$16:$AK$198,2*(ROWS($O$84:O91)-1)+1)),INDEX('M04-S03'!$AK$16:$AK$198,2*(ROWS($O$84:O91)-1)+1),0)</f>
        <v>0</v>
      </c>
      <c r="P91" s="277" t="str">
        <f>IFERROR(IF(NOT(ISNUMBER(INDEX('M04-S03'!$AK$16:$AK$198,2*(ROWS($O$84:O91)-1)+1))),INDEX('M04-S03'!$AO$16:$AO$198,2*(ROWS($O$84:O91)-1)+1),0),"")</f>
        <v/>
      </c>
      <c r="Q91" s="335" t="str">
        <f>IFERROR(IF(NOT(ISNUMBER(INDEX('M04-S03'!$AK$16:$AK$198,2*(ROWS($O$84:O91)-1)+1))),INDEX('M04-S03'!$AV$16:$AV$198,2*(ROWS($O$84:O91)-1)+1),0),"")</f>
        <v/>
      </c>
      <c r="R91" s="63" t="str">
        <f>IFERROR(IF(NOT(ISNUMBER(INDEX('M04-S03'!$AK$16:$AK$198,2*(ROWS($O$84:O91)-1)+1))),INDEX(SPILLOVER[Spillover Reason],MATCH(INDEX('M04-S03'!$BC$16:$BC$198,2*(ROWS($O$84:O91)-1)+1),SPILLOVER[Spillover Text],0)),""),"")</f>
        <v>Not Eligible</v>
      </c>
      <c r="S91" s="283"/>
      <c r="T91" s="283"/>
      <c r="U91" s="277">
        <f>INDEX('M04-S03'!$B$16:$B$198,2*(ROWS($U$84:U91)-1)+1)</f>
        <v>8</v>
      </c>
      <c r="V91" s="254"/>
      <c r="W91" s="104">
        <f>INDEX('M04-S03'!$F$16:$F$198,2*(ROWS($W$84:W91)-1)+1)</f>
        <v>0</v>
      </c>
      <c r="X91" s="63">
        <f>INDEX('M04-S03'!$L$16:$L$198,2*(ROWS($X$84:X91)-1)+1)</f>
        <v>0</v>
      </c>
      <c r="Y91" s="63">
        <f>INDEX('M04-S03'!$U$16:$U$198,2*(ROWS($Y$84:Y91)-1)+1)</f>
        <v>0</v>
      </c>
      <c r="Z91" s="254"/>
      <c r="AA91" s="254"/>
      <c r="AB91" s="254"/>
      <c r="AC91" s="254"/>
      <c r="AD91" s="254"/>
      <c r="AE91" s="277">
        <f>IF(NOT(ISNUMBER(INDEX('M04-S03'!$AK$16:$AK$198,2*(ROWS($O$84:O91)-1)+1))),INDEX('M04-S03'!$Z$16:$Z$198,2*(ROWS($L$84:L91)-1)+1),0)</f>
        <v>0</v>
      </c>
      <c r="AF91" s="277">
        <f>INDEX('M04-S03'!$S$16:$S$198,2*(ROWS($AF$84:AF91)-1)+1)</f>
        <v>0</v>
      </c>
      <c r="AG91" s="277">
        <f>INDEX('M04-S03'!$AB$16:$AB$198,2*(ROWS($AG$84:AG91)-1)+1)</f>
        <v>0</v>
      </c>
      <c r="AH91" s="277" t="str">
        <f t="shared" si="50"/>
        <v/>
      </c>
      <c r="AI91" s="277" t="str">
        <f t="shared" si="51"/>
        <v/>
      </c>
      <c r="AJ91" s="107" t="str">
        <f t="shared" si="52"/>
        <v/>
      </c>
      <c r="AK91" s="107" t="str">
        <f t="shared" si="53"/>
        <v/>
      </c>
      <c r="AL91" s="107" t="str">
        <f t="shared" si="47"/>
        <v/>
      </c>
      <c r="AM91" s="107" t="str">
        <f>INDEX('M04-S03'!$AU$16:$AU$198,2*(ROWS($AM$84:AM91)-1)+1)</f>
        <v/>
      </c>
      <c r="AN91" s="107" t="str">
        <f>INDEX('M04-S03'!$BB$16:$BB$198,2*(ROWS($AN$84:AN91)-1)+1)</f>
        <v/>
      </c>
      <c r="AO91" s="277">
        <f>INDEX('M04-S03'!$Q$16:$Q$198,2*(ROWS($AO$84:AO91)-1)+1)</f>
        <v>0</v>
      </c>
      <c r="AP91" s="278"/>
      <c r="AQ91" s="278"/>
    </row>
    <row r="92" spans="1:43" x14ac:dyDescent="0.25">
      <c r="A92" s="118">
        <f t="shared" si="48"/>
        <v>0</v>
      </c>
      <c r="B92" s="118" t="str">
        <f t="shared" si="49"/>
        <v/>
      </c>
      <c r="C92" s="118" t="str">
        <f>IF(J92&gt;0,INDEX('M04-S03'!$AY$16:$AY$198,2*(ROWS($C$84:C92)-1)+1),"")</f>
        <v/>
      </c>
      <c r="D92" s="63" t="s">
        <v>215</v>
      </c>
      <c r="E92" s="301" t="str">
        <f>IFERROR(INDEX('M04-S03'!$AW$16:$AW$198,2*(ROWS($E$84:E92)-1)+1),"")</f>
        <v/>
      </c>
      <c r="F92" s="278"/>
      <c r="G92" s="254"/>
      <c r="H92" s="107">
        <f>INDEX('M04-S03'!$AD$16:$AD$198,2*(ROWS($H$84:H92)-1)+1)</f>
        <v>0</v>
      </c>
      <c r="I92" s="107">
        <f>INDEX('M04-S03'!$AF$16:$AF$198,2*(ROWS($I$84:I92)-1)+1)</f>
        <v>0</v>
      </c>
      <c r="J92" s="107" t="str">
        <f>INDEX('M04-S03'!$AH$16:$AH$198,2*(ROWS($J$84:J92)-1)+1)</f>
        <v/>
      </c>
      <c r="K92" s="63" t="str">
        <f>IFERROR(INDEX(CMECOOK[Cost Basis],MATCH(INDEX('M04-S03'!$F$16:$F$198,2*(ROWS($K$84:K92)-1)+1),CMECOOK[Proj Desc 1],0)),"")</f>
        <v/>
      </c>
      <c r="L92" s="277">
        <f>IF(ISNUMBER(INDEX('M04-S03'!$AK$16:$AK$198,2*(ROWS($O$84:O92)-1)+1)),INDEX('M04-S03'!$Z$16:$Z$198,2*(ROWS($L$84:L92)-1)+1),0)</f>
        <v>0</v>
      </c>
      <c r="M92" s="277">
        <f>IFERROR(IF(ISNUMBER(INDEX('M04-S03'!$AK$16:$AK$198,2*(ROWS($O$84:O92)-1)+1)),INDEX('M04-S03'!$AO$16:$AO$198,2*(ROWS($M$84:M92)-1)+1),0),"")</f>
        <v>0</v>
      </c>
      <c r="N92" s="335">
        <f>IFERROR(IF(ISNUMBER(INDEX('M04-S03'!$AK$16:$AK$198,2*(ROWS($O$84:O92)-1)+1)),INDEX('M04-S03'!$AV$16:$AV$198,2*(ROWS($N$84:N92)-1)+1),0),"")</f>
        <v>0</v>
      </c>
      <c r="O92" s="107">
        <f>IF(ISNUMBER(INDEX('M04-S03'!$AK$16:$AK$198,2*(ROWS($O$84:O92)-1)+1)),INDEX('M04-S03'!$AK$16:$AK$198,2*(ROWS($O$84:O92)-1)+1),0)</f>
        <v>0</v>
      </c>
      <c r="P92" s="277" t="str">
        <f>IFERROR(IF(NOT(ISNUMBER(INDEX('M04-S03'!$AK$16:$AK$198,2*(ROWS($O$84:O92)-1)+1))),INDEX('M04-S03'!$AO$16:$AO$198,2*(ROWS($O$84:O92)-1)+1),0),"")</f>
        <v/>
      </c>
      <c r="Q92" s="335" t="str">
        <f>IFERROR(IF(NOT(ISNUMBER(INDEX('M04-S03'!$AK$16:$AK$198,2*(ROWS($O$84:O92)-1)+1))),INDEX('M04-S03'!$AV$16:$AV$198,2*(ROWS($O$84:O92)-1)+1),0),"")</f>
        <v/>
      </c>
      <c r="R92" s="63" t="str">
        <f>IFERROR(IF(NOT(ISNUMBER(INDEX('M04-S03'!$AK$16:$AK$198,2*(ROWS($O$84:O92)-1)+1))),INDEX(SPILLOVER[Spillover Reason],MATCH(INDEX('M04-S03'!$BC$16:$BC$198,2*(ROWS($O$84:O92)-1)+1),SPILLOVER[Spillover Text],0)),""),"")</f>
        <v>Not Eligible</v>
      </c>
      <c r="S92" s="283"/>
      <c r="T92" s="283"/>
      <c r="U92" s="277">
        <f>INDEX('M04-S03'!$B$16:$B$198,2*(ROWS($U$84:U92)-1)+1)</f>
        <v>9</v>
      </c>
      <c r="V92" s="254"/>
      <c r="W92" s="104">
        <f>INDEX('M04-S03'!$F$16:$F$198,2*(ROWS($W$84:W92)-1)+1)</f>
        <v>0</v>
      </c>
      <c r="X92" s="63">
        <f>INDEX('M04-S03'!$L$16:$L$198,2*(ROWS($X$84:X92)-1)+1)</f>
        <v>0</v>
      </c>
      <c r="Y92" s="63">
        <f>INDEX('M04-S03'!$U$16:$U$198,2*(ROWS($Y$84:Y92)-1)+1)</f>
        <v>0</v>
      </c>
      <c r="Z92" s="254"/>
      <c r="AA92" s="254"/>
      <c r="AB92" s="254"/>
      <c r="AC92" s="254"/>
      <c r="AD92" s="254"/>
      <c r="AE92" s="277">
        <f>IF(NOT(ISNUMBER(INDEX('M04-S03'!$AK$16:$AK$198,2*(ROWS($O$84:O92)-1)+1))),INDEX('M04-S03'!$Z$16:$Z$198,2*(ROWS($L$84:L92)-1)+1),0)</f>
        <v>0</v>
      </c>
      <c r="AF92" s="277">
        <f>INDEX('M04-S03'!$S$16:$S$198,2*(ROWS($AF$84:AF92)-1)+1)</f>
        <v>0</v>
      </c>
      <c r="AG92" s="277">
        <f>INDEX('M04-S03'!$AB$16:$AB$198,2*(ROWS($AG$84:AG92)-1)+1)</f>
        <v>0</v>
      </c>
      <c r="AH92" s="277" t="str">
        <f t="shared" si="50"/>
        <v/>
      </c>
      <c r="AI92" s="277" t="str">
        <f t="shared" si="51"/>
        <v/>
      </c>
      <c r="AJ92" s="107" t="str">
        <f t="shared" si="52"/>
        <v/>
      </c>
      <c r="AK92" s="107" t="str">
        <f t="shared" si="53"/>
        <v/>
      </c>
      <c r="AL92" s="107" t="str">
        <f t="shared" si="47"/>
        <v/>
      </c>
      <c r="AM92" s="107" t="str">
        <f>INDEX('M04-S03'!$AU$16:$AU$198,2*(ROWS($AM$84:AM92)-1)+1)</f>
        <v/>
      </c>
      <c r="AN92" s="107" t="str">
        <f>INDEX('M04-S03'!$BB$16:$BB$198,2*(ROWS($AN$84:AN92)-1)+1)</f>
        <v/>
      </c>
      <c r="AO92" s="277">
        <f>INDEX('M04-S03'!$Q$16:$Q$198,2*(ROWS($AO$84:AO92)-1)+1)</f>
        <v>0</v>
      </c>
      <c r="AP92" s="278"/>
      <c r="AQ92" s="278"/>
    </row>
    <row r="93" spans="1:43" x14ac:dyDescent="0.25">
      <c r="A93" s="118">
        <f t="shared" si="48"/>
        <v>0</v>
      </c>
      <c r="B93" s="118" t="str">
        <f t="shared" si="49"/>
        <v/>
      </c>
      <c r="C93" s="118" t="str">
        <f>IF(J93&gt;0,INDEX('M04-S03'!$AY$16:$AY$198,2*(ROWS($C$84:C93)-1)+1),"")</f>
        <v/>
      </c>
      <c r="D93" s="63" t="s">
        <v>215</v>
      </c>
      <c r="E93" s="301" t="str">
        <f>IFERROR(INDEX('M04-S03'!$AW$16:$AW$198,2*(ROWS($E$84:E93)-1)+1),"")</f>
        <v/>
      </c>
      <c r="F93" s="278"/>
      <c r="G93" s="254"/>
      <c r="H93" s="107">
        <f>INDEX('M04-S03'!$AD$16:$AD$198,2*(ROWS($H$84:H93)-1)+1)</f>
        <v>0</v>
      </c>
      <c r="I93" s="107">
        <f>INDEX('M04-S03'!$AF$16:$AF$198,2*(ROWS($I$84:I93)-1)+1)</f>
        <v>0</v>
      </c>
      <c r="J93" s="107" t="str">
        <f>INDEX('M04-S03'!$AH$16:$AH$198,2*(ROWS($J$84:J93)-1)+1)</f>
        <v/>
      </c>
      <c r="K93" s="63" t="str">
        <f>IFERROR(INDEX(CMECOOK[Cost Basis],MATCH(INDEX('M04-S03'!$F$16:$F$198,2*(ROWS($K$84:K93)-1)+1),CMECOOK[Proj Desc 1],0)),"")</f>
        <v/>
      </c>
      <c r="L93" s="277">
        <f>IF(ISNUMBER(INDEX('M04-S03'!$AK$16:$AK$198,2*(ROWS($O$84:O93)-1)+1)),INDEX('M04-S03'!$Z$16:$Z$198,2*(ROWS($L$84:L93)-1)+1),0)</f>
        <v>0</v>
      </c>
      <c r="M93" s="277">
        <f>IFERROR(IF(ISNUMBER(INDEX('M04-S03'!$AK$16:$AK$198,2*(ROWS($O$84:O93)-1)+1)),INDEX('M04-S03'!$AO$16:$AO$198,2*(ROWS($M$84:M93)-1)+1),0),"")</f>
        <v>0</v>
      </c>
      <c r="N93" s="335">
        <f>IFERROR(IF(ISNUMBER(INDEX('M04-S03'!$AK$16:$AK$198,2*(ROWS($O$84:O93)-1)+1)),INDEX('M04-S03'!$AV$16:$AV$198,2*(ROWS($N$84:N93)-1)+1),0),"")</f>
        <v>0</v>
      </c>
      <c r="O93" s="107">
        <f>IF(ISNUMBER(INDEX('M04-S03'!$AK$16:$AK$198,2*(ROWS($O$84:O93)-1)+1)),INDEX('M04-S03'!$AK$16:$AK$198,2*(ROWS($O$84:O93)-1)+1),0)</f>
        <v>0</v>
      </c>
      <c r="P93" s="277" t="str">
        <f>IFERROR(IF(NOT(ISNUMBER(INDEX('M04-S03'!$AK$16:$AK$198,2*(ROWS($O$84:O93)-1)+1))),INDEX('M04-S03'!$AO$16:$AO$198,2*(ROWS($O$84:O93)-1)+1),0),"")</f>
        <v/>
      </c>
      <c r="Q93" s="335" t="str">
        <f>IFERROR(IF(NOT(ISNUMBER(INDEX('M04-S03'!$AK$16:$AK$198,2*(ROWS($O$84:O93)-1)+1))),INDEX('M04-S03'!$AV$16:$AV$198,2*(ROWS($O$84:O93)-1)+1),0),"")</f>
        <v/>
      </c>
      <c r="R93" s="63" t="str">
        <f>IFERROR(IF(NOT(ISNUMBER(INDEX('M04-S03'!$AK$16:$AK$198,2*(ROWS($O$84:O93)-1)+1))),INDEX(SPILLOVER[Spillover Reason],MATCH(INDEX('M04-S03'!$BC$16:$BC$198,2*(ROWS($O$84:O93)-1)+1),SPILLOVER[Spillover Text],0)),""),"")</f>
        <v>Not Eligible</v>
      </c>
      <c r="S93" s="283"/>
      <c r="T93" s="283"/>
      <c r="U93" s="277">
        <f>INDEX('M04-S03'!$B$16:$B$198,2*(ROWS($U$84:U93)-1)+1)</f>
        <v>10</v>
      </c>
      <c r="V93" s="254"/>
      <c r="W93" s="104">
        <f>INDEX('M04-S03'!$F$16:$F$198,2*(ROWS($W$84:W93)-1)+1)</f>
        <v>0</v>
      </c>
      <c r="X93" s="63">
        <f>INDEX('M04-S03'!$L$16:$L$198,2*(ROWS($X$84:X93)-1)+1)</f>
        <v>0</v>
      </c>
      <c r="Y93" s="63">
        <f>INDEX('M04-S03'!$U$16:$U$198,2*(ROWS($Y$84:Y93)-1)+1)</f>
        <v>0</v>
      </c>
      <c r="Z93" s="254"/>
      <c r="AA93" s="254"/>
      <c r="AB93" s="254"/>
      <c r="AC93" s="254"/>
      <c r="AD93" s="254"/>
      <c r="AE93" s="277">
        <f>IF(NOT(ISNUMBER(INDEX('M04-S03'!$AK$16:$AK$198,2*(ROWS($O$84:O93)-1)+1))),INDEX('M04-S03'!$Z$16:$Z$198,2*(ROWS($L$84:L93)-1)+1),0)</f>
        <v>0</v>
      </c>
      <c r="AF93" s="277">
        <f>INDEX('M04-S03'!$S$16:$S$198,2*(ROWS($AF$84:AF93)-1)+1)</f>
        <v>0</v>
      </c>
      <c r="AG93" s="277">
        <f>INDEX('M04-S03'!$AB$16:$AB$198,2*(ROWS($AG$84:AG93)-1)+1)</f>
        <v>0</v>
      </c>
      <c r="AH93" s="277" t="str">
        <f t="shared" si="50"/>
        <v/>
      </c>
      <c r="AI93" s="277" t="str">
        <f t="shared" si="51"/>
        <v/>
      </c>
      <c r="AJ93" s="107" t="str">
        <f t="shared" si="52"/>
        <v/>
      </c>
      <c r="AK93" s="107" t="str">
        <f t="shared" si="53"/>
        <v/>
      </c>
      <c r="AL93" s="107" t="str">
        <f t="shared" si="47"/>
        <v/>
      </c>
      <c r="AM93" s="107" t="str">
        <f>INDEX('M04-S03'!$AU$16:$AU$198,2*(ROWS($AM$84:AM93)-1)+1)</f>
        <v/>
      </c>
      <c r="AN93" s="107" t="str">
        <f>INDEX('M04-S03'!$BB$16:$BB$198,2*(ROWS($AN$84:AN93)-1)+1)</f>
        <v/>
      </c>
      <c r="AO93" s="277">
        <f>INDEX('M04-S03'!$Q$16:$Q$198,2*(ROWS($AO$84:AO93)-1)+1)</f>
        <v>0</v>
      </c>
      <c r="AP93" s="278"/>
      <c r="AQ93" s="278"/>
    </row>
    <row r="94" spans="1:43" x14ac:dyDescent="0.25">
      <c r="A94" s="118">
        <f t="shared" si="48"/>
        <v>0</v>
      </c>
      <c r="B94" s="118" t="str">
        <f t="shared" si="49"/>
        <v/>
      </c>
      <c r="C94" s="118" t="str">
        <f>IF(J94&gt;0,INDEX('M04-S03'!$AY$16:$AY$198,2*(ROWS($C$84:C94)-1)+1),"")</f>
        <v/>
      </c>
      <c r="D94" s="63" t="s">
        <v>215</v>
      </c>
      <c r="E94" s="301">
        <f>IFERROR(INDEX('M04-S03'!$AW$16:$AW$198,2*(ROWS($E$84:E94)-1)+1),"")</f>
        <v>0</v>
      </c>
      <c r="F94" s="278"/>
      <c r="G94" s="254"/>
      <c r="H94" s="107">
        <f>INDEX('M04-S03'!$AD$16:$AD$198,2*(ROWS($H$84:H94)-1)+1)</f>
        <v>0</v>
      </c>
      <c r="I94" s="107">
        <f>INDEX('M04-S03'!$AF$16:$AF$198,2*(ROWS($I$84:I94)-1)+1)</f>
        <v>0</v>
      </c>
      <c r="J94" s="107">
        <f>INDEX('M04-S03'!$AH$16:$AH$198,2*(ROWS($J$84:J94)-1)+1)</f>
        <v>0</v>
      </c>
      <c r="K94" s="63" t="str">
        <f>IFERROR(INDEX(CMECOOK[Cost Basis],MATCH(INDEX('M04-S03'!$F$16:$F$198,2*(ROWS($K$84:K94)-1)+1),CMECOOK[Proj Desc 1],0)),"")</f>
        <v/>
      </c>
      <c r="L94" s="277">
        <f>IF(ISNUMBER(INDEX('M04-S03'!$AK$16:$AK$198,2*(ROWS($O$84:O94)-1)+1)),INDEX('M04-S03'!$Z$16:$Z$198,2*(ROWS($L$84:L94)-1)+1),0)</f>
        <v>0</v>
      </c>
      <c r="M94" s="277">
        <f>IFERROR(IF(ISNUMBER(INDEX('M04-S03'!$AK$16:$AK$198,2*(ROWS($O$84:O94)-1)+1)),INDEX('M04-S03'!$AO$16:$AO$198,2*(ROWS($M$84:M94)-1)+1),0),"")</f>
        <v>0</v>
      </c>
      <c r="N94" s="335">
        <f>IFERROR(IF(ISNUMBER(INDEX('M04-S03'!$AK$16:$AK$198,2*(ROWS($O$84:O94)-1)+1)),INDEX('M04-S03'!$AV$16:$AV$198,2*(ROWS($N$84:N94)-1)+1),0),"")</f>
        <v>0</v>
      </c>
      <c r="O94" s="107">
        <f>IF(ISNUMBER(INDEX('M04-S03'!$AK$16:$AK$198,2*(ROWS($O$84:O94)-1)+1)),INDEX('M04-S03'!$AK$16:$AK$198,2*(ROWS($O$84:O94)-1)+1),0)</f>
        <v>0</v>
      </c>
      <c r="P94" s="277">
        <f>IFERROR(IF(NOT(ISNUMBER(INDEX('M04-S03'!$AK$16:$AK$198,2*(ROWS($O$84:O94)-1)+1))),INDEX('M04-S03'!$AO$16:$AO$198,2*(ROWS($O$84:O94)-1)+1),0),"")</f>
        <v>0</v>
      </c>
      <c r="Q94" s="335">
        <f>IFERROR(IF(NOT(ISNUMBER(INDEX('M04-S03'!$AK$16:$AK$198,2*(ROWS($O$84:O94)-1)+1))),INDEX('M04-S03'!$AV$16:$AV$198,2*(ROWS($O$84:O94)-1)+1),0),"")</f>
        <v>0</v>
      </c>
      <c r="R94" s="63" t="str">
        <f>IFERROR(IF(NOT(ISNUMBER(INDEX('M04-S03'!$AK$16:$AK$198,2*(ROWS($O$84:O94)-1)+1))),INDEX(SPILLOVER[Spillover Reason],MATCH(INDEX('M04-S03'!$BC$16:$BC$198,2*(ROWS($O$84:O94)-1)+1),SPILLOVER[Spillover Text],0)),""),"")</f>
        <v/>
      </c>
      <c r="S94" s="283"/>
      <c r="T94" s="283"/>
      <c r="U94" s="277">
        <f>INDEX('M04-S03'!$B$16:$B$198,2*(ROWS($U$84:U94)-1)+1)</f>
        <v>11</v>
      </c>
      <c r="V94" s="254"/>
      <c r="W94" s="104">
        <f>INDEX('M04-S03'!$F$16:$F$198,2*(ROWS($W$84:W94)-1)+1)</f>
        <v>0</v>
      </c>
      <c r="X94" s="63">
        <f>INDEX('M04-S03'!$L$16:$L$198,2*(ROWS($X$84:X94)-1)+1)</f>
        <v>0</v>
      </c>
      <c r="Y94" s="63">
        <f>INDEX('M04-S03'!$U$16:$U$198,2*(ROWS($Y$84:Y94)-1)+1)</f>
        <v>0</v>
      </c>
      <c r="Z94" s="254"/>
      <c r="AA94" s="254"/>
      <c r="AB94" s="254"/>
      <c r="AC94" s="254"/>
      <c r="AD94" s="254"/>
      <c r="AE94" s="277">
        <f>IF(NOT(ISNUMBER(INDEX('M04-S03'!$AK$16:$AK$198,2*(ROWS($O$84:O94)-1)+1))),INDEX('M04-S03'!$Z$16:$Z$198,2*(ROWS($L$84:L94)-1)+1),0)</f>
        <v>0</v>
      </c>
      <c r="AF94" s="277">
        <f>INDEX('M04-S03'!$S$16:$S$198,2*(ROWS($AF$84:AF94)-1)+1)</f>
        <v>0</v>
      </c>
      <c r="AG94" s="277">
        <f>INDEX('M04-S03'!$AB$16:$AB$198,2*(ROWS($AG$84:AG94)-1)+1)</f>
        <v>0</v>
      </c>
      <c r="AH94" s="277" t="str">
        <f t="shared" si="50"/>
        <v/>
      </c>
      <c r="AI94" s="277" t="str">
        <f t="shared" si="51"/>
        <v/>
      </c>
      <c r="AJ94" s="107" t="str">
        <f t="shared" si="52"/>
        <v/>
      </c>
      <c r="AK94" s="107" t="str">
        <f t="shared" si="53"/>
        <v/>
      </c>
      <c r="AL94" s="107" t="str">
        <f t="shared" si="47"/>
        <v/>
      </c>
      <c r="AM94" s="107">
        <f>INDEX('M04-S03'!$AU$16:$AU$198,2*(ROWS($AM$84:AM94)-1)+1)</f>
        <v>0</v>
      </c>
      <c r="AN94" s="107">
        <f>INDEX('M04-S03'!$BB$16:$BB$198,2*(ROWS($AN$84:AN94)-1)+1)</f>
        <v>0</v>
      </c>
      <c r="AO94" s="277">
        <f>INDEX('M04-S03'!$Q$16:$Q$198,2*(ROWS($AO$84:AO94)-1)+1)</f>
        <v>0</v>
      </c>
      <c r="AP94" s="278"/>
      <c r="AQ94" s="278"/>
    </row>
    <row r="95" spans="1:43" x14ac:dyDescent="0.25">
      <c r="A95" s="118">
        <f t="shared" si="48"/>
        <v>0</v>
      </c>
      <c r="B95" s="118" t="str">
        <f t="shared" si="49"/>
        <v/>
      </c>
      <c r="C95" s="118" t="str">
        <f>IF(J95&gt;0,INDEX('M04-S03'!$AY$16:$AY$198,2*(ROWS($C$84:C95)-1)+1),"")</f>
        <v/>
      </c>
      <c r="D95" s="63" t="s">
        <v>215</v>
      </c>
      <c r="E95" s="301">
        <f>IFERROR(INDEX('M04-S03'!$AW$16:$AW$198,2*(ROWS($E$84:E95)-1)+1),"")</f>
        <v>0</v>
      </c>
      <c r="F95" s="278"/>
      <c r="G95" s="254"/>
      <c r="H95" s="107">
        <f>INDEX('M04-S03'!$AD$16:$AD$198,2*(ROWS($H$84:H95)-1)+1)</f>
        <v>0</v>
      </c>
      <c r="I95" s="107">
        <f>INDEX('M04-S03'!$AF$16:$AF$198,2*(ROWS($I$84:I95)-1)+1)</f>
        <v>0</v>
      </c>
      <c r="J95" s="107">
        <f>INDEX('M04-S03'!$AH$16:$AH$198,2*(ROWS($J$84:J95)-1)+1)</f>
        <v>0</v>
      </c>
      <c r="K95" s="63" t="str">
        <f>IFERROR(INDEX(CMECOOK[Cost Basis],MATCH(INDEX('M04-S03'!$F$16:$F$198,2*(ROWS($K$84:K95)-1)+1),CMECOOK[Proj Desc 1],0)),"")</f>
        <v/>
      </c>
      <c r="L95" s="277">
        <f>IF(ISNUMBER(INDEX('M04-S03'!$AK$16:$AK$198,2*(ROWS($O$84:O95)-1)+1)),INDEX('M04-S03'!$Z$16:$Z$198,2*(ROWS($L$84:L95)-1)+1),0)</f>
        <v>0</v>
      </c>
      <c r="M95" s="277">
        <f>IFERROR(IF(ISNUMBER(INDEX('M04-S03'!$AK$16:$AK$198,2*(ROWS($O$84:O95)-1)+1)),INDEX('M04-S03'!$AO$16:$AO$198,2*(ROWS($M$84:M95)-1)+1),0),"")</f>
        <v>0</v>
      </c>
      <c r="N95" s="335">
        <f>IFERROR(IF(ISNUMBER(INDEX('M04-S03'!$AK$16:$AK$198,2*(ROWS($O$84:O95)-1)+1)),INDEX('M04-S03'!$AV$16:$AV$198,2*(ROWS($N$84:N95)-1)+1),0),"")</f>
        <v>0</v>
      </c>
      <c r="O95" s="107">
        <f>IF(ISNUMBER(INDEX('M04-S03'!$AK$16:$AK$198,2*(ROWS($O$84:O95)-1)+1)),INDEX('M04-S03'!$AK$16:$AK$198,2*(ROWS($O$84:O95)-1)+1),0)</f>
        <v>0</v>
      </c>
      <c r="P95" s="277">
        <f>IFERROR(IF(NOT(ISNUMBER(INDEX('M04-S03'!$AK$16:$AK$198,2*(ROWS($O$84:O95)-1)+1))),INDEX('M04-S03'!$AO$16:$AO$198,2*(ROWS($O$84:O95)-1)+1),0),"")</f>
        <v>0</v>
      </c>
      <c r="Q95" s="335">
        <f>IFERROR(IF(NOT(ISNUMBER(INDEX('M04-S03'!$AK$16:$AK$198,2*(ROWS($O$84:O95)-1)+1))),INDEX('M04-S03'!$AV$16:$AV$198,2*(ROWS($O$84:O95)-1)+1),0),"")</f>
        <v>0</v>
      </c>
      <c r="R95" s="63" t="str">
        <f>IFERROR(IF(NOT(ISNUMBER(INDEX('M04-S03'!$AK$16:$AK$198,2*(ROWS($O$84:O95)-1)+1))),INDEX(SPILLOVER[Spillover Reason],MATCH(INDEX('M04-S03'!$BC$16:$BC$198,2*(ROWS($O$84:O95)-1)+1),SPILLOVER[Spillover Text],0)),""),"")</f>
        <v/>
      </c>
      <c r="S95" s="283"/>
      <c r="T95" s="283"/>
      <c r="U95" s="277">
        <f>INDEX('M04-S03'!$B$16:$B$198,2*(ROWS($U$84:U95)-1)+1)</f>
        <v>12</v>
      </c>
      <c r="V95" s="254"/>
      <c r="W95" s="104">
        <f>INDEX('M04-S03'!$F$16:$F$198,2*(ROWS($W$84:W95)-1)+1)</f>
        <v>0</v>
      </c>
      <c r="X95" s="63">
        <f>INDEX('M04-S03'!$L$16:$L$198,2*(ROWS($X$84:X95)-1)+1)</f>
        <v>0</v>
      </c>
      <c r="Y95" s="63">
        <f>INDEX('M04-S03'!$U$16:$U$198,2*(ROWS($Y$84:Y95)-1)+1)</f>
        <v>0</v>
      </c>
      <c r="Z95" s="254"/>
      <c r="AA95" s="254"/>
      <c r="AB95" s="254"/>
      <c r="AC95" s="254"/>
      <c r="AD95" s="254"/>
      <c r="AE95" s="277">
        <f>IF(NOT(ISNUMBER(INDEX('M04-S03'!$AK$16:$AK$198,2*(ROWS($O$84:O95)-1)+1))),INDEX('M04-S03'!$Z$16:$Z$198,2*(ROWS($L$84:L95)-1)+1),0)</f>
        <v>0</v>
      </c>
      <c r="AF95" s="277">
        <f>INDEX('M04-S03'!$S$16:$S$198,2*(ROWS($AF$84:AF95)-1)+1)</f>
        <v>0</v>
      </c>
      <c r="AG95" s="277">
        <f>INDEX('M04-S03'!$AB$16:$AB$198,2*(ROWS($AG$84:AG95)-1)+1)</f>
        <v>0</v>
      </c>
      <c r="AH95" s="277" t="str">
        <f t="shared" si="50"/>
        <v/>
      </c>
      <c r="AI95" s="277" t="str">
        <f t="shared" si="51"/>
        <v/>
      </c>
      <c r="AJ95" s="107" t="str">
        <f t="shared" si="52"/>
        <v/>
      </c>
      <c r="AK95" s="107" t="str">
        <f t="shared" si="53"/>
        <v/>
      </c>
      <c r="AL95" s="107" t="str">
        <f t="shared" si="47"/>
        <v/>
      </c>
      <c r="AM95" s="107">
        <f>INDEX('M04-S03'!$AU$16:$AU$198,2*(ROWS($AM$84:AM95)-1)+1)</f>
        <v>0</v>
      </c>
      <c r="AN95" s="107">
        <f>INDEX('M04-S03'!$BB$16:$BB$198,2*(ROWS($AN$84:AN95)-1)+1)</f>
        <v>0</v>
      </c>
      <c r="AO95" s="277">
        <f>INDEX('M04-S03'!$Q$16:$Q$198,2*(ROWS($AO$84:AO95)-1)+1)</f>
        <v>0</v>
      </c>
      <c r="AP95" s="278"/>
      <c r="AQ95" s="278"/>
    </row>
    <row r="96" spans="1:43" x14ac:dyDescent="0.25">
      <c r="A96" s="118">
        <f t="shared" si="48"/>
        <v>0</v>
      </c>
      <c r="B96" s="118" t="str">
        <f t="shared" si="49"/>
        <v/>
      </c>
      <c r="C96" s="118" t="str">
        <f>IF(J96&gt;0,INDEX('M04-S03'!$AY$16:$AY$198,2*(ROWS($C$84:C96)-1)+1),"")</f>
        <v/>
      </c>
      <c r="D96" s="63" t="s">
        <v>215</v>
      </c>
      <c r="E96" s="301">
        <f>IFERROR(INDEX('M04-S03'!$AW$16:$AW$198,2*(ROWS($E$84:E96)-1)+1),"")</f>
        <v>0</v>
      </c>
      <c r="F96" s="278"/>
      <c r="G96" s="254"/>
      <c r="H96" s="107">
        <f>INDEX('M04-S03'!$AD$16:$AD$198,2*(ROWS($H$84:H96)-1)+1)</f>
        <v>0</v>
      </c>
      <c r="I96" s="107">
        <f>INDEX('M04-S03'!$AF$16:$AF$198,2*(ROWS($I$84:I96)-1)+1)</f>
        <v>0</v>
      </c>
      <c r="J96" s="107">
        <f>INDEX('M04-S03'!$AH$16:$AH$198,2*(ROWS($J$84:J96)-1)+1)</f>
        <v>0</v>
      </c>
      <c r="K96" s="63" t="str">
        <f>IFERROR(INDEX(CMECOOK[Cost Basis],MATCH(INDEX('M04-S03'!$F$16:$F$198,2*(ROWS($K$84:K96)-1)+1),CMECOOK[Proj Desc 1],0)),"")</f>
        <v/>
      </c>
      <c r="L96" s="277">
        <f>IF(ISNUMBER(INDEX('M04-S03'!$AK$16:$AK$198,2*(ROWS($O$84:O96)-1)+1)),INDEX('M04-S03'!$Z$16:$Z$198,2*(ROWS($L$84:L96)-1)+1),0)</f>
        <v>0</v>
      </c>
      <c r="M96" s="277">
        <f>IFERROR(IF(ISNUMBER(INDEX('M04-S03'!$AK$16:$AK$198,2*(ROWS($O$84:O96)-1)+1)),INDEX('M04-S03'!$AO$16:$AO$198,2*(ROWS($M$84:M96)-1)+1),0),"")</f>
        <v>0</v>
      </c>
      <c r="N96" s="335">
        <f>IFERROR(IF(ISNUMBER(INDEX('M04-S03'!$AK$16:$AK$198,2*(ROWS($O$84:O96)-1)+1)),INDEX('M04-S03'!$AV$16:$AV$198,2*(ROWS($N$84:N96)-1)+1),0),"")</f>
        <v>0</v>
      </c>
      <c r="O96" s="107">
        <f>IF(ISNUMBER(INDEX('M04-S03'!$AK$16:$AK$198,2*(ROWS($O$84:O96)-1)+1)),INDEX('M04-S03'!$AK$16:$AK$198,2*(ROWS($O$84:O96)-1)+1),0)</f>
        <v>0</v>
      </c>
      <c r="P96" s="277">
        <f>IFERROR(IF(NOT(ISNUMBER(INDEX('M04-S03'!$AK$16:$AK$198,2*(ROWS($O$84:O96)-1)+1))),INDEX('M04-S03'!$AO$16:$AO$198,2*(ROWS($O$84:O96)-1)+1),0),"")</f>
        <v>0</v>
      </c>
      <c r="Q96" s="335">
        <f>IFERROR(IF(NOT(ISNUMBER(INDEX('M04-S03'!$AK$16:$AK$198,2*(ROWS($O$84:O96)-1)+1))),INDEX('M04-S03'!$AV$16:$AV$198,2*(ROWS($O$84:O96)-1)+1),0),"")</f>
        <v>0</v>
      </c>
      <c r="R96" s="63" t="str">
        <f>IFERROR(IF(NOT(ISNUMBER(INDEX('M04-S03'!$AK$16:$AK$198,2*(ROWS($O$84:O96)-1)+1))),INDEX(SPILLOVER[Spillover Reason],MATCH(INDEX('M04-S03'!$BC$16:$BC$198,2*(ROWS($O$84:O96)-1)+1),SPILLOVER[Spillover Text],0)),""),"")</f>
        <v/>
      </c>
      <c r="S96" s="283"/>
      <c r="T96" s="283"/>
      <c r="U96" s="277">
        <f>INDEX('M04-S03'!$B$16:$B$198,2*(ROWS($U$84:U96)-1)+1)</f>
        <v>13</v>
      </c>
      <c r="V96" s="254"/>
      <c r="W96" s="104">
        <f>INDEX('M04-S03'!$F$16:$F$198,2*(ROWS($W$84:W96)-1)+1)</f>
        <v>0</v>
      </c>
      <c r="X96" s="63">
        <f>INDEX('M04-S03'!$L$16:$L$198,2*(ROWS($X$84:X96)-1)+1)</f>
        <v>0</v>
      </c>
      <c r="Y96" s="63">
        <f>INDEX('M04-S03'!$U$16:$U$198,2*(ROWS($Y$84:Y96)-1)+1)</f>
        <v>0</v>
      </c>
      <c r="Z96" s="254"/>
      <c r="AA96" s="254"/>
      <c r="AB96" s="254"/>
      <c r="AC96" s="254"/>
      <c r="AD96" s="254"/>
      <c r="AE96" s="277">
        <f>IF(NOT(ISNUMBER(INDEX('M04-S03'!$AK$16:$AK$198,2*(ROWS($O$84:O96)-1)+1))),INDEX('M04-S03'!$Z$16:$Z$198,2*(ROWS($L$84:L96)-1)+1),0)</f>
        <v>0</v>
      </c>
      <c r="AF96" s="277">
        <f>INDEX('M04-S03'!$S$16:$S$198,2*(ROWS($AF$84:AF96)-1)+1)</f>
        <v>0</v>
      </c>
      <c r="AG96" s="277">
        <f>INDEX('M04-S03'!$AB$16:$AB$198,2*(ROWS($AG$84:AG96)-1)+1)</f>
        <v>0</v>
      </c>
      <c r="AH96" s="277" t="str">
        <f t="shared" si="50"/>
        <v/>
      </c>
      <c r="AI96" s="277" t="str">
        <f t="shared" si="51"/>
        <v/>
      </c>
      <c r="AJ96" s="107" t="str">
        <f t="shared" si="52"/>
        <v/>
      </c>
      <c r="AK96" s="107" t="str">
        <f t="shared" si="53"/>
        <v/>
      </c>
      <c r="AL96" s="107" t="str">
        <f t="shared" si="47"/>
        <v/>
      </c>
      <c r="AM96" s="107">
        <f>INDEX('M04-S03'!$AU$16:$AU$198,2*(ROWS($AM$84:AM96)-1)+1)</f>
        <v>0</v>
      </c>
      <c r="AN96" s="107">
        <f>INDEX('M04-S03'!$BB$16:$BB$198,2*(ROWS($AN$84:AN96)-1)+1)</f>
        <v>0</v>
      </c>
      <c r="AO96" s="277">
        <f>INDEX('M04-S03'!$Q$16:$Q$198,2*(ROWS($AO$84:AO96)-1)+1)</f>
        <v>0</v>
      </c>
      <c r="AP96" s="278"/>
      <c r="AQ96" s="278"/>
    </row>
    <row r="97" spans="1:43" x14ac:dyDescent="0.25">
      <c r="A97" s="118">
        <f t="shared" si="48"/>
        <v>0</v>
      </c>
      <c r="B97" s="118" t="str">
        <f t="shared" si="49"/>
        <v/>
      </c>
      <c r="C97" s="118" t="str">
        <f>IF(J97&gt;0,INDEX('M04-S03'!$AY$16:$AY$198,2*(ROWS($C$84:C97)-1)+1),"")</f>
        <v/>
      </c>
      <c r="D97" s="63" t="s">
        <v>215</v>
      </c>
      <c r="E97" s="301">
        <f>IFERROR(INDEX('M04-S03'!$AW$16:$AW$198,2*(ROWS($E$84:E97)-1)+1),"")</f>
        <v>0</v>
      </c>
      <c r="F97" s="278"/>
      <c r="G97" s="254"/>
      <c r="H97" s="107">
        <f>INDEX('M04-S03'!$AD$16:$AD$198,2*(ROWS($H$84:H97)-1)+1)</f>
        <v>0</v>
      </c>
      <c r="I97" s="107">
        <f>INDEX('M04-S03'!$AF$16:$AF$198,2*(ROWS($I$84:I97)-1)+1)</f>
        <v>0</v>
      </c>
      <c r="J97" s="107">
        <f>INDEX('M04-S03'!$AH$16:$AH$198,2*(ROWS($J$84:J97)-1)+1)</f>
        <v>0</v>
      </c>
      <c r="K97" s="63" t="str">
        <f>IFERROR(INDEX(CMECOOK[Cost Basis],MATCH(INDEX('M04-S03'!$F$16:$F$198,2*(ROWS($K$84:K97)-1)+1),CMECOOK[Proj Desc 1],0)),"")</f>
        <v/>
      </c>
      <c r="L97" s="277">
        <f>IF(ISNUMBER(INDEX('M04-S03'!$AK$16:$AK$198,2*(ROWS($O$84:O97)-1)+1)),INDEX('M04-S03'!$Z$16:$Z$198,2*(ROWS($L$84:L97)-1)+1),0)</f>
        <v>0</v>
      </c>
      <c r="M97" s="277">
        <f>IFERROR(IF(ISNUMBER(INDEX('M04-S03'!$AK$16:$AK$198,2*(ROWS($O$84:O97)-1)+1)),INDEX('M04-S03'!$AO$16:$AO$198,2*(ROWS($M$84:M97)-1)+1),0),"")</f>
        <v>0</v>
      </c>
      <c r="N97" s="335">
        <f>IFERROR(IF(ISNUMBER(INDEX('M04-S03'!$AK$16:$AK$198,2*(ROWS($O$84:O97)-1)+1)),INDEX('M04-S03'!$AV$16:$AV$198,2*(ROWS($N$84:N97)-1)+1),0),"")</f>
        <v>0</v>
      </c>
      <c r="O97" s="107">
        <f>IF(ISNUMBER(INDEX('M04-S03'!$AK$16:$AK$198,2*(ROWS($O$84:O97)-1)+1)),INDEX('M04-S03'!$AK$16:$AK$198,2*(ROWS($O$84:O97)-1)+1),0)</f>
        <v>0</v>
      </c>
      <c r="P97" s="277">
        <f>IFERROR(IF(NOT(ISNUMBER(INDEX('M04-S03'!$AK$16:$AK$198,2*(ROWS($O$84:O97)-1)+1))),INDEX('M04-S03'!$AO$16:$AO$198,2*(ROWS($O$84:O97)-1)+1),0),"")</f>
        <v>0</v>
      </c>
      <c r="Q97" s="335">
        <f>IFERROR(IF(NOT(ISNUMBER(INDEX('M04-S03'!$AK$16:$AK$198,2*(ROWS($O$84:O97)-1)+1))),INDEX('M04-S03'!$AV$16:$AV$198,2*(ROWS($O$84:O97)-1)+1),0),"")</f>
        <v>0</v>
      </c>
      <c r="R97" s="63" t="str">
        <f>IFERROR(IF(NOT(ISNUMBER(INDEX('M04-S03'!$AK$16:$AK$198,2*(ROWS($O$84:O97)-1)+1))),INDEX(SPILLOVER[Spillover Reason],MATCH(INDEX('M04-S03'!$BC$16:$BC$198,2*(ROWS($O$84:O97)-1)+1),SPILLOVER[Spillover Text],0)),""),"")</f>
        <v/>
      </c>
      <c r="S97" s="283"/>
      <c r="T97" s="283"/>
      <c r="U97" s="277">
        <f>INDEX('M04-S03'!$B$16:$B$198,2*(ROWS($U$84:U97)-1)+1)</f>
        <v>14</v>
      </c>
      <c r="V97" s="254"/>
      <c r="W97" s="104">
        <f>INDEX('M04-S03'!$F$16:$F$198,2*(ROWS($W$84:W97)-1)+1)</f>
        <v>0</v>
      </c>
      <c r="X97" s="63">
        <f>INDEX('M04-S03'!$L$16:$L$198,2*(ROWS($X$84:X97)-1)+1)</f>
        <v>0</v>
      </c>
      <c r="Y97" s="63">
        <f>INDEX('M04-S03'!$U$16:$U$198,2*(ROWS($Y$84:Y97)-1)+1)</f>
        <v>0</v>
      </c>
      <c r="Z97" s="254"/>
      <c r="AA97" s="254"/>
      <c r="AB97" s="254"/>
      <c r="AC97" s="254"/>
      <c r="AD97" s="254"/>
      <c r="AE97" s="277">
        <f>IF(NOT(ISNUMBER(INDEX('M04-S03'!$AK$16:$AK$198,2*(ROWS($O$84:O97)-1)+1))),INDEX('M04-S03'!$Z$16:$Z$198,2*(ROWS($L$84:L97)-1)+1),0)</f>
        <v>0</v>
      </c>
      <c r="AF97" s="277">
        <f>INDEX('M04-S03'!$S$16:$S$198,2*(ROWS($AF$84:AF97)-1)+1)</f>
        <v>0</v>
      </c>
      <c r="AG97" s="277">
        <f>INDEX('M04-S03'!$AB$16:$AB$198,2*(ROWS($AG$84:AG97)-1)+1)</f>
        <v>0</v>
      </c>
      <c r="AH97" s="277" t="str">
        <f t="shared" si="50"/>
        <v/>
      </c>
      <c r="AI97" s="277" t="str">
        <f t="shared" si="51"/>
        <v/>
      </c>
      <c r="AJ97" s="107" t="str">
        <f t="shared" si="52"/>
        <v/>
      </c>
      <c r="AK97" s="107" t="str">
        <f t="shared" si="53"/>
        <v/>
      </c>
      <c r="AL97" s="107" t="str">
        <f t="shared" si="47"/>
        <v/>
      </c>
      <c r="AM97" s="107">
        <f>INDEX('M04-S03'!$AU$16:$AU$198,2*(ROWS($AM$84:AM97)-1)+1)</f>
        <v>0</v>
      </c>
      <c r="AN97" s="107">
        <f>INDEX('M04-S03'!$BB$16:$BB$198,2*(ROWS($AN$84:AN97)-1)+1)</f>
        <v>0</v>
      </c>
      <c r="AO97" s="277">
        <f>INDEX('M04-S03'!$Q$16:$Q$198,2*(ROWS($AO$84:AO97)-1)+1)</f>
        <v>0</v>
      </c>
      <c r="AP97" s="278"/>
      <c r="AQ97" s="278"/>
    </row>
    <row r="98" spans="1:43" x14ac:dyDescent="0.25">
      <c r="A98" s="118">
        <f t="shared" si="48"/>
        <v>0</v>
      </c>
      <c r="B98" s="118" t="str">
        <f t="shared" si="49"/>
        <v/>
      </c>
      <c r="C98" s="118" t="str">
        <f>IF(J98&gt;0,INDEX('M04-S03'!$AY$16:$AY$198,2*(ROWS($C$84:C98)-1)+1),"")</f>
        <v/>
      </c>
      <c r="D98" s="63" t="s">
        <v>215</v>
      </c>
      <c r="E98" s="301">
        <f>IFERROR(INDEX('M04-S03'!$AW$16:$AW$198,2*(ROWS($E$84:E98)-1)+1),"")</f>
        <v>0</v>
      </c>
      <c r="F98" s="278"/>
      <c r="G98" s="254"/>
      <c r="H98" s="107">
        <f>INDEX('M04-S03'!$AD$16:$AD$198,2*(ROWS($H$84:H98)-1)+1)</f>
        <v>0</v>
      </c>
      <c r="I98" s="107">
        <f>INDEX('M04-S03'!$AF$16:$AF$198,2*(ROWS($I$84:I98)-1)+1)</f>
        <v>0</v>
      </c>
      <c r="J98" s="107">
        <f>INDEX('M04-S03'!$AH$16:$AH$198,2*(ROWS($J$84:J98)-1)+1)</f>
        <v>0</v>
      </c>
      <c r="K98" s="63" t="str">
        <f>IFERROR(INDEX(CMECOOK[Cost Basis],MATCH(INDEX('M04-S03'!$F$16:$F$198,2*(ROWS($K$84:K98)-1)+1),CMECOOK[Proj Desc 1],0)),"")</f>
        <v/>
      </c>
      <c r="L98" s="277">
        <f>IF(ISNUMBER(INDEX('M04-S03'!$AK$16:$AK$198,2*(ROWS($O$84:O98)-1)+1)),INDEX('M04-S03'!$Z$16:$Z$198,2*(ROWS($L$84:L98)-1)+1),0)</f>
        <v>0</v>
      </c>
      <c r="M98" s="277">
        <f>IFERROR(IF(ISNUMBER(INDEX('M04-S03'!$AK$16:$AK$198,2*(ROWS($O$84:O98)-1)+1)),INDEX('M04-S03'!$AO$16:$AO$198,2*(ROWS($M$84:M98)-1)+1),0),"")</f>
        <v>0</v>
      </c>
      <c r="N98" s="335">
        <f>IFERROR(IF(ISNUMBER(INDEX('M04-S03'!$AK$16:$AK$198,2*(ROWS($O$84:O98)-1)+1)),INDEX('M04-S03'!$AV$16:$AV$198,2*(ROWS($N$84:N98)-1)+1),0),"")</f>
        <v>0</v>
      </c>
      <c r="O98" s="107">
        <f>IF(ISNUMBER(INDEX('M04-S03'!$AK$16:$AK$198,2*(ROWS($O$84:O98)-1)+1)),INDEX('M04-S03'!$AK$16:$AK$198,2*(ROWS($O$84:O98)-1)+1),0)</f>
        <v>0</v>
      </c>
      <c r="P98" s="277">
        <f>IFERROR(IF(NOT(ISNUMBER(INDEX('M04-S03'!$AK$16:$AK$198,2*(ROWS($O$84:O98)-1)+1))),INDEX('M04-S03'!$AO$16:$AO$198,2*(ROWS($O$84:O98)-1)+1),0),"")</f>
        <v>0</v>
      </c>
      <c r="Q98" s="335">
        <f>IFERROR(IF(NOT(ISNUMBER(INDEX('M04-S03'!$AK$16:$AK$198,2*(ROWS($O$84:O98)-1)+1))),INDEX('M04-S03'!$AV$16:$AV$198,2*(ROWS($O$84:O98)-1)+1),0),"")</f>
        <v>0</v>
      </c>
      <c r="R98" s="63" t="str">
        <f>IFERROR(IF(NOT(ISNUMBER(INDEX('M04-S03'!$AK$16:$AK$198,2*(ROWS($O$84:O98)-1)+1))),INDEX(SPILLOVER[Spillover Reason],MATCH(INDEX('M04-S03'!$BC$16:$BC$198,2*(ROWS($O$84:O98)-1)+1),SPILLOVER[Spillover Text],0)),""),"")</f>
        <v/>
      </c>
      <c r="S98" s="283"/>
      <c r="T98" s="283"/>
      <c r="U98" s="277">
        <f>INDEX('M04-S03'!$B$16:$B$198,2*(ROWS($U$84:U98)-1)+1)</f>
        <v>15</v>
      </c>
      <c r="V98" s="254"/>
      <c r="W98" s="104">
        <f>INDEX('M04-S03'!$F$16:$F$198,2*(ROWS($W$84:W98)-1)+1)</f>
        <v>0</v>
      </c>
      <c r="X98" s="63">
        <f>INDEX('M04-S03'!$L$16:$L$198,2*(ROWS($X$84:X98)-1)+1)</f>
        <v>0</v>
      </c>
      <c r="Y98" s="63">
        <f>INDEX('M04-S03'!$U$16:$U$198,2*(ROWS($Y$84:Y98)-1)+1)</f>
        <v>0</v>
      </c>
      <c r="Z98" s="254"/>
      <c r="AA98" s="254"/>
      <c r="AB98" s="254"/>
      <c r="AC98" s="254"/>
      <c r="AD98" s="254"/>
      <c r="AE98" s="277">
        <f>IF(NOT(ISNUMBER(INDEX('M04-S03'!$AK$16:$AK$198,2*(ROWS($O$84:O98)-1)+1))),INDEX('M04-S03'!$Z$16:$Z$198,2*(ROWS($L$84:L98)-1)+1),0)</f>
        <v>0</v>
      </c>
      <c r="AF98" s="277">
        <f>INDEX('M04-S03'!$S$16:$S$198,2*(ROWS($AF$84:AF98)-1)+1)</f>
        <v>0</v>
      </c>
      <c r="AG98" s="277">
        <f>INDEX('M04-S03'!$AB$16:$AB$198,2*(ROWS($AG$84:AG98)-1)+1)</f>
        <v>0</v>
      </c>
      <c r="AH98" s="277" t="str">
        <f t="shared" si="50"/>
        <v/>
      </c>
      <c r="AI98" s="277" t="str">
        <f t="shared" si="51"/>
        <v/>
      </c>
      <c r="AJ98" s="107" t="str">
        <f t="shared" si="52"/>
        <v/>
      </c>
      <c r="AK98" s="107" t="str">
        <f t="shared" si="53"/>
        <v/>
      </c>
      <c r="AL98" s="107" t="str">
        <f t="shared" si="47"/>
        <v/>
      </c>
      <c r="AM98" s="107">
        <f>INDEX('M04-S03'!$AU$16:$AU$198,2*(ROWS($AM$84:AM98)-1)+1)</f>
        <v>0</v>
      </c>
      <c r="AN98" s="107">
        <f>INDEX('M04-S03'!$BB$16:$BB$198,2*(ROWS($AN$84:AN98)-1)+1)</f>
        <v>0</v>
      </c>
      <c r="AO98" s="277">
        <f>INDEX('M04-S03'!$Q$16:$Q$198,2*(ROWS($AO$84:AO98)-1)+1)</f>
        <v>0</v>
      </c>
      <c r="AP98" s="278"/>
      <c r="AQ98" s="278"/>
    </row>
    <row r="99" spans="1:43" x14ac:dyDescent="0.25">
      <c r="A99" s="554" t="str">
        <f>CONCATENATE(MAIN4," ",M4S4)</f>
        <v>PRE-APPROVAL MEASURES Motor / VFD / Pump</v>
      </c>
      <c r="B99" s="317"/>
      <c r="C99" s="317"/>
      <c r="D99" s="318"/>
      <c r="E99" s="317"/>
      <c r="F99" s="324"/>
      <c r="G99" s="318"/>
      <c r="H99" s="320"/>
      <c r="I99" s="320"/>
      <c r="J99" s="320"/>
      <c r="K99" s="318"/>
      <c r="L99" s="319"/>
      <c r="M99" s="319"/>
      <c r="N99" s="338"/>
      <c r="O99" s="320"/>
      <c r="P99" s="319"/>
      <c r="Q99" s="338"/>
      <c r="R99" s="318"/>
      <c r="S99" s="321"/>
      <c r="T99" s="321"/>
      <c r="U99" s="319"/>
      <c r="V99" s="318"/>
      <c r="W99" s="322"/>
      <c r="X99" s="318"/>
      <c r="Y99" s="318"/>
      <c r="Z99" s="323"/>
      <c r="AA99" s="318"/>
      <c r="AB99" s="318"/>
      <c r="AC99" s="318"/>
      <c r="AD99" s="318"/>
      <c r="AE99" s="319"/>
      <c r="AF99" s="319"/>
      <c r="AG99" s="319"/>
      <c r="AH99" s="319"/>
      <c r="AI99" s="319"/>
      <c r="AJ99" s="320" t="str">
        <f t="shared" si="45"/>
        <v/>
      </c>
      <c r="AK99" s="320" t="str">
        <f t="shared" si="46"/>
        <v/>
      </c>
      <c r="AL99" s="320" t="str">
        <f t="shared" si="47"/>
        <v/>
      </c>
      <c r="AM99" s="320"/>
      <c r="AN99" s="320"/>
      <c r="AO99" s="319"/>
      <c r="AP99" s="319"/>
      <c r="AQ99" s="319"/>
    </row>
    <row r="100" spans="1:43" x14ac:dyDescent="0.25">
      <c r="A100" s="118">
        <f t="shared" ref="A100:A114" si="54">PROJID</f>
        <v>0</v>
      </c>
      <c r="B100" s="118" t="str">
        <f t="shared" ref="B100" si="55">IF(C100="","",CONCATENATE(ROW(),"-",C100))</f>
        <v/>
      </c>
      <c r="C100" s="118" t="str">
        <f>IF(J100&gt;0,INDEX('M04-S04'!$AY$16:$AY$198,2*(ROWS($C$100:C100)-1)+1),"")</f>
        <v/>
      </c>
      <c r="D100" s="63" t="s">
        <v>215</v>
      </c>
      <c r="E100" s="301" t="str">
        <f>IFERROR(INDEX('M04-S04'!$AW$16:$AW$198,2*(ROWS($E$100:E100)-1)+1),"")</f>
        <v/>
      </c>
      <c r="F100" s="278"/>
      <c r="G100" s="254"/>
      <c r="H100" s="107">
        <f>INDEX('M04-S04'!$AD$16:$AD$198,2*(ROWS($H$100:H100)-1)+1)</f>
        <v>0</v>
      </c>
      <c r="I100" s="107">
        <f>INDEX('M04-S04'!$AF$16:$AF$198,2*(ROWS($I$100:I100)-1)+1)</f>
        <v>0</v>
      </c>
      <c r="J100" s="107" t="str">
        <f>INDEX('M04-S04'!$AH$16:$AH$198,2*(ROWS($J$100:J100)-1)+1)</f>
        <v/>
      </c>
      <c r="K100" s="63" t="str">
        <f>IFERROR(INDEX(CMEMOTOR[Cost Basis],MATCH(INDEX('M04-S04'!$F$16:$F$198,2*(ROWS($K$100:K100)-1)+1),CMEMOTOR[Proj Desc 1],0)),"")</f>
        <v/>
      </c>
      <c r="L100" s="277">
        <f>IF(ISNUMBER(INDEX('M04-S04'!$AK$16:$AK$198,2*(ROWS($O$100:O100)-1)+1)),INDEX('M04-S04'!$Z$16:$Z$198,2*(ROWS($L$100:L100)-1)+1),0)</f>
        <v>0</v>
      </c>
      <c r="M100" s="277">
        <f>IFERROR(IF(ISNUMBER(INDEX('M04-S04'!$AK$16:$AK$198,2*(ROWS($O$100:O100)-1)+1)),INDEX('M04-S04'!$AO$16:$AO$198,2*(ROWS($M$100:M100)-1)+1),0),"")</f>
        <v>0</v>
      </c>
      <c r="N100" s="335">
        <f>IFERROR(IF(ISNUMBER(INDEX('M04-S04'!$AK$16:$AK$198,2*(ROWS($O$100:O100)-1)+1)),INDEX('M04-S04'!$AV$16:$AV$198,2*(ROWS($N$100:N100)-1)+1),0),"")</f>
        <v>0</v>
      </c>
      <c r="O100" s="107">
        <f>IF(ISNUMBER(INDEX('M04-S04'!$AK$16:$AK$198,2*(ROWS($O$100:O100)-1)+1)),INDEX('M04-S04'!$AK$16:$AK$198,2*(ROWS($O$100:O100)-1)+1),0)</f>
        <v>0</v>
      </c>
      <c r="P100" s="277" t="str">
        <f>IFERROR(IF(NOT(ISNUMBER(INDEX('M04-S04'!$AK$16:$AK$198,2*(ROWS($O$100:O100)-1)+1))),INDEX('M04-S04'!$AO$16:$AO$198,2*(ROWS($O$100:O100)-1)+1),0),"")</f>
        <v/>
      </c>
      <c r="Q100" s="335" t="str">
        <f>IFERROR(IF(NOT(ISNUMBER(INDEX('M04-S04'!$AK$16:$AK$198,2*(ROWS($O$100:O100)-1)+1))),INDEX('M04-S04'!$AV$16:$AV$198,2*(ROWS($O$100:O100)-1)+1),0),"")</f>
        <v/>
      </c>
      <c r="R100" s="63" t="str">
        <f>IFERROR(IF(NOT(ISNUMBER(INDEX('M04-S04'!$AK$16:$AK$198,2*(ROWS($O$100:O100)-1)+1))),INDEX(SPILLOVER[Spillover Reason],MATCH(INDEX('M04-S04'!$BC$16:$BC$198,2*(ROWS($O$100:O100)-1)+1),SPILLOVER[Spillover Text],0)),""),"")</f>
        <v>Not Eligible</v>
      </c>
      <c r="S100" s="283"/>
      <c r="T100" s="283"/>
      <c r="U100" s="277">
        <f>INDEX('M04-S04'!$B$16:$B$198,2*(ROWS($U$100:U100)-1)+1)</f>
        <v>1</v>
      </c>
      <c r="V100" s="254"/>
      <c r="W100" s="104">
        <f>INDEX('M04-S04'!$F$16:$F$198,2*(ROWS($W$100:W100)-1)+1)</f>
        <v>0</v>
      </c>
      <c r="X100" s="63">
        <f>INDEX('M04-S04'!$L$16:$L$198,2*(ROWS($X$100:X100)-1)+1)</f>
        <v>0</v>
      </c>
      <c r="Y100" s="63">
        <f>INDEX('M04-S04'!$U$16:$U$198,2*(ROWS($Y$100:Y100)-1)+1)</f>
        <v>0</v>
      </c>
      <c r="Z100" s="254"/>
      <c r="AA100" s="254"/>
      <c r="AB100" s="254"/>
      <c r="AC100" s="254"/>
      <c r="AD100" s="254"/>
      <c r="AE100" s="277">
        <f>IF(NOT(ISNUMBER(INDEX('M04-S04'!$AK$16:$AK$198,2*(ROWS($O$100:O100)-1)+1))),INDEX('M04-S04'!$Z$16:$Z$198,2*(ROWS($L$100:L100)-1)+1),0)</f>
        <v>0</v>
      </c>
      <c r="AF100" s="277">
        <f>INDEX('M04-S04'!$S$16:$S$198,2*(ROWS($AF$100:AF100)-1)+1)</f>
        <v>0</v>
      </c>
      <c r="AG100" s="277">
        <f>INDEX('M04-S04'!$AB$16:$AB$198,2*(ROWS($AG$100:AG100)-1)+1)</f>
        <v>0</v>
      </c>
      <c r="AH100" s="277" t="str">
        <f>IFERROR(AF100/AO100,"")</f>
        <v/>
      </c>
      <c r="AI100" s="277" t="str">
        <f>IFERROR(AG100/L100,"")</f>
        <v/>
      </c>
      <c r="AJ100" s="107" t="str">
        <f>IFERROR(O100/M100,"")</f>
        <v/>
      </c>
      <c r="AK100" s="107" t="str">
        <f>IFERROR(O100/N100,"")</f>
        <v/>
      </c>
      <c r="AL100" s="107" t="str">
        <f t="shared" si="47"/>
        <v/>
      </c>
      <c r="AM100" s="107" t="str">
        <f>INDEX('M04-S04'!$AU$16:$AU$198,2*(ROWS($AM$100:AM100)-1)+1)</f>
        <v/>
      </c>
      <c r="AN100" s="107" t="str">
        <f>INDEX('M04-S04'!$BB$16:$BB$198,2*(ROWS($AN$100:AN100)-1)+1)</f>
        <v/>
      </c>
      <c r="AO100" s="277">
        <f>INDEX('M04-S04'!$Q$16:$Q$198,2*(ROWS($AO$100:AO100)-1)+1)</f>
        <v>0</v>
      </c>
      <c r="AP100" s="278"/>
      <c r="AQ100" s="278"/>
    </row>
    <row r="101" spans="1:43" x14ac:dyDescent="0.25">
      <c r="A101" s="118">
        <f t="shared" si="54"/>
        <v>0</v>
      </c>
      <c r="B101" s="118" t="str">
        <f t="shared" ref="B101:B114" si="56">IF(C101="","",CONCATENATE(ROW(),"-",C101))</f>
        <v/>
      </c>
      <c r="C101" s="118" t="str">
        <f>IF(J101&gt;0,INDEX('M04-S04'!$AY$16:$AY$198,2*(ROWS($C$100:C101)-1)+1),"")</f>
        <v/>
      </c>
      <c r="D101" s="63" t="s">
        <v>215</v>
      </c>
      <c r="E101" s="301" t="str">
        <f>IFERROR(INDEX('M04-S04'!$AW$16:$AW$198,2*(ROWS($E$100:E101)-1)+1),"")</f>
        <v/>
      </c>
      <c r="F101" s="278"/>
      <c r="G101" s="254"/>
      <c r="H101" s="107">
        <f>INDEX('M04-S04'!$AD$16:$AD$198,2*(ROWS($H$100:H101)-1)+1)</f>
        <v>0</v>
      </c>
      <c r="I101" s="107">
        <f>INDEX('M04-S04'!$AF$16:$AF$198,2*(ROWS($I$100:I101)-1)+1)</f>
        <v>0</v>
      </c>
      <c r="J101" s="107" t="str">
        <f>INDEX('M04-S04'!$AH$16:$AH$198,2*(ROWS($J$100:J101)-1)+1)</f>
        <v/>
      </c>
      <c r="K101" s="63" t="str">
        <f>IFERROR(INDEX(CMEMOTOR[Cost Basis],MATCH(INDEX('M04-S04'!$F$16:$F$198,2*(ROWS($K$100:K101)-1)+1),CMEMOTOR[Proj Desc 1],0)),"")</f>
        <v/>
      </c>
      <c r="L101" s="277">
        <f>IF(ISNUMBER(INDEX('M04-S04'!$AK$16:$AK$198,2*(ROWS($O$100:O101)-1)+1)),INDEX('M04-S04'!$Z$16:$Z$198,2*(ROWS($L$100:L101)-1)+1),0)</f>
        <v>0</v>
      </c>
      <c r="M101" s="277">
        <f>IFERROR(IF(ISNUMBER(INDEX('M04-S04'!$AK$16:$AK$198,2*(ROWS($O$100:O101)-1)+1)),INDEX('M04-S04'!$AO$16:$AO$198,2*(ROWS($M$100:M101)-1)+1),0),"")</f>
        <v>0</v>
      </c>
      <c r="N101" s="335">
        <f>IFERROR(IF(ISNUMBER(INDEX('M04-S04'!$AK$16:$AK$198,2*(ROWS($O$100:O101)-1)+1)),INDEX('M04-S04'!$AV$16:$AV$198,2*(ROWS($N$100:N101)-1)+1),0),"")</f>
        <v>0</v>
      </c>
      <c r="O101" s="107">
        <f>IF(ISNUMBER(INDEX('M04-S04'!$AK$16:$AK$198,2*(ROWS($O$100:O101)-1)+1)),INDEX('M04-S04'!$AK$16:$AK$198,2*(ROWS($O$100:O101)-1)+1),0)</f>
        <v>0</v>
      </c>
      <c r="P101" s="277" t="str">
        <f>IFERROR(IF(NOT(ISNUMBER(INDEX('M04-S04'!$AK$16:$AK$198,2*(ROWS($O$100:O101)-1)+1))),INDEX('M04-S04'!$AO$16:$AO$198,2*(ROWS($O$100:O101)-1)+1),0),"")</f>
        <v/>
      </c>
      <c r="Q101" s="335" t="str">
        <f>IFERROR(IF(NOT(ISNUMBER(INDEX('M04-S04'!$AK$16:$AK$198,2*(ROWS($O$100:O101)-1)+1))),INDEX('M04-S04'!$AV$16:$AV$198,2*(ROWS($O$100:O101)-1)+1),0),"")</f>
        <v/>
      </c>
      <c r="R101" s="63" t="str">
        <f>IFERROR(IF(NOT(ISNUMBER(INDEX('M04-S04'!$AK$16:$AK$198,2*(ROWS($O$100:O101)-1)+1))),INDEX(SPILLOVER[Spillover Reason],MATCH(INDEX('M04-S04'!$BC$16:$BC$198,2*(ROWS($O$100:O101)-1)+1),SPILLOVER[Spillover Text],0)),""),"")</f>
        <v>Not Eligible</v>
      </c>
      <c r="S101" s="283"/>
      <c r="T101" s="283"/>
      <c r="U101" s="277">
        <f>INDEX('M04-S04'!$B$16:$B$198,2*(ROWS($U$100:U101)-1)+1)</f>
        <v>2</v>
      </c>
      <c r="V101" s="254"/>
      <c r="W101" s="104">
        <f>INDEX('M04-S04'!$F$16:$F$198,2*(ROWS($W$100:W101)-1)+1)</f>
        <v>0</v>
      </c>
      <c r="X101" s="63">
        <f>INDEX('M04-S04'!$L$16:$L$198,2*(ROWS($X$100:X101)-1)+1)</f>
        <v>0</v>
      </c>
      <c r="Y101" s="63">
        <f>INDEX('M04-S04'!$U$16:$U$198,2*(ROWS($Y$100:Y101)-1)+1)</f>
        <v>0</v>
      </c>
      <c r="Z101" s="254"/>
      <c r="AA101" s="254"/>
      <c r="AB101" s="254"/>
      <c r="AC101" s="254"/>
      <c r="AD101" s="254"/>
      <c r="AE101" s="277">
        <f>IF(NOT(ISNUMBER(INDEX('M04-S04'!$AK$16:$AK$198,2*(ROWS($O$100:O101)-1)+1))),INDEX('M04-S04'!$Z$16:$Z$198,2*(ROWS($L$100:L101)-1)+1),0)</f>
        <v>0</v>
      </c>
      <c r="AF101" s="277">
        <f>INDEX('M04-S04'!$S$16:$S$198,2*(ROWS($AF$100:AF101)-1)+1)</f>
        <v>0</v>
      </c>
      <c r="AG101" s="277">
        <f>INDEX('M04-S04'!$AB$16:$AB$198,2*(ROWS($AG$100:AG101)-1)+1)</f>
        <v>0</v>
      </c>
      <c r="AH101" s="277" t="str">
        <f t="shared" ref="AH101:AH114" si="57">IFERROR(AF101/AO101,"")</f>
        <v/>
      </c>
      <c r="AI101" s="277" t="str">
        <f t="shared" ref="AI101:AI114" si="58">IFERROR(AG101/L101,"")</f>
        <v/>
      </c>
      <c r="AJ101" s="107" t="str">
        <f t="shared" ref="AJ101:AJ114" si="59">IFERROR(O101/M101,"")</f>
        <v/>
      </c>
      <c r="AK101" s="107" t="str">
        <f t="shared" ref="AK101:AK114" si="60">IFERROR(O101/N101,"")</f>
        <v/>
      </c>
      <c r="AL101" s="107" t="str">
        <f t="shared" ref="AL101:AL114" si="61">IFERROR(O101/L101,"")</f>
        <v/>
      </c>
      <c r="AM101" s="107" t="str">
        <f>INDEX('M04-S04'!$AU$16:$AU$198,2*(ROWS($AM$100:AM101)-1)+1)</f>
        <v/>
      </c>
      <c r="AN101" s="107" t="str">
        <f>INDEX('M04-S04'!$BB$16:$BB$198,2*(ROWS($AN$100:AN101)-1)+1)</f>
        <v/>
      </c>
      <c r="AO101" s="277">
        <f>INDEX('M04-S04'!$Q$16:$Q$198,2*(ROWS($AO$100:AO101)-1)+1)</f>
        <v>0</v>
      </c>
      <c r="AP101" s="278"/>
      <c r="AQ101" s="278"/>
    </row>
    <row r="102" spans="1:43" x14ac:dyDescent="0.25">
      <c r="A102" s="118">
        <f t="shared" si="54"/>
        <v>0</v>
      </c>
      <c r="B102" s="118" t="str">
        <f t="shared" si="56"/>
        <v/>
      </c>
      <c r="C102" s="118" t="str">
        <f>IF(J102&gt;0,INDEX('M04-S04'!$AY$16:$AY$198,2*(ROWS($C$100:C102)-1)+1),"")</f>
        <v/>
      </c>
      <c r="D102" s="63" t="s">
        <v>215</v>
      </c>
      <c r="E102" s="301" t="str">
        <f>IFERROR(INDEX('M04-S04'!$AW$16:$AW$198,2*(ROWS($E$100:E102)-1)+1),"")</f>
        <v/>
      </c>
      <c r="F102" s="278"/>
      <c r="G102" s="254"/>
      <c r="H102" s="107">
        <f>INDEX('M04-S04'!$AD$16:$AD$198,2*(ROWS($H$100:H102)-1)+1)</f>
        <v>0</v>
      </c>
      <c r="I102" s="107">
        <f>INDEX('M04-S04'!$AF$16:$AF$198,2*(ROWS($I$100:I102)-1)+1)</f>
        <v>0</v>
      </c>
      <c r="J102" s="107" t="str">
        <f>INDEX('M04-S04'!$AH$16:$AH$198,2*(ROWS($J$100:J102)-1)+1)</f>
        <v/>
      </c>
      <c r="K102" s="63" t="str">
        <f>IFERROR(INDEX(CMEMOTOR[Cost Basis],MATCH(INDEX('M04-S04'!$F$16:$F$198,2*(ROWS($K$100:K102)-1)+1),CMEMOTOR[Proj Desc 1],0)),"")</f>
        <v/>
      </c>
      <c r="L102" s="277">
        <f>IF(ISNUMBER(INDEX('M04-S04'!$AK$16:$AK$198,2*(ROWS($O$100:O102)-1)+1)),INDEX('M04-S04'!$Z$16:$Z$198,2*(ROWS($L$100:L102)-1)+1),0)</f>
        <v>0</v>
      </c>
      <c r="M102" s="277">
        <f>IFERROR(IF(ISNUMBER(INDEX('M04-S04'!$AK$16:$AK$198,2*(ROWS($O$100:O102)-1)+1)),INDEX('M04-S04'!$AO$16:$AO$198,2*(ROWS($M$100:M102)-1)+1),0),"")</f>
        <v>0</v>
      </c>
      <c r="N102" s="335">
        <f>IFERROR(IF(ISNUMBER(INDEX('M04-S04'!$AK$16:$AK$198,2*(ROWS($O$100:O102)-1)+1)),INDEX('M04-S04'!$AV$16:$AV$198,2*(ROWS($N$100:N102)-1)+1),0),"")</f>
        <v>0</v>
      </c>
      <c r="O102" s="107">
        <f>IF(ISNUMBER(INDEX('M04-S04'!$AK$16:$AK$198,2*(ROWS($O$100:O102)-1)+1)),INDEX('M04-S04'!$AK$16:$AK$198,2*(ROWS($O$100:O102)-1)+1),0)</f>
        <v>0</v>
      </c>
      <c r="P102" s="277" t="str">
        <f>IFERROR(IF(NOT(ISNUMBER(INDEX('M04-S04'!$AK$16:$AK$198,2*(ROWS($O$100:O102)-1)+1))),INDEX('M04-S04'!$AO$16:$AO$198,2*(ROWS($O$100:O102)-1)+1),0),"")</f>
        <v/>
      </c>
      <c r="Q102" s="335" t="str">
        <f>IFERROR(IF(NOT(ISNUMBER(INDEX('M04-S04'!$AK$16:$AK$198,2*(ROWS($O$100:O102)-1)+1))),INDEX('M04-S04'!$AV$16:$AV$198,2*(ROWS($O$100:O102)-1)+1),0),"")</f>
        <v/>
      </c>
      <c r="R102" s="63" t="str">
        <f>IFERROR(IF(NOT(ISNUMBER(INDEX('M04-S04'!$AK$16:$AK$198,2*(ROWS($O$100:O102)-1)+1))),INDEX(SPILLOVER[Spillover Reason],MATCH(INDEX('M04-S04'!$BC$16:$BC$198,2*(ROWS($O$100:O102)-1)+1),SPILLOVER[Spillover Text],0)),""),"")</f>
        <v>Not Eligible</v>
      </c>
      <c r="S102" s="283"/>
      <c r="T102" s="283"/>
      <c r="U102" s="277">
        <f>INDEX('M04-S04'!$B$16:$B$198,2*(ROWS($U$100:U102)-1)+1)</f>
        <v>3</v>
      </c>
      <c r="V102" s="254"/>
      <c r="W102" s="104">
        <f>INDEX('M04-S04'!$F$16:$F$198,2*(ROWS($W$100:W102)-1)+1)</f>
        <v>0</v>
      </c>
      <c r="X102" s="63">
        <f>INDEX('M04-S04'!$L$16:$L$198,2*(ROWS($X$100:X102)-1)+1)</f>
        <v>0</v>
      </c>
      <c r="Y102" s="63">
        <f>INDEX('M04-S04'!$U$16:$U$198,2*(ROWS($Y$100:Y102)-1)+1)</f>
        <v>0</v>
      </c>
      <c r="Z102" s="254"/>
      <c r="AA102" s="254"/>
      <c r="AB102" s="254"/>
      <c r="AC102" s="254"/>
      <c r="AD102" s="254"/>
      <c r="AE102" s="277">
        <f>IF(NOT(ISNUMBER(INDEX('M04-S04'!$AK$16:$AK$198,2*(ROWS($O$100:O102)-1)+1))),INDEX('M04-S04'!$Z$16:$Z$198,2*(ROWS($L$100:L102)-1)+1),0)</f>
        <v>0</v>
      </c>
      <c r="AF102" s="277">
        <f>INDEX('M04-S04'!$S$16:$S$198,2*(ROWS($AF$100:AF102)-1)+1)</f>
        <v>0</v>
      </c>
      <c r="AG102" s="277">
        <f>INDEX('M04-S04'!$AB$16:$AB$198,2*(ROWS($AG$100:AG102)-1)+1)</f>
        <v>0</v>
      </c>
      <c r="AH102" s="277" t="str">
        <f t="shared" si="57"/>
        <v/>
      </c>
      <c r="AI102" s="277" t="str">
        <f t="shared" si="58"/>
        <v/>
      </c>
      <c r="AJ102" s="107" t="str">
        <f t="shared" si="59"/>
        <v/>
      </c>
      <c r="AK102" s="107" t="str">
        <f t="shared" si="60"/>
        <v/>
      </c>
      <c r="AL102" s="107" t="str">
        <f t="shared" si="61"/>
        <v/>
      </c>
      <c r="AM102" s="107" t="str">
        <f>INDEX('M04-S04'!$AU$16:$AU$198,2*(ROWS($AM$100:AM102)-1)+1)</f>
        <v/>
      </c>
      <c r="AN102" s="107" t="str">
        <f>INDEX('M04-S04'!$BB$16:$BB$198,2*(ROWS($AN$100:AN102)-1)+1)</f>
        <v/>
      </c>
      <c r="AO102" s="277">
        <f>INDEX('M04-S04'!$Q$16:$Q$198,2*(ROWS($AO$100:AO102)-1)+1)</f>
        <v>0</v>
      </c>
      <c r="AP102" s="278"/>
      <c r="AQ102" s="278"/>
    </row>
    <row r="103" spans="1:43" x14ac:dyDescent="0.25">
      <c r="A103" s="118">
        <f t="shared" si="54"/>
        <v>0</v>
      </c>
      <c r="B103" s="118" t="str">
        <f t="shared" si="56"/>
        <v/>
      </c>
      <c r="C103" s="118" t="str">
        <f>IF(J103&gt;0,INDEX('M04-S04'!$AY$16:$AY$198,2*(ROWS($C$100:C103)-1)+1),"")</f>
        <v/>
      </c>
      <c r="D103" s="63" t="s">
        <v>215</v>
      </c>
      <c r="E103" s="301" t="str">
        <f>IFERROR(INDEX('M04-S04'!$AW$16:$AW$198,2*(ROWS($E$100:E103)-1)+1),"")</f>
        <v/>
      </c>
      <c r="F103" s="278"/>
      <c r="G103" s="254"/>
      <c r="H103" s="107">
        <f>INDEX('M04-S04'!$AD$16:$AD$198,2*(ROWS($H$100:H103)-1)+1)</f>
        <v>0</v>
      </c>
      <c r="I103" s="107">
        <f>INDEX('M04-S04'!$AF$16:$AF$198,2*(ROWS($I$100:I103)-1)+1)</f>
        <v>0</v>
      </c>
      <c r="J103" s="107" t="str">
        <f>INDEX('M04-S04'!$AH$16:$AH$198,2*(ROWS($J$100:J103)-1)+1)</f>
        <v/>
      </c>
      <c r="K103" s="63" t="str">
        <f>IFERROR(INDEX(CMEMOTOR[Cost Basis],MATCH(INDEX('M04-S04'!$F$16:$F$198,2*(ROWS($K$100:K103)-1)+1),CMEMOTOR[Proj Desc 1],0)),"")</f>
        <v/>
      </c>
      <c r="L103" s="277">
        <f>IF(ISNUMBER(INDEX('M04-S04'!$AK$16:$AK$198,2*(ROWS($O$100:O103)-1)+1)),INDEX('M04-S04'!$Z$16:$Z$198,2*(ROWS($L$100:L103)-1)+1),0)</f>
        <v>0</v>
      </c>
      <c r="M103" s="277">
        <f>IFERROR(IF(ISNUMBER(INDEX('M04-S04'!$AK$16:$AK$198,2*(ROWS($O$100:O103)-1)+1)),INDEX('M04-S04'!$AO$16:$AO$198,2*(ROWS($M$100:M103)-1)+1),0),"")</f>
        <v>0</v>
      </c>
      <c r="N103" s="335">
        <f>IFERROR(IF(ISNUMBER(INDEX('M04-S04'!$AK$16:$AK$198,2*(ROWS($O$100:O103)-1)+1)),INDEX('M04-S04'!$AV$16:$AV$198,2*(ROWS($N$100:N103)-1)+1),0),"")</f>
        <v>0</v>
      </c>
      <c r="O103" s="107">
        <f>IF(ISNUMBER(INDEX('M04-S04'!$AK$16:$AK$198,2*(ROWS($O$100:O103)-1)+1)),INDEX('M04-S04'!$AK$16:$AK$198,2*(ROWS($O$100:O103)-1)+1),0)</f>
        <v>0</v>
      </c>
      <c r="P103" s="277" t="str">
        <f>IFERROR(IF(NOT(ISNUMBER(INDEX('M04-S04'!$AK$16:$AK$198,2*(ROWS($O$100:O103)-1)+1))),INDEX('M04-S04'!$AO$16:$AO$198,2*(ROWS($O$100:O103)-1)+1),0),"")</f>
        <v/>
      </c>
      <c r="Q103" s="335" t="str">
        <f>IFERROR(IF(NOT(ISNUMBER(INDEX('M04-S04'!$AK$16:$AK$198,2*(ROWS($O$100:O103)-1)+1))),INDEX('M04-S04'!$AV$16:$AV$198,2*(ROWS($O$100:O103)-1)+1),0),"")</f>
        <v/>
      </c>
      <c r="R103" s="63" t="str">
        <f>IFERROR(IF(NOT(ISNUMBER(INDEX('M04-S04'!$AK$16:$AK$198,2*(ROWS($O$100:O103)-1)+1))),INDEX(SPILLOVER[Spillover Reason],MATCH(INDEX('M04-S04'!$BC$16:$BC$198,2*(ROWS($O$100:O103)-1)+1),SPILLOVER[Spillover Text],0)),""),"")</f>
        <v>Not Eligible</v>
      </c>
      <c r="S103" s="283"/>
      <c r="T103" s="283"/>
      <c r="U103" s="277">
        <f>INDEX('M04-S04'!$B$16:$B$198,2*(ROWS($U$100:U103)-1)+1)</f>
        <v>4</v>
      </c>
      <c r="V103" s="254"/>
      <c r="W103" s="104">
        <f>INDEX('M04-S04'!$F$16:$F$198,2*(ROWS($W$100:W103)-1)+1)</f>
        <v>0</v>
      </c>
      <c r="X103" s="63">
        <f>INDEX('M04-S04'!$L$16:$L$198,2*(ROWS($X$100:X103)-1)+1)</f>
        <v>0</v>
      </c>
      <c r="Y103" s="63">
        <f>INDEX('M04-S04'!$U$16:$U$198,2*(ROWS($Y$100:Y103)-1)+1)</f>
        <v>0</v>
      </c>
      <c r="Z103" s="254"/>
      <c r="AA103" s="254"/>
      <c r="AB103" s="254"/>
      <c r="AC103" s="254"/>
      <c r="AD103" s="254"/>
      <c r="AE103" s="277">
        <f>IF(NOT(ISNUMBER(INDEX('M04-S04'!$AK$16:$AK$198,2*(ROWS($O$100:O103)-1)+1))),INDEX('M04-S04'!$Z$16:$Z$198,2*(ROWS($L$100:L103)-1)+1),0)</f>
        <v>0</v>
      </c>
      <c r="AF103" s="277">
        <f>INDEX('M04-S04'!$S$16:$S$198,2*(ROWS($AF$100:AF103)-1)+1)</f>
        <v>0</v>
      </c>
      <c r="AG103" s="277">
        <f>INDEX('M04-S04'!$AB$16:$AB$198,2*(ROWS($AG$100:AG103)-1)+1)</f>
        <v>0</v>
      </c>
      <c r="AH103" s="277" t="str">
        <f t="shared" si="57"/>
        <v/>
      </c>
      <c r="AI103" s="277" t="str">
        <f t="shared" si="58"/>
        <v/>
      </c>
      <c r="AJ103" s="107" t="str">
        <f t="shared" si="59"/>
        <v/>
      </c>
      <c r="AK103" s="107" t="str">
        <f t="shared" si="60"/>
        <v/>
      </c>
      <c r="AL103" s="107" t="str">
        <f t="shared" si="61"/>
        <v/>
      </c>
      <c r="AM103" s="107" t="str">
        <f>INDEX('M04-S04'!$AU$16:$AU$198,2*(ROWS($AM$100:AM103)-1)+1)</f>
        <v/>
      </c>
      <c r="AN103" s="107" t="str">
        <f>INDEX('M04-S04'!$BB$16:$BB$198,2*(ROWS($AN$100:AN103)-1)+1)</f>
        <v/>
      </c>
      <c r="AO103" s="277">
        <f>INDEX('M04-S04'!$Q$16:$Q$198,2*(ROWS($AO$100:AO103)-1)+1)</f>
        <v>0</v>
      </c>
      <c r="AP103" s="278"/>
      <c r="AQ103" s="278"/>
    </row>
    <row r="104" spans="1:43" x14ac:dyDescent="0.25">
      <c r="A104" s="118">
        <f t="shared" si="54"/>
        <v>0</v>
      </c>
      <c r="B104" s="118" t="str">
        <f t="shared" si="56"/>
        <v/>
      </c>
      <c r="C104" s="118" t="str">
        <f>IF(J104&gt;0,INDEX('M04-S04'!$AY$16:$AY$198,2*(ROWS($C$100:C104)-1)+1),"")</f>
        <v/>
      </c>
      <c r="D104" s="63" t="s">
        <v>215</v>
      </c>
      <c r="E104" s="301" t="str">
        <f>IFERROR(INDEX('M04-S04'!$AW$16:$AW$198,2*(ROWS($E$100:E104)-1)+1),"")</f>
        <v/>
      </c>
      <c r="F104" s="278"/>
      <c r="G104" s="254"/>
      <c r="H104" s="107">
        <f>INDEX('M04-S04'!$AD$16:$AD$198,2*(ROWS($H$100:H104)-1)+1)</f>
        <v>0</v>
      </c>
      <c r="I104" s="107">
        <f>INDEX('M04-S04'!$AF$16:$AF$198,2*(ROWS($I$100:I104)-1)+1)</f>
        <v>0</v>
      </c>
      <c r="J104" s="107" t="str">
        <f>INDEX('M04-S04'!$AH$16:$AH$198,2*(ROWS($J$100:J104)-1)+1)</f>
        <v/>
      </c>
      <c r="K104" s="63" t="str">
        <f>IFERROR(INDEX(CMEMOTOR[Cost Basis],MATCH(INDEX('M04-S04'!$F$16:$F$198,2*(ROWS($K$100:K104)-1)+1),CMEMOTOR[Proj Desc 1],0)),"")</f>
        <v/>
      </c>
      <c r="L104" s="277">
        <f>IF(ISNUMBER(INDEX('M04-S04'!$AK$16:$AK$198,2*(ROWS($O$100:O104)-1)+1)),INDEX('M04-S04'!$Z$16:$Z$198,2*(ROWS($L$100:L104)-1)+1),0)</f>
        <v>0</v>
      </c>
      <c r="M104" s="277">
        <f>IFERROR(IF(ISNUMBER(INDEX('M04-S04'!$AK$16:$AK$198,2*(ROWS($O$100:O104)-1)+1)),INDEX('M04-S04'!$AO$16:$AO$198,2*(ROWS($M$100:M104)-1)+1),0),"")</f>
        <v>0</v>
      </c>
      <c r="N104" s="335">
        <f>IFERROR(IF(ISNUMBER(INDEX('M04-S04'!$AK$16:$AK$198,2*(ROWS($O$100:O104)-1)+1)),INDEX('M04-S04'!$AV$16:$AV$198,2*(ROWS($N$100:N104)-1)+1),0),"")</f>
        <v>0</v>
      </c>
      <c r="O104" s="107">
        <f>IF(ISNUMBER(INDEX('M04-S04'!$AK$16:$AK$198,2*(ROWS($O$100:O104)-1)+1)),INDEX('M04-S04'!$AK$16:$AK$198,2*(ROWS($O$100:O104)-1)+1),0)</f>
        <v>0</v>
      </c>
      <c r="P104" s="277" t="str">
        <f>IFERROR(IF(NOT(ISNUMBER(INDEX('M04-S04'!$AK$16:$AK$198,2*(ROWS($O$100:O104)-1)+1))),INDEX('M04-S04'!$AO$16:$AO$198,2*(ROWS($O$100:O104)-1)+1),0),"")</f>
        <v/>
      </c>
      <c r="Q104" s="335" t="str">
        <f>IFERROR(IF(NOT(ISNUMBER(INDEX('M04-S04'!$AK$16:$AK$198,2*(ROWS($O$100:O104)-1)+1))),INDEX('M04-S04'!$AV$16:$AV$198,2*(ROWS($O$100:O104)-1)+1),0),"")</f>
        <v/>
      </c>
      <c r="R104" s="63" t="str">
        <f>IFERROR(IF(NOT(ISNUMBER(INDEX('M04-S04'!$AK$16:$AK$198,2*(ROWS($O$100:O104)-1)+1))),INDEX(SPILLOVER[Spillover Reason],MATCH(INDEX('M04-S04'!$BC$16:$BC$198,2*(ROWS($O$100:O104)-1)+1),SPILLOVER[Spillover Text],0)),""),"")</f>
        <v>Not Eligible</v>
      </c>
      <c r="S104" s="283"/>
      <c r="T104" s="283"/>
      <c r="U104" s="277">
        <f>INDEX('M04-S04'!$B$16:$B$198,2*(ROWS($U$100:U104)-1)+1)</f>
        <v>5</v>
      </c>
      <c r="V104" s="254"/>
      <c r="W104" s="104">
        <f>INDEX('M04-S04'!$F$16:$F$198,2*(ROWS($W$100:W104)-1)+1)</f>
        <v>0</v>
      </c>
      <c r="X104" s="63">
        <f>INDEX('M04-S04'!$L$16:$L$198,2*(ROWS($X$100:X104)-1)+1)</f>
        <v>0</v>
      </c>
      <c r="Y104" s="63">
        <f>INDEX('M04-S04'!$U$16:$U$198,2*(ROWS($Y$100:Y104)-1)+1)</f>
        <v>0</v>
      </c>
      <c r="Z104" s="254"/>
      <c r="AA104" s="254"/>
      <c r="AB104" s="254"/>
      <c r="AC104" s="254"/>
      <c r="AD104" s="254"/>
      <c r="AE104" s="277">
        <f>IF(NOT(ISNUMBER(INDEX('M04-S04'!$AK$16:$AK$198,2*(ROWS($O$100:O104)-1)+1))),INDEX('M04-S04'!$Z$16:$Z$198,2*(ROWS($L$100:L104)-1)+1),0)</f>
        <v>0</v>
      </c>
      <c r="AF104" s="277">
        <f>INDEX('M04-S04'!$S$16:$S$198,2*(ROWS($AF$100:AF104)-1)+1)</f>
        <v>0</v>
      </c>
      <c r="AG104" s="277">
        <f>INDEX('M04-S04'!$AB$16:$AB$198,2*(ROWS($AG$100:AG104)-1)+1)</f>
        <v>0</v>
      </c>
      <c r="AH104" s="277" t="str">
        <f t="shared" si="57"/>
        <v/>
      </c>
      <c r="AI104" s="277" t="str">
        <f t="shared" si="58"/>
        <v/>
      </c>
      <c r="AJ104" s="107" t="str">
        <f t="shared" si="59"/>
        <v/>
      </c>
      <c r="AK104" s="107" t="str">
        <f t="shared" si="60"/>
        <v/>
      </c>
      <c r="AL104" s="107" t="str">
        <f t="shared" si="61"/>
        <v/>
      </c>
      <c r="AM104" s="107" t="str">
        <f>INDEX('M04-S04'!$AU$16:$AU$198,2*(ROWS($AM$100:AM104)-1)+1)</f>
        <v/>
      </c>
      <c r="AN104" s="107" t="str">
        <f>INDEX('M04-S04'!$BB$16:$BB$198,2*(ROWS($AN$100:AN104)-1)+1)</f>
        <v/>
      </c>
      <c r="AO104" s="277">
        <f>INDEX('M04-S04'!$Q$16:$Q$198,2*(ROWS($AO$100:AO104)-1)+1)</f>
        <v>0</v>
      </c>
      <c r="AP104" s="278"/>
      <c r="AQ104" s="278"/>
    </row>
    <row r="105" spans="1:43" x14ac:dyDescent="0.25">
      <c r="A105" s="118">
        <f t="shared" si="54"/>
        <v>0</v>
      </c>
      <c r="B105" s="118" t="str">
        <f t="shared" si="56"/>
        <v/>
      </c>
      <c r="C105" s="118" t="str">
        <f>IF(J105&gt;0,INDEX('M04-S04'!$AY$16:$AY$198,2*(ROWS($C$100:C105)-1)+1),"")</f>
        <v/>
      </c>
      <c r="D105" s="63" t="s">
        <v>215</v>
      </c>
      <c r="E105" s="301" t="str">
        <f>IFERROR(INDEX('M04-S04'!$AW$16:$AW$198,2*(ROWS($E$100:E105)-1)+1),"")</f>
        <v/>
      </c>
      <c r="F105" s="278"/>
      <c r="G105" s="254"/>
      <c r="H105" s="107">
        <f>INDEX('M04-S04'!$AD$16:$AD$198,2*(ROWS($H$100:H105)-1)+1)</f>
        <v>0</v>
      </c>
      <c r="I105" s="107">
        <f>INDEX('M04-S04'!$AF$16:$AF$198,2*(ROWS($I$100:I105)-1)+1)</f>
        <v>0</v>
      </c>
      <c r="J105" s="107" t="str">
        <f>INDEX('M04-S04'!$AH$16:$AH$198,2*(ROWS($J$100:J105)-1)+1)</f>
        <v/>
      </c>
      <c r="K105" s="63" t="str">
        <f>IFERROR(INDEX(CMEMOTOR[Cost Basis],MATCH(INDEX('M04-S04'!$F$16:$F$198,2*(ROWS($K$100:K105)-1)+1),CMEMOTOR[Proj Desc 1],0)),"")</f>
        <v/>
      </c>
      <c r="L105" s="277">
        <f>IF(ISNUMBER(INDEX('M04-S04'!$AK$16:$AK$198,2*(ROWS($O$100:O105)-1)+1)),INDEX('M04-S04'!$Z$16:$Z$198,2*(ROWS($L$100:L105)-1)+1),0)</f>
        <v>0</v>
      </c>
      <c r="M105" s="277">
        <f>IFERROR(IF(ISNUMBER(INDEX('M04-S04'!$AK$16:$AK$198,2*(ROWS($O$100:O105)-1)+1)),INDEX('M04-S04'!$AO$16:$AO$198,2*(ROWS($M$100:M105)-1)+1),0),"")</f>
        <v>0</v>
      </c>
      <c r="N105" s="335">
        <f>IFERROR(IF(ISNUMBER(INDEX('M04-S04'!$AK$16:$AK$198,2*(ROWS($O$100:O105)-1)+1)),INDEX('M04-S04'!$AV$16:$AV$198,2*(ROWS($N$100:N105)-1)+1),0),"")</f>
        <v>0</v>
      </c>
      <c r="O105" s="107">
        <f>IF(ISNUMBER(INDEX('M04-S04'!$AK$16:$AK$198,2*(ROWS($O$100:O105)-1)+1)),INDEX('M04-S04'!$AK$16:$AK$198,2*(ROWS($O$100:O105)-1)+1),0)</f>
        <v>0</v>
      </c>
      <c r="P105" s="277" t="str">
        <f>IFERROR(IF(NOT(ISNUMBER(INDEX('M04-S04'!$AK$16:$AK$198,2*(ROWS($O$100:O105)-1)+1))),INDEX('M04-S04'!$AO$16:$AO$198,2*(ROWS($O$100:O105)-1)+1),0),"")</f>
        <v/>
      </c>
      <c r="Q105" s="335" t="str">
        <f>IFERROR(IF(NOT(ISNUMBER(INDEX('M04-S04'!$AK$16:$AK$198,2*(ROWS($O$100:O105)-1)+1))),INDEX('M04-S04'!$AV$16:$AV$198,2*(ROWS($O$100:O105)-1)+1),0),"")</f>
        <v/>
      </c>
      <c r="R105" s="63" t="str">
        <f>IFERROR(IF(NOT(ISNUMBER(INDEX('M04-S04'!$AK$16:$AK$198,2*(ROWS($O$100:O105)-1)+1))),INDEX(SPILLOVER[Spillover Reason],MATCH(INDEX('M04-S04'!$BC$16:$BC$198,2*(ROWS($O$100:O105)-1)+1),SPILLOVER[Spillover Text],0)),""),"")</f>
        <v>Not Eligible</v>
      </c>
      <c r="S105" s="283"/>
      <c r="T105" s="283"/>
      <c r="U105" s="277">
        <f>INDEX('M04-S04'!$B$16:$B$198,2*(ROWS($U$100:U105)-1)+1)</f>
        <v>6</v>
      </c>
      <c r="V105" s="254"/>
      <c r="W105" s="104">
        <f>INDEX('M04-S04'!$F$16:$F$198,2*(ROWS($W$100:W105)-1)+1)</f>
        <v>0</v>
      </c>
      <c r="X105" s="63">
        <f>INDEX('M04-S04'!$L$16:$L$198,2*(ROWS($X$100:X105)-1)+1)</f>
        <v>0</v>
      </c>
      <c r="Y105" s="63">
        <f>INDEX('M04-S04'!$U$16:$U$198,2*(ROWS($Y$100:Y105)-1)+1)</f>
        <v>0</v>
      </c>
      <c r="Z105" s="254"/>
      <c r="AA105" s="254"/>
      <c r="AB105" s="254"/>
      <c r="AC105" s="254"/>
      <c r="AD105" s="254"/>
      <c r="AE105" s="277">
        <f>IF(NOT(ISNUMBER(INDEX('M04-S04'!$AK$16:$AK$198,2*(ROWS($O$100:O105)-1)+1))),INDEX('M04-S04'!$Z$16:$Z$198,2*(ROWS($L$100:L105)-1)+1),0)</f>
        <v>0</v>
      </c>
      <c r="AF105" s="277">
        <f>INDEX('M04-S04'!$S$16:$S$198,2*(ROWS($AF$100:AF105)-1)+1)</f>
        <v>0</v>
      </c>
      <c r="AG105" s="277">
        <f>INDEX('M04-S04'!$AB$16:$AB$198,2*(ROWS($AG$100:AG105)-1)+1)</f>
        <v>0</v>
      </c>
      <c r="AH105" s="277" t="str">
        <f t="shared" si="57"/>
        <v/>
      </c>
      <c r="AI105" s="277" t="str">
        <f t="shared" si="58"/>
        <v/>
      </c>
      <c r="AJ105" s="107" t="str">
        <f t="shared" si="59"/>
        <v/>
      </c>
      <c r="AK105" s="107" t="str">
        <f t="shared" si="60"/>
        <v/>
      </c>
      <c r="AL105" s="107" t="str">
        <f t="shared" si="61"/>
        <v/>
      </c>
      <c r="AM105" s="107" t="str">
        <f>INDEX('M04-S04'!$AU$16:$AU$198,2*(ROWS($AM$100:AM105)-1)+1)</f>
        <v/>
      </c>
      <c r="AN105" s="107" t="str">
        <f>INDEX('M04-S04'!$BB$16:$BB$198,2*(ROWS($AN$100:AN105)-1)+1)</f>
        <v/>
      </c>
      <c r="AO105" s="277">
        <f>INDEX('M04-S04'!$Q$16:$Q$198,2*(ROWS($AO$100:AO105)-1)+1)</f>
        <v>0</v>
      </c>
      <c r="AP105" s="278"/>
      <c r="AQ105" s="278"/>
    </row>
    <row r="106" spans="1:43" x14ac:dyDescent="0.25">
      <c r="A106" s="118">
        <f t="shared" si="54"/>
        <v>0</v>
      </c>
      <c r="B106" s="118" t="str">
        <f t="shared" si="56"/>
        <v/>
      </c>
      <c r="C106" s="118" t="str">
        <f>IF(J106&gt;0,INDEX('M04-S04'!$AY$16:$AY$198,2*(ROWS($C$100:C106)-1)+1),"")</f>
        <v/>
      </c>
      <c r="D106" s="63" t="s">
        <v>215</v>
      </c>
      <c r="E106" s="301" t="str">
        <f>IFERROR(INDEX('M04-S04'!$AW$16:$AW$198,2*(ROWS($E$100:E106)-1)+1),"")</f>
        <v/>
      </c>
      <c r="F106" s="278"/>
      <c r="G106" s="254"/>
      <c r="H106" s="107">
        <f>INDEX('M04-S04'!$AD$16:$AD$198,2*(ROWS($H$100:H106)-1)+1)</f>
        <v>0</v>
      </c>
      <c r="I106" s="107">
        <f>INDEX('M04-S04'!$AF$16:$AF$198,2*(ROWS($I$100:I106)-1)+1)</f>
        <v>0</v>
      </c>
      <c r="J106" s="107" t="str">
        <f>INDEX('M04-S04'!$AH$16:$AH$198,2*(ROWS($J$100:J106)-1)+1)</f>
        <v/>
      </c>
      <c r="K106" s="63" t="str">
        <f>IFERROR(INDEX(CMEMOTOR[Cost Basis],MATCH(INDEX('M04-S04'!$F$16:$F$198,2*(ROWS($K$100:K106)-1)+1),CMEMOTOR[Proj Desc 1],0)),"")</f>
        <v/>
      </c>
      <c r="L106" s="277">
        <f>IF(ISNUMBER(INDEX('M04-S04'!$AK$16:$AK$198,2*(ROWS($O$100:O106)-1)+1)),INDEX('M04-S04'!$Z$16:$Z$198,2*(ROWS($L$100:L106)-1)+1),0)</f>
        <v>0</v>
      </c>
      <c r="M106" s="277">
        <f>IFERROR(IF(ISNUMBER(INDEX('M04-S04'!$AK$16:$AK$198,2*(ROWS($O$100:O106)-1)+1)),INDEX('M04-S04'!$AO$16:$AO$198,2*(ROWS($M$100:M106)-1)+1),0),"")</f>
        <v>0</v>
      </c>
      <c r="N106" s="335">
        <f>IFERROR(IF(ISNUMBER(INDEX('M04-S04'!$AK$16:$AK$198,2*(ROWS($O$100:O106)-1)+1)),INDEX('M04-S04'!$AV$16:$AV$198,2*(ROWS($N$100:N106)-1)+1),0),"")</f>
        <v>0</v>
      </c>
      <c r="O106" s="107">
        <f>IF(ISNUMBER(INDEX('M04-S04'!$AK$16:$AK$198,2*(ROWS($O$100:O106)-1)+1)),INDEX('M04-S04'!$AK$16:$AK$198,2*(ROWS($O$100:O106)-1)+1),0)</f>
        <v>0</v>
      </c>
      <c r="P106" s="277" t="str">
        <f>IFERROR(IF(NOT(ISNUMBER(INDEX('M04-S04'!$AK$16:$AK$198,2*(ROWS($O$100:O106)-1)+1))),INDEX('M04-S04'!$AO$16:$AO$198,2*(ROWS($O$100:O106)-1)+1),0),"")</f>
        <v/>
      </c>
      <c r="Q106" s="335" t="str">
        <f>IFERROR(IF(NOT(ISNUMBER(INDEX('M04-S04'!$AK$16:$AK$198,2*(ROWS($O$100:O106)-1)+1))),INDEX('M04-S04'!$AV$16:$AV$198,2*(ROWS($O$100:O106)-1)+1),0),"")</f>
        <v/>
      </c>
      <c r="R106" s="63" t="str">
        <f>IFERROR(IF(NOT(ISNUMBER(INDEX('M04-S04'!$AK$16:$AK$198,2*(ROWS($O$100:O106)-1)+1))),INDEX(SPILLOVER[Spillover Reason],MATCH(INDEX('M04-S04'!$BC$16:$BC$198,2*(ROWS($O$100:O106)-1)+1),SPILLOVER[Spillover Text],0)),""),"")</f>
        <v>Not Eligible</v>
      </c>
      <c r="S106" s="283"/>
      <c r="T106" s="283"/>
      <c r="U106" s="277">
        <f>INDEX('M04-S04'!$B$16:$B$198,2*(ROWS($U$100:U106)-1)+1)</f>
        <v>7</v>
      </c>
      <c r="V106" s="254"/>
      <c r="W106" s="104">
        <f>INDEX('M04-S04'!$F$16:$F$198,2*(ROWS($W$100:W106)-1)+1)</f>
        <v>0</v>
      </c>
      <c r="X106" s="63">
        <f>INDEX('M04-S04'!$L$16:$L$198,2*(ROWS($X$100:X106)-1)+1)</f>
        <v>0</v>
      </c>
      <c r="Y106" s="63">
        <f>INDEX('M04-S04'!$U$16:$U$198,2*(ROWS($Y$100:Y106)-1)+1)</f>
        <v>0</v>
      </c>
      <c r="Z106" s="254"/>
      <c r="AA106" s="254"/>
      <c r="AB106" s="254"/>
      <c r="AC106" s="254"/>
      <c r="AD106" s="254"/>
      <c r="AE106" s="277">
        <f>IF(NOT(ISNUMBER(INDEX('M04-S04'!$AK$16:$AK$198,2*(ROWS($O$100:O106)-1)+1))),INDEX('M04-S04'!$Z$16:$Z$198,2*(ROWS($L$100:L106)-1)+1),0)</f>
        <v>0</v>
      </c>
      <c r="AF106" s="277">
        <f>INDEX('M04-S04'!$S$16:$S$198,2*(ROWS($AF$100:AF106)-1)+1)</f>
        <v>0</v>
      </c>
      <c r="AG106" s="277">
        <f>INDEX('M04-S04'!$AB$16:$AB$198,2*(ROWS($AG$100:AG106)-1)+1)</f>
        <v>0</v>
      </c>
      <c r="AH106" s="277" t="str">
        <f t="shared" si="57"/>
        <v/>
      </c>
      <c r="AI106" s="277" t="str">
        <f t="shared" si="58"/>
        <v/>
      </c>
      <c r="AJ106" s="107" t="str">
        <f t="shared" si="59"/>
        <v/>
      </c>
      <c r="AK106" s="107" t="str">
        <f t="shared" si="60"/>
        <v/>
      </c>
      <c r="AL106" s="107" t="str">
        <f t="shared" si="61"/>
        <v/>
      </c>
      <c r="AM106" s="107" t="str">
        <f>INDEX('M04-S04'!$AU$16:$AU$198,2*(ROWS($AM$100:AM106)-1)+1)</f>
        <v/>
      </c>
      <c r="AN106" s="107" t="str">
        <f>INDEX('M04-S04'!$BB$16:$BB$198,2*(ROWS($AN$100:AN106)-1)+1)</f>
        <v/>
      </c>
      <c r="AO106" s="277">
        <f>INDEX('M04-S04'!$Q$16:$Q$198,2*(ROWS($AO$100:AO106)-1)+1)</f>
        <v>0</v>
      </c>
      <c r="AP106" s="278"/>
      <c r="AQ106" s="278"/>
    </row>
    <row r="107" spans="1:43" x14ac:dyDescent="0.25">
      <c r="A107" s="118">
        <f t="shared" si="54"/>
        <v>0</v>
      </c>
      <c r="B107" s="118" t="str">
        <f t="shared" si="56"/>
        <v/>
      </c>
      <c r="C107" s="118" t="str">
        <f>IF(J107&gt;0,INDEX('M04-S04'!$AY$16:$AY$198,2*(ROWS($C$100:C107)-1)+1),"")</f>
        <v/>
      </c>
      <c r="D107" s="63" t="s">
        <v>215</v>
      </c>
      <c r="E107" s="301" t="str">
        <f>IFERROR(INDEX('M04-S04'!$AW$16:$AW$198,2*(ROWS($E$100:E107)-1)+1),"")</f>
        <v/>
      </c>
      <c r="F107" s="278"/>
      <c r="G107" s="254"/>
      <c r="H107" s="107">
        <f>INDEX('M04-S04'!$AD$16:$AD$198,2*(ROWS($H$100:H107)-1)+1)</f>
        <v>0</v>
      </c>
      <c r="I107" s="107">
        <f>INDEX('M04-S04'!$AF$16:$AF$198,2*(ROWS($I$100:I107)-1)+1)</f>
        <v>0</v>
      </c>
      <c r="J107" s="107" t="str">
        <f>INDEX('M04-S04'!$AH$16:$AH$198,2*(ROWS($J$100:J107)-1)+1)</f>
        <v/>
      </c>
      <c r="K107" s="63" t="str">
        <f>IFERROR(INDEX(CMEMOTOR[Cost Basis],MATCH(INDEX('M04-S04'!$F$16:$F$198,2*(ROWS($K$100:K107)-1)+1),CMEMOTOR[Proj Desc 1],0)),"")</f>
        <v/>
      </c>
      <c r="L107" s="277">
        <f>IF(ISNUMBER(INDEX('M04-S04'!$AK$16:$AK$198,2*(ROWS($O$100:O107)-1)+1)),INDEX('M04-S04'!$Z$16:$Z$198,2*(ROWS($L$100:L107)-1)+1),0)</f>
        <v>0</v>
      </c>
      <c r="M107" s="277">
        <f>IFERROR(IF(ISNUMBER(INDEX('M04-S04'!$AK$16:$AK$198,2*(ROWS($O$100:O107)-1)+1)),INDEX('M04-S04'!$AO$16:$AO$198,2*(ROWS($M$100:M107)-1)+1),0),"")</f>
        <v>0</v>
      </c>
      <c r="N107" s="335">
        <f>IFERROR(IF(ISNUMBER(INDEX('M04-S04'!$AK$16:$AK$198,2*(ROWS($O$100:O107)-1)+1)),INDEX('M04-S04'!$AV$16:$AV$198,2*(ROWS($N$100:N107)-1)+1),0),"")</f>
        <v>0</v>
      </c>
      <c r="O107" s="107">
        <f>IF(ISNUMBER(INDEX('M04-S04'!$AK$16:$AK$198,2*(ROWS($O$100:O107)-1)+1)),INDEX('M04-S04'!$AK$16:$AK$198,2*(ROWS($O$100:O107)-1)+1),0)</f>
        <v>0</v>
      </c>
      <c r="P107" s="277" t="str">
        <f>IFERROR(IF(NOT(ISNUMBER(INDEX('M04-S04'!$AK$16:$AK$198,2*(ROWS($O$100:O107)-1)+1))),INDEX('M04-S04'!$AO$16:$AO$198,2*(ROWS($O$100:O107)-1)+1),0),"")</f>
        <v/>
      </c>
      <c r="Q107" s="335" t="str">
        <f>IFERROR(IF(NOT(ISNUMBER(INDEX('M04-S04'!$AK$16:$AK$198,2*(ROWS($O$100:O107)-1)+1))),INDEX('M04-S04'!$AV$16:$AV$198,2*(ROWS($O$100:O107)-1)+1),0),"")</f>
        <v/>
      </c>
      <c r="R107" s="63" t="str">
        <f>IFERROR(IF(NOT(ISNUMBER(INDEX('M04-S04'!$AK$16:$AK$198,2*(ROWS($O$100:O107)-1)+1))),INDEX(SPILLOVER[Spillover Reason],MATCH(INDEX('M04-S04'!$BC$16:$BC$198,2*(ROWS($O$100:O107)-1)+1),SPILLOVER[Spillover Text],0)),""),"")</f>
        <v>Not Eligible</v>
      </c>
      <c r="S107" s="283"/>
      <c r="T107" s="283"/>
      <c r="U107" s="277">
        <f>INDEX('M04-S04'!$B$16:$B$198,2*(ROWS($U$100:U107)-1)+1)</f>
        <v>8</v>
      </c>
      <c r="V107" s="254"/>
      <c r="W107" s="104">
        <f>INDEX('M04-S04'!$F$16:$F$198,2*(ROWS($W$100:W107)-1)+1)</f>
        <v>0</v>
      </c>
      <c r="X107" s="63">
        <f>INDEX('M04-S04'!$L$16:$L$198,2*(ROWS($X$100:X107)-1)+1)</f>
        <v>0</v>
      </c>
      <c r="Y107" s="63">
        <f>INDEX('M04-S04'!$U$16:$U$198,2*(ROWS($Y$100:Y107)-1)+1)</f>
        <v>0</v>
      </c>
      <c r="Z107" s="254"/>
      <c r="AA107" s="254"/>
      <c r="AB107" s="254"/>
      <c r="AC107" s="254"/>
      <c r="AD107" s="254"/>
      <c r="AE107" s="277">
        <f>IF(NOT(ISNUMBER(INDEX('M04-S04'!$AK$16:$AK$198,2*(ROWS($O$100:O107)-1)+1))),INDEX('M04-S04'!$Z$16:$Z$198,2*(ROWS($L$100:L107)-1)+1),0)</f>
        <v>0</v>
      </c>
      <c r="AF107" s="277">
        <f>INDEX('M04-S04'!$S$16:$S$198,2*(ROWS($AF$100:AF107)-1)+1)</f>
        <v>0</v>
      </c>
      <c r="AG107" s="277">
        <f>INDEX('M04-S04'!$AB$16:$AB$198,2*(ROWS($AG$100:AG107)-1)+1)</f>
        <v>0</v>
      </c>
      <c r="AH107" s="277" t="str">
        <f t="shared" si="57"/>
        <v/>
      </c>
      <c r="AI107" s="277" t="str">
        <f t="shared" si="58"/>
        <v/>
      </c>
      <c r="AJ107" s="107" t="str">
        <f t="shared" si="59"/>
        <v/>
      </c>
      <c r="AK107" s="107" t="str">
        <f t="shared" si="60"/>
        <v/>
      </c>
      <c r="AL107" s="107" t="str">
        <f t="shared" si="61"/>
        <v/>
      </c>
      <c r="AM107" s="107" t="str">
        <f>INDEX('M04-S04'!$AU$16:$AU$198,2*(ROWS($AM$100:AM107)-1)+1)</f>
        <v/>
      </c>
      <c r="AN107" s="107" t="str">
        <f>INDEX('M04-S04'!$BB$16:$BB$198,2*(ROWS($AN$100:AN107)-1)+1)</f>
        <v/>
      </c>
      <c r="AO107" s="277">
        <f>INDEX('M04-S04'!$Q$16:$Q$198,2*(ROWS($AO$100:AO107)-1)+1)</f>
        <v>0</v>
      </c>
      <c r="AP107" s="278"/>
      <c r="AQ107" s="278"/>
    </row>
    <row r="108" spans="1:43" x14ac:dyDescent="0.25">
      <c r="A108" s="118">
        <f t="shared" si="54"/>
        <v>0</v>
      </c>
      <c r="B108" s="118" t="str">
        <f t="shared" si="56"/>
        <v/>
      </c>
      <c r="C108" s="118" t="str">
        <f>IF(J108&gt;0,INDEX('M04-S04'!$AY$16:$AY$198,2*(ROWS($C$100:C108)-1)+1),"")</f>
        <v/>
      </c>
      <c r="D108" s="63" t="s">
        <v>215</v>
      </c>
      <c r="E108" s="301" t="str">
        <f>IFERROR(INDEX('M04-S04'!$AW$16:$AW$198,2*(ROWS($E$100:E108)-1)+1),"")</f>
        <v/>
      </c>
      <c r="F108" s="278"/>
      <c r="G108" s="254"/>
      <c r="H108" s="107">
        <f>INDEX('M04-S04'!$AD$16:$AD$198,2*(ROWS($H$100:H108)-1)+1)</f>
        <v>0</v>
      </c>
      <c r="I108" s="107">
        <f>INDEX('M04-S04'!$AF$16:$AF$198,2*(ROWS($I$100:I108)-1)+1)</f>
        <v>0</v>
      </c>
      <c r="J108" s="107" t="str">
        <f>INDEX('M04-S04'!$AH$16:$AH$198,2*(ROWS($J$100:J108)-1)+1)</f>
        <v/>
      </c>
      <c r="K108" s="63" t="str">
        <f>IFERROR(INDEX(CMEMOTOR[Cost Basis],MATCH(INDEX('M04-S04'!$F$16:$F$198,2*(ROWS($K$100:K108)-1)+1),CMEMOTOR[Proj Desc 1],0)),"")</f>
        <v/>
      </c>
      <c r="L108" s="277">
        <f>IF(ISNUMBER(INDEX('M04-S04'!$AK$16:$AK$198,2*(ROWS($O$100:O108)-1)+1)),INDEX('M04-S04'!$Z$16:$Z$198,2*(ROWS($L$100:L108)-1)+1),0)</f>
        <v>0</v>
      </c>
      <c r="M108" s="277">
        <f>IFERROR(IF(ISNUMBER(INDEX('M04-S04'!$AK$16:$AK$198,2*(ROWS($O$100:O108)-1)+1)),INDEX('M04-S04'!$AO$16:$AO$198,2*(ROWS($M$100:M108)-1)+1),0),"")</f>
        <v>0</v>
      </c>
      <c r="N108" s="335">
        <f>IFERROR(IF(ISNUMBER(INDEX('M04-S04'!$AK$16:$AK$198,2*(ROWS($O$100:O108)-1)+1)),INDEX('M04-S04'!$AV$16:$AV$198,2*(ROWS($N$100:N108)-1)+1),0),"")</f>
        <v>0</v>
      </c>
      <c r="O108" s="107">
        <f>IF(ISNUMBER(INDEX('M04-S04'!$AK$16:$AK$198,2*(ROWS($O$100:O108)-1)+1)),INDEX('M04-S04'!$AK$16:$AK$198,2*(ROWS($O$100:O108)-1)+1),0)</f>
        <v>0</v>
      </c>
      <c r="P108" s="277" t="str">
        <f>IFERROR(IF(NOT(ISNUMBER(INDEX('M04-S04'!$AK$16:$AK$198,2*(ROWS($O$100:O108)-1)+1))),INDEX('M04-S04'!$AO$16:$AO$198,2*(ROWS($O$100:O108)-1)+1),0),"")</f>
        <v/>
      </c>
      <c r="Q108" s="335" t="str">
        <f>IFERROR(IF(NOT(ISNUMBER(INDEX('M04-S04'!$AK$16:$AK$198,2*(ROWS($O$100:O108)-1)+1))),INDEX('M04-S04'!$AV$16:$AV$198,2*(ROWS($O$100:O108)-1)+1),0),"")</f>
        <v/>
      </c>
      <c r="R108" s="63" t="str">
        <f>IFERROR(IF(NOT(ISNUMBER(INDEX('M04-S04'!$AK$16:$AK$198,2*(ROWS($O$100:O108)-1)+1))),INDEX(SPILLOVER[Spillover Reason],MATCH(INDEX('M04-S04'!$BC$16:$BC$198,2*(ROWS($O$100:O108)-1)+1),SPILLOVER[Spillover Text],0)),""),"")</f>
        <v>Not Eligible</v>
      </c>
      <c r="S108" s="283"/>
      <c r="T108" s="283"/>
      <c r="U108" s="277">
        <f>INDEX('M04-S04'!$B$16:$B$198,2*(ROWS($U$100:U108)-1)+1)</f>
        <v>9</v>
      </c>
      <c r="V108" s="254"/>
      <c r="W108" s="104">
        <f>INDEX('M04-S04'!$F$16:$F$198,2*(ROWS($W$100:W108)-1)+1)</f>
        <v>0</v>
      </c>
      <c r="X108" s="63">
        <f>INDEX('M04-S04'!$L$16:$L$198,2*(ROWS($X$100:X108)-1)+1)</f>
        <v>0</v>
      </c>
      <c r="Y108" s="63">
        <f>INDEX('M04-S04'!$U$16:$U$198,2*(ROWS($Y$100:Y108)-1)+1)</f>
        <v>0</v>
      </c>
      <c r="Z108" s="254"/>
      <c r="AA108" s="254"/>
      <c r="AB108" s="254"/>
      <c r="AC108" s="254"/>
      <c r="AD108" s="254"/>
      <c r="AE108" s="277">
        <f>IF(NOT(ISNUMBER(INDEX('M04-S04'!$AK$16:$AK$198,2*(ROWS($O$100:O108)-1)+1))),INDEX('M04-S04'!$Z$16:$Z$198,2*(ROWS($L$100:L108)-1)+1),0)</f>
        <v>0</v>
      </c>
      <c r="AF108" s="277">
        <f>INDEX('M04-S04'!$S$16:$S$198,2*(ROWS($AF$100:AF108)-1)+1)</f>
        <v>0</v>
      </c>
      <c r="AG108" s="277">
        <f>INDEX('M04-S04'!$AB$16:$AB$198,2*(ROWS($AG$100:AG108)-1)+1)</f>
        <v>0</v>
      </c>
      <c r="AH108" s="277" t="str">
        <f t="shared" si="57"/>
        <v/>
      </c>
      <c r="AI108" s="277" t="str">
        <f t="shared" si="58"/>
        <v/>
      </c>
      <c r="AJ108" s="107" t="str">
        <f t="shared" si="59"/>
        <v/>
      </c>
      <c r="AK108" s="107" t="str">
        <f t="shared" si="60"/>
        <v/>
      </c>
      <c r="AL108" s="107" t="str">
        <f t="shared" si="61"/>
        <v/>
      </c>
      <c r="AM108" s="107" t="str">
        <f>INDEX('M04-S04'!$AU$16:$AU$198,2*(ROWS($AM$100:AM108)-1)+1)</f>
        <v/>
      </c>
      <c r="AN108" s="107" t="str">
        <f>INDEX('M04-S04'!$BB$16:$BB$198,2*(ROWS($AN$100:AN108)-1)+1)</f>
        <v/>
      </c>
      <c r="AO108" s="277">
        <f>INDEX('M04-S04'!$Q$16:$Q$198,2*(ROWS($AO$100:AO108)-1)+1)</f>
        <v>0</v>
      </c>
      <c r="AP108" s="278"/>
      <c r="AQ108" s="278"/>
    </row>
    <row r="109" spans="1:43" x14ac:dyDescent="0.25">
      <c r="A109" s="118">
        <f t="shared" si="54"/>
        <v>0</v>
      </c>
      <c r="B109" s="118" t="str">
        <f t="shared" si="56"/>
        <v/>
      </c>
      <c r="C109" s="118" t="str">
        <f>IF(J109&gt;0,INDEX('M04-S04'!$AY$16:$AY$198,2*(ROWS($C$100:C109)-1)+1),"")</f>
        <v/>
      </c>
      <c r="D109" s="63" t="s">
        <v>215</v>
      </c>
      <c r="E109" s="301" t="str">
        <f>IFERROR(INDEX('M04-S04'!$AW$16:$AW$198,2*(ROWS($E$100:E109)-1)+1),"")</f>
        <v/>
      </c>
      <c r="F109" s="278"/>
      <c r="G109" s="254"/>
      <c r="H109" s="107">
        <f>INDEX('M04-S04'!$AD$16:$AD$198,2*(ROWS($H$100:H109)-1)+1)</f>
        <v>0</v>
      </c>
      <c r="I109" s="107">
        <f>INDEX('M04-S04'!$AF$16:$AF$198,2*(ROWS($I$100:I109)-1)+1)</f>
        <v>0</v>
      </c>
      <c r="J109" s="107" t="str">
        <f>INDEX('M04-S04'!$AH$16:$AH$198,2*(ROWS($J$100:J109)-1)+1)</f>
        <v/>
      </c>
      <c r="K109" s="63" t="str">
        <f>IFERROR(INDEX(CMEMOTOR[Cost Basis],MATCH(INDEX('M04-S04'!$F$16:$F$198,2*(ROWS($K$100:K109)-1)+1),CMEMOTOR[Proj Desc 1],0)),"")</f>
        <v/>
      </c>
      <c r="L109" s="277">
        <f>IF(ISNUMBER(INDEX('M04-S04'!$AK$16:$AK$198,2*(ROWS($O$100:O109)-1)+1)),INDEX('M04-S04'!$Z$16:$Z$198,2*(ROWS($L$100:L109)-1)+1),0)</f>
        <v>0</v>
      </c>
      <c r="M109" s="277">
        <f>IFERROR(IF(ISNUMBER(INDEX('M04-S04'!$AK$16:$AK$198,2*(ROWS($O$100:O109)-1)+1)),INDEX('M04-S04'!$AO$16:$AO$198,2*(ROWS($M$100:M109)-1)+1),0),"")</f>
        <v>0</v>
      </c>
      <c r="N109" s="335">
        <f>IFERROR(IF(ISNUMBER(INDEX('M04-S04'!$AK$16:$AK$198,2*(ROWS($O$100:O109)-1)+1)),INDEX('M04-S04'!$AV$16:$AV$198,2*(ROWS($N$100:N109)-1)+1),0),"")</f>
        <v>0</v>
      </c>
      <c r="O109" s="107">
        <f>IF(ISNUMBER(INDEX('M04-S04'!$AK$16:$AK$198,2*(ROWS($O$100:O109)-1)+1)),INDEX('M04-S04'!$AK$16:$AK$198,2*(ROWS($O$100:O109)-1)+1),0)</f>
        <v>0</v>
      </c>
      <c r="P109" s="277" t="str">
        <f>IFERROR(IF(NOT(ISNUMBER(INDEX('M04-S04'!$AK$16:$AK$198,2*(ROWS($O$100:O109)-1)+1))),INDEX('M04-S04'!$AO$16:$AO$198,2*(ROWS($O$100:O109)-1)+1),0),"")</f>
        <v/>
      </c>
      <c r="Q109" s="335" t="str">
        <f>IFERROR(IF(NOT(ISNUMBER(INDEX('M04-S04'!$AK$16:$AK$198,2*(ROWS($O$100:O109)-1)+1))),INDEX('M04-S04'!$AV$16:$AV$198,2*(ROWS($O$100:O109)-1)+1),0),"")</f>
        <v/>
      </c>
      <c r="R109" s="63" t="str">
        <f>IFERROR(IF(NOT(ISNUMBER(INDEX('M04-S04'!$AK$16:$AK$198,2*(ROWS($O$100:O109)-1)+1))),INDEX(SPILLOVER[Spillover Reason],MATCH(INDEX('M04-S04'!$BC$16:$BC$198,2*(ROWS($O$100:O109)-1)+1),SPILLOVER[Spillover Text],0)),""),"")</f>
        <v>Not Eligible</v>
      </c>
      <c r="S109" s="283"/>
      <c r="T109" s="283"/>
      <c r="U109" s="277">
        <f>INDEX('M04-S04'!$B$16:$B$198,2*(ROWS($U$100:U109)-1)+1)</f>
        <v>10</v>
      </c>
      <c r="V109" s="254"/>
      <c r="W109" s="104">
        <f>INDEX('M04-S04'!$F$16:$F$198,2*(ROWS($W$100:W109)-1)+1)</f>
        <v>0</v>
      </c>
      <c r="X109" s="63">
        <f>INDEX('M04-S04'!$L$16:$L$198,2*(ROWS($X$100:X109)-1)+1)</f>
        <v>0</v>
      </c>
      <c r="Y109" s="63">
        <f>INDEX('M04-S04'!$U$16:$U$198,2*(ROWS($Y$100:Y109)-1)+1)</f>
        <v>0</v>
      </c>
      <c r="Z109" s="254"/>
      <c r="AA109" s="254"/>
      <c r="AB109" s="254"/>
      <c r="AC109" s="254"/>
      <c r="AD109" s="254"/>
      <c r="AE109" s="277">
        <f>IF(NOT(ISNUMBER(INDEX('M04-S04'!$AK$16:$AK$198,2*(ROWS($O$100:O109)-1)+1))),INDEX('M04-S04'!$Z$16:$Z$198,2*(ROWS($L$100:L109)-1)+1),0)</f>
        <v>0</v>
      </c>
      <c r="AF109" s="277">
        <f>INDEX('M04-S04'!$S$16:$S$198,2*(ROWS($AF$100:AF109)-1)+1)</f>
        <v>0</v>
      </c>
      <c r="AG109" s="277">
        <f>INDEX('M04-S04'!$AB$16:$AB$198,2*(ROWS($AG$100:AG109)-1)+1)</f>
        <v>0</v>
      </c>
      <c r="AH109" s="277" t="str">
        <f t="shared" si="57"/>
        <v/>
      </c>
      <c r="AI109" s="277" t="str">
        <f t="shared" si="58"/>
        <v/>
      </c>
      <c r="AJ109" s="107" t="str">
        <f t="shared" si="59"/>
        <v/>
      </c>
      <c r="AK109" s="107" t="str">
        <f t="shared" si="60"/>
        <v/>
      </c>
      <c r="AL109" s="107" t="str">
        <f t="shared" si="61"/>
        <v/>
      </c>
      <c r="AM109" s="107" t="str">
        <f>INDEX('M04-S04'!$AU$16:$AU$198,2*(ROWS($AM$100:AM109)-1)+1)</f>
        <v/>
      </c>
      <c r="AN109" s="107" t="str">
        <f>INDEX('M04-S04'!$BB$16:$BB$198,2*(ROWS($AN$100:AN109)-1)+1)</f>
        <v/>
      </c>
      <c r="AO109" s="277">
        <f>INDEX('M04-S04'!$Q$16:$Q$198,2*(ROWS($AO$100:AO109)-1)+1)</f>
        <v>0</v>
      </c>
      <c r="AP109" s="278"/>
      <c r="AQ109" s="278"/>
    </row>
    <row r="110" spans="1:43" x14ac:dyDescent="0.25">
      <c r="A110" s="118">
        <f t="shared" si="54"/>
        <v>0</v>
      </c>
      <c r="B110" s="118" t="str">
        <f t="shared" si="56"/>
        <v/>
      </c>
      <c r="C110" s="118" t="str">
        <f>IF(J110&gt;0,INDEX('M04-S04'!$AY$16:$AY$198,2*(ROWS($C$100:C110)-1)+1),"")</f>
        <v/>
      </c>
      <c r="D110" s="63" t="s">
        <v>215</v>
      </c>
      <c r="E110" s="301">
        <f>IFERROR(INDEX('M04-S04'!$AW$16:$AW$198,2*(ROWS($E$100:E110)-1)+1),"")</f>
        <v>0</v>
      </c>
      <c r="F110" s="278"/>
      <c r="G110" s="254"/>
      <c r="H110" s="107">
        <f>INDEX('M04-S04'!$AD$16:$AD$198,2*(ROWS($H$100:H110)-1)+1)</f>
        <v>0</v>
      </c>
      <c r="I110" s="107">
        <f>INDEX('M04-S04'!$AF$16:$AF$198,2*(ROWS($I$100:I110)-1)+1)</f>
        <v>0</v>
      </c>
      <c r="J110" s="107">
        <f>INDEX('M04-S04'!$AH$16:$AH$198,2*(ROWS($J$100:J110)-1)+1)</f>
        <v>0</v>
      </c>
      <c r="K110" s="63" t="str">
        <f>IFERROR(INDEX(CMEMOTOR[Cost Basis],MATCH(INDEX('M04-S04'!$F$16:$F$198,2*(ROWS($K$100:K110)-1)+1),CMEMOTOR[Proj Desc 1],0)),"")</f>
        <v/>
      </c>
      <c r="L110" s="277">
        <f>IF(ISNUMBER(INDEX('M04-S04'!$AK$16:$AK$198,2*(ROWS($O$100:O110)-1)+1)),INDEX('M04-S04'!$Z$16:$Z$198,2*(ROWS($L$100:L110)-1)+1),0)</f>
        <v>0</v>
      </c>
      <c r="M110" s="277">
        <f>IFERROR(IF(ISNUMBER(INDEX('M04-S04'!$AK$16:$AK$198,2*(ROWS($O$100:O110)-1)+1)),INDEX('M04-S04'!$AO$16:$AO$198,2*(ROWS($M$100:M110)-1)+1),0),"")</f>
        <v>0</v>
      </c>
      <c r="N110" s="335">
        <f>IFERROR(IF(ISNUMBER(INDEX('M04-S04'!$AK$16:$AK$198,2*(ROWS($O$100:O110)-1)+1)),INDEX('M04-S04'!$AV$16:$AV$198,2*(ROWS($N$100:N110)-1)+1),0),"")</f>
        <v>0</v>
      </c>
      <c r="O110" s="107">
        <f>IF(ISNUMBER(INDEX('M04-S04'!$AK$16:$AK$198,2*(ROWS($O$100:O110)-1)+1)),INDEX('M04-S04'!$AK$16:$AK$198,2*(ROWS($O$100:O110)-1)+1),0)</f>
        <v>0</v>
      </c>
      <c r="P110" s="277">
        <f>IFERROR(IF(NOT(ISNUMBER(INDEX('M04-S04'!$AK$16:$AK$198,2*(ROWS($O$100:O110)-1)+1))),INDEX('M04-S04'!$AO$16:$AO$198,2*(ROWS($O$100:O110)-1)+1),0),"")</f>
        <v>0</v>
      </c>
      <c r="Q110" s="335">
        <f>IFERROR(IF(NOT(ISNUMBER(INDEX('M04-S04'!$AK$16:$AK$198,2*(ROWS($O$100:O110)-1)+1))),INDEX('M04-S04'!$AV$16:$AV$198,2*(ROWS($O$100:O110)-1)+1),0),"")</f>
        <v>0</v>
      </c>
      <c r="R110" s="63" t="str">
        <f>IFERROR(IF(NOT(ISNUMBER(INDEX('M04-S04'!$AK$16:$AK$198,2*(ROWS($O$100:O110)-1)+1))),INDEX(SPILLOVER[Spillover Reason],MATCH(INDEX('M04-S04'!$BC$16:$BC$198,2*(ROWS($O$100:O110)-1)+1),SPILLOVER[Spillover Text],0)),""),"")</f>
        <v/>
      </c>
      <c r="S110" s="283"/>
      <c r="T110" s="283"/>
      <c r="U110" s="277">
        <f>INDEX('M04-S04'!$B$16:$B$198,2*(ROWS($U$100:U110)-1)+1)</f>
        <v>11</v>
      </c>
      <c r="V110" s="254"/>
      <c r="W110" s="104">
        <f>INDEX('M04-S04'!$F$16:$F$198,2*(ROWS($W$100:W110)-1)+1)</f>
        <v>0</v>
      </c>
      <c r="X110" s="63">
        <f>INDEX('M04-S04'!$L$16:$L$198,2*(ROWS($X$100:X110)-1)+1)</f>
        <v>0</v>
      </c>
      <c r="Y110" s="63">
        <f>INDEX('M04-S04'!$U$16:$U$198,2*(ROWS($Y$100:Y110)-1)+1)</f>
        <v>0</v>
      </c>
      <c r="Z110" s="254"/>
      <c r="AA110" s="254"/>
      <c r="AB110" s="254"/>
      <c r="AC110" s="254"/>
      <c r="AD110" s="254"/>
      <c r="AE110" s="277">
        <f>IF(NOT(ISNUMBER(INDEX('M04-S04'!$AK$16:$AK$198,2*(ROWS($O$100:O110)-1)+1))),INDEX('M04-S04'!$Z$16:$Z$198,2*(ROWS($L$100:L110)-1)+1),0)</f>
        <v>0</v>
      </c>
      <c r="AF110" s="277">
        <f>INDEX('M04-S04'!$S$16:$S$198,2*(ROWS($AF$100:AF110)-1)+1)</f>
        <v>0</v>
      </c>
      <c r="AG110" s="277">
        <f>INDEX('M04-S04'!$AB$16:$AB$198,2*(ROWS($AG$100:AG110)-1)+1)</f>
        <v>0</v>
      </c>
      <c r="AH110" s="277" t="str">
        <f t="shared" si="57"/>
        <v/>
      </c>
      <c r="AI110" s="277" t="str">
        <f t="shared" si="58"/>
        <v/>
      </c>
      <c r="AJ110" s="107" t="str">
        <f t="shared" si="59"/>
        <v/>
      </c>
      <c r="AK110" s="107" t="str">
        <f t="shared" si="60"/>
        <v/>
      </c>
      <c r="AL110" s="107" t="str">
        <f t="shared" si="61"/>
        <v/>
      </c>
      <c r="AM110" s="107">
        <f>INDEX('M04-S04'!$AU$16:$AU$198,2*(ROWS($AM$100:AM110)-1)+1)</f>
        <v>0</v>
      </c>
      <c r="AN110" s="107">
        <f>INDEX('M04-S04'!$BB$16:$BB$198,2*(ROWS($AN$100:AN110)-1)+1)</f>
        <v>0</v>
      </c>
      <c r="AO110" s="277">
        <f>INDEX('M04-S04'!$Q$16:$Q$198,2*(ROWS($AO$100:AO110)-1)+1)</f>
        <v>0</v>
      </c>
      <c r="AP110" s="278"/>
      <c r="AQ110" s="278"/>
    </row>
    <row r="111" spans="1:43" x14ac:dyDescent="0.25">
      <c r="A111" s="118">
        <f t="shared" si="54"/>
        <v>0</v>
      </c>
      <c r="B111" s="118" t="str">
        <f t="shared" si="56"/>
        <v/>
      </c>
      <c r="C111" s="118" t="str">
        <f>IF(J111&gt;0,INDEX('M04-S04'!$AY$16:$AY$198,2*(ROWS($C$100:C111)-1)+1),"")</f>
        <v/>
      </c>
      <c r="D111" s="63" t="s">
        <v>215</v>
      </c>
      <c r="E111" s="301">
        <f>IFERROR(INDEX('M04-S04'!$AW$16:$AW$198,2*(ROWS($E$100:E111)-1)+1),"")</f>
        <v>0</v>
      </c>
      <c r="F111" s="278"/>
      <c r="G111" s="254"/>
      <c r="H111" s="107">
        <f>INDEX('M04-S04'!$AD$16:$AD$198,2*(ROWS($H$100:H111)-1)+1)</f>
        <v>0</v>
      </c>
      <c r="I111" s="107">
        <f>INDEX('M04-S04'!$AF$16:$AF$198,2*(ROWS($I$100:I111)-1)+1)</f>
        <v>0</v>
      </c>
      <c r="J111" s="107">
        <f>INDEX('M04-S04'!$AH$16:$AH$198,2*(ROWS($J$100:J111)-1)+1)</f>
        <v>0</v>
      </c>
      <c r="K111" s="63" t="str">
        <f>IFERROR(INDEX(CMEMOTOR[Cost Basis],MATCH(INDEX('M04-S04'!$F$16:$F$198,2*(ROWS($K$100:K111)-1)+1),CMEMOTOR[Proj Desc 1],0)),"")</f>
        <v/>
      </c>
      <c r="L111" s="277">
        <f>IF(ISNUMBER(INDEX('M04-S04'!$AK$16:$AK$198,2*(ROWS($O$100:O111)-1)+1)),INDEX('M04-S04'!$Z$16:$Z$198,2*(ROWS($L$100:L111)-1)+1),0)</f>
        <v>0</v>
      </c>
      <c r="M111" s="277">
        <f>IFERROR(IF(ISNUMBER(INDEX('M04-S04'!$AK$16:$AK$198,2*(ROWS($O$100:O111)-1)+1)),INDEX('M04-S04'!$AO$16:$AO$198,2*(ROWS($M$100:M111)-1)+1),0),"")</f>
        <v>0</v>
      </c>
      <c r="N111" s="335">
        <f>IFERROR(IF(ISNUMBER(INDEX('M04-S04'!$AK$16:$AK$198,2*(ROWS($O$100:O111)-1)+1)),INDEX('M04-S04'!$AV$16:$AV$198,2*(ROWS($N$100:N111)-1)+1),0),"")</f>
        <v>0</v>
      </c>
      <c r="O111" s="107">
        <f>IF(ISNUMBER(INDEX('M04-S04'!$AK$16:$AK$198,2*(ROWS($O$100:O111)-1)+1)),INDEX('M04-S04'!$AK$16:$AK$198,2*(ROWS($O$100:O111)-1)+1),0)</f>
        <v>0</v>
      </c>
      <c r="P111" s="277">
        <f>IFERROR(IF(NOT(ISNUMBER(INDEX('M04-S04'!$AK$16:$AK$198,2*(ROWS($O$100:O111)-1)+1))),INDEX('M04-S04'!$AO$16:$AO$198,2*(ROWS($O$100:O111)-1)+1),0),"")</f>
        <v>0</v>
      </c>
      <c r="Q111" s="335">
        <f>IFERROR(IF(NOT(ISNUMBER(INDEX('M04-S04'!$AK$16:$AK$198,2*(ROWS($O$100:O111)-1)+1))),INDEX('M04-S04'!$AV$16:$AV$198,2*(ROWS($O$100:O111)-1)+1),0),"")</f>
        <v>0</v>
      </c>
      <c r="R111" s="63" t="str">
        <f>IFERROR(IF(NOT(ISNUMBER(INDEX('M04-S04'!$AK$16:$AK$198,2*(ROWS($O$100:O111)-1)+1))),INDEX(SPILLOVER[Spillover Reason],MATCH(INDEX('M04-S04'!$BC$16:$BC$198,2*(ROWS($O$100:O111)-1)+1),SPILLOVER[Spillover Text],0)),""),"")</f>
        <v/>
      </c>
      <c r="S111" s="283"/>
      <c r="T111" s="283"/>
      <c r="U111" s="277">
        <f>INDEX('M04-S04'!$B$16:$B$198,2*(ROWS($U$100:U111)-1)+1)</f>
        <v>12</v>
      </c>
      <c r="V111" s="254"/>
      <c r="W111" s="104">
        <f>INDEX('M04-S04'!$F$16:$F$198,2*(ROWS($W$100:W111)-1)+1)</f>
        <v>0</v>
      </c>
      <c r="X111" s="63">
        <f>INDEX('M04-S04'!$L$16:$L$198,2*(ROWS($X$100:X111)-1)+1)</f>
        <v>0</v>
      </c>
      <c r="Y111" s="63">
        <f>INDEX('M04-S04'!$U$16:$U$198,2*(ROWS($Y$100:Y111)-1)+1)</f>
        <v>0</v>
      </c>
      <c r="Z111" s="254"/>
      <c r="AA111" s="254"/>
      <c r="AB111" s="254"/>
      <c r="AC111" s="254"/>
      <c r="AD111" s="254"/>
      <c r="AE111" s="277">
        <f>IF(NOT(ISNUMBER(INDEX('M04-S04'!$AK$16:$AK$198,2*(ROWS($O$100:O111)-1)+1))),INDEX('M04-S04'!$Z$16:$Z$198,2*(ROWS($L$100:L111)-1)+1),0)</f>
        <v>0</v>
      </c>
      <c r="AF111" s="277">
        <f>INDEX('M04-S04'!$S$16:$S$198,2*(ROWS($AF$100:AF111)-1)+1)</f>
        <v>0</v>
      </c>
      <c r="AG111" s="277">
        <f>INDEX('M04-S04'!$AB$16:$AB$198,2*(ROWS($AG$100:AG111)-1)+1)</f>
        <v>0</v>
      </c>
      <c r="AH111" s="277" t="str">
        <f t="shared" si="57"/>
        <v/>
      </c>
      <c r="AI111" s="277" t="str">
        <f t="shared" si="58"/>
        <v/>
      </c>
      <c r="AJ111" s="107" t="str">
        <f t="shared" si="59"/>
        <v/>
      </c>
      <c r="AK111" s="107" t="str">
        <f t="shared" si="60"/>
        <v/>
      </c>
      <c r="AL111" s="107" t="str">
        <f t="shared" si="61"/>
        <v/>
      </c>
      <c r="AM111" s="107">
        <f>INDEX('M04-S04'!$AU$16:$AU$198,2*(ROWS($AM$100:AM111)-1)+1)</f>
        <v>0</v>
      </c>
      <c r="AN111" s="107">
        <f>INDEX('M04-S04'!$BB$16:$BB$198,2*(ROWS($AN$100:AN111)-1)+1)</f>
        <v>0</v>
      </c>
      <c r="AO111" s="277">
        <f>INDEX('M04-S04'!$Q$16:$Q$198,2*(ROWS($AO$100:AO111)-1)+1)</f>
        <v>0</v>
      </c>
      <c r="AP111" s="278"/>
      <c r="AQ111" s="278"/>
    </row>
    <row r="112" spans="1:43" x14ac:dyDescent="0.25">
      <c r="A112" s="118">
        <f t="shared" si="54"/>
        <v>0</v>
      </c>
      <c r="B112" s="118" t="str">
        <f t="shared" si="56"/>
        <v/>
      </c>
      <c r="C112" s="118" t="str">
        <f>IF(J112&gt;0,INDEX('M04-S04'!$AY$16:$AY$198,2*(ROWS($C$100:C112)-1)+1),"")</f>
        <v/>
      </c>
      <c r="D112" s="63" t="s">
        <v>215</v>
      </c>
      <c r="E112" s="301">
        <f>IFERROR(INDEX('M04-S04'!$AW$16:$AW$198,2*(ROWS($E$100:E112)-1)+1),"")</f>
        <v>0</v>
      </c>
      <c r="F112" s="278"/>
      <c r="G112" s="254"/>
      <c r="H112" s="107">
        <f>INDEX('M04-S04'!$AD$16:$AD$198,2*(ROWS($H$100:H112)-1)+1)</f>
        <v>0</v>
      </c>
      <c r="I112" s="107">
        <f>INDEX('M04-S04'!$AF$16:$AF$198,2*(ROWS($I$100:I112)-1)+1)</f>
        <v>0</v>
      </c>
      <c r="J112" s="107">
        <f>INDEX('M04-S04'!$AH$16:$AH$198,2*(ROWS($J$100:J112)-1)+1)</f>
        <v>0</v>
      </c>
      <c r="K112" s="63" t="str">
        <f>IFERROR(INDEX(CMEMOTOR[Cost Basis],MATCH(INDEX('M04-S04'!$F$16:$F$198,2*(ROWS($K$100:K112)-1)+1),CMEMOTOR[Proj Desc 1],0)),"")</f>
        <v/>
      </c>
      <c r="L112" s="277">
        <f>IF(ISNUMBER(INDEX('M04-S04'!$AK$16:$AK$198,2*(ROWS($O$100:O112)-1)+1)),INDEX('M04-S04'!$Z$16:$Z$198,2*(ROWS($L$100:L112)-1)+1),0)</f>
        <v>0</v>
      </c>
      <c r="M112" s="277">
        <f>IFERROR(IF(ISNUMBER(INDEX('M04-S04'!$AK$16:$AK$198,2*(ROWS($O$100:O112)-1)+1)),INDEX('M04-S04'!$AO$16:$AO$198,2*(ROWS($M$100:M112)-1)+1),0),"")</f>
        <v>0</v>
      </c>
      <c r="N112" s="335">
        <f>IFERROR(IF(ISNUMBER(INDEX('M04-S04'!$AK$16:$AK$198,2*(ROWS($O$100:O112)-1)+1)),INDEX('M04-S04'!$AV$16:$AV$198,2*(ROWS($N$100:N112)-1)+1),0),"")</f>
        <v>0</v>
      </c>
      <c r="O112" s="107">
        <f>IF(ISNUMBER(INDEX('M04-S04'!$AK$16:$AK$198,2*(ROWS($O$100:O112)-1)+1)),INDEX('M04-S04'!$AK$16:$AK$198,2*(ROWS($O$100:O112)-1)+1),0)</f>
        <v>0</v>
      </c>
      <c r="P112" s="277">
        <f>IFERROR(IF(NOT(ISNUMBER(INDEX('M04-S04'!$AK$16:$AK$198,2*(ROWS($O$100:O112)-1)+1))),INDEX('M04-S04'!$AO$16:$AO$198,2*(ROWS($O$100:O112)-1)+1),0),"")</f>
        <v>0</v>
      </c>
      <c r="Q112" s="335">
        <f>IFERROR(IF(NOT(ISNUMBER(INDEX('M04-S04'!$AK$16:$AK$198,2*(ROWS($O$100:O112)-1)+1))),INDEX('M04-S04'!$AV$16:$AV$198,2*(ROWS($O$100:O112)-1)+1),0),"")</f>
        <v>0</v>
      </c>
      <c r="R112" s="63" t="str">
        <f>IFERROR(IF(NOT(ISNUMBER(INDEX('M04-S04'!$AK$16:$AK$198,2*(ROWS($O$100:O112)-1)+1))),INDEX(SPILLOVER[Spillover Reason],MATCH(INDEX('M04-S04'!$BC$16:$BC$198,2*(ROWS($O$100:O112)-1)+1),SPILLOVER[Spillover Text],0)),""),"")</f>
        <v/>
      </c>
      <c r="S112" s="283"/>
      <c r="T112" s="283"/>
      <c r="U112" s="277">
        <f>INDEX('M04-S04'!$B$16:$B$198,2*(ROWS($U$100:U112)-1)+1)</f>
        <v>13</v>
      </c>
      <c r="V112" s="254"/>
      <c r="W112" s="104">
        <f>INDEX('M04-S04'!$F$16:$F$198,2*(ROWS($W$100:W112)-1)+1)</f>
        <v>0</v>
      </c>
      <c r="X112" s="63">
        <f>INDEX('M04-S04'!$L$16:$L$198,2*(ROWS($X$100:X112)-1)+1)</f>
        <v>0</v>
      </c>
      <c r="Y112" s="63">
        <f>INDEX('M04-S04'!$U$16:$U$198,2*(ROWS($Y$100:Y112)-1)+1)</f>
        <v>0</v>
      </c>
      <c r="Z112" s="254"/>
      <c r="AA112" s="254"/>
      <c r="AB112" s="254"/>
      <c r="AC112" s="254"/>
      <c r="AD112" s="254"/>
      <c r="AE112" s="277">
        <f>IF(NOT(ISNUMBER(INDEX('M04-S04'!$AK$16:$AK$198,2*(ROWS($O$100:O112)-1)+1))),INDEX('M04-S04'!$Z$16:$Z$198,2*(ROWS($L$100:L112)-1)+1),0)</f>
        <v>0</v>
      </c>
      <c r="AF112" s="277">
        <f>INDEX('M04-S04'!$S$16:$S$198,2*(ROWS($AF$100:AF112)-1)+1)</f>
        <v>0</v>
      </c>
      <c r="AG112" s="277">
        <f>INDEX('M04-S04'!$AB$16:$AB$198,2*(ROWS($AG$100:AG112)-1)+1)</f>
        <v>0</v>
      </c>
      <c r="AH112" s="277" t="str">
        <f t="shared" si="57"/>
        <v/>
      </c>
      <c r="AI112" s="277" t="str">
        <f t="shared" si="58"/>
        <v/>
      </c>
      <c r="AJ112" s="107" t="str">
        <f t="shared" si="59"/>
        <v/>
      </c>
      <c r="AK112" s="107" t="str">
        <f t="shared" si="60"/>
        <v/>
      </c>
      <c r="AL112" s="107" t="str">
        <f t="shared" si="61"/>
        <v/>
      </c>
      <c r="AM112" s="107">
        <f>INDEX('M04-S04'!$AU$16:$AU$198,2*(ROWS($AM$100:AM112)-1)+1)</f>
        <v>0</v>
      </c>
      <c r="AN112" s="107">
        <f>INDEX('M04-S04'!$BB$16:$BB$198,2*(ROWS($AN$100:AN112)-1)+1)</f>
        <v>0</v>
      </c>
      <c r="AO112" s="277">
        <f>INDEX('M04-S04'!$Q$16:$Q$198,2*(ROWS($AO$100:AO112)-1)+1)</f>
        <v>0</v>
      </c>
      <c r="AP112" s="278"/>
      <c r="AQ112" s="278"/>
    </row>
    <row r="113" spans="1:43" x14ac:dyDescent="0.25">
      <c r="A113" s="118">
        <f t="shared" si="54"/>
        <v>0</v>
      </c>
      <c r="B113" s="118" t="str">
        <f t="shared" si="56"/>
        <v/>
      </c>
      <c r="C113" s="118" t="str">
        <f>IF(J113&gt;0,INDEX('M04-S04'!$AY$16:$AY$198,2*(ROWS($C$100:C113)-1)+1),"")</f>
        <v/>
      </c>
      <c r="D113" s="63" t="s">
        <v>215</v>
      </c>
      <c r="E113" s="301">
        <f>IFERROR(INDEX('M04-S04'!$AW$16:$AW$198,2*(ROWS($E$100:E113)-1)+1),"")</f>
        <v>0</v>
      </c>
      <c r="F113" s="278"/>
      <c r="G113" s="254"/>
      <c r="H113" s="107">
        <f>INDEX('M04-S04'!$AD$16:$AD$198,2*(ROWS($H$100:H113)-1)+1)</f>
        <v>0</v>
      </c>
      <c r="I113" s="107">
        <f>INDEX('M04-S04'!$AF$16:$AF$198,2*(ROWS($I$100:I113)-1)+1)</f>
        <v>0</v>
      </c>
      <c r="J113" s="107">
        <f>INDEX('M04-S04'!$AH$16:$AH$198,2*(ROWS($J$100:J113)-1)+1)</f>
        <v>0</v>
      </c>
      <c r="K113" s="63" t="str">
        <f>IFERROR(INDEX(CMEMOTOR[Cost Basis],MATCH(INDEX('M04-S04'!$F$16:$F$198,2*(ROWS($K$100:K113)-1)+1),CMEMOTOR[Proj Desc 1],0)),"")</f>
        <v/>
      </c>
      <c r="L113" s="277">
        <f>IF(ISNUMBER(INDEX('M04-S04'!$AK$16:$AK$198,2*(ROWS($O$100:O113)-1)+1)),INDEX('M04-S04'!$Z$16:$Z$198,2*(ROWS($L$100:L113)-1)+1),0)</f>
        <v>0</v>
      </c>
      <c r="M113" s="277">
        <f>IFERROR(IF(ISNUMBER(INDEX('M04-S04'!$AK$16:$AK$198,2*(ROWS($O$100:O113)-1)+1)),INDEX('M04-S04'!$AO$16:$AO$198,2*(ROWS($M$100:M113)-1)+1),0),"")</f>
        <v>0</v>
      </c>
      <c r="N113" s="335">
        <f>IFERROR(IF(ISNUMBER(INDEX('M04-S04'!$AK$16:$AK$198,2*(ROWS($O$100:O113)-1)+1)),INDEX('M04-S04'!$AV$16:$AV$198,2*(ROWS($N$100:N113)-1)+1),0),"")</f>
        <v>0</v>
      </c>
      <c r="O113" s="107">
        <f>IF(ISNUMBER(INDEX('M04-S04'!$AK$16:$AK$198,2*(ROWS($O$100:O113)-1)+1)),INDEX('M04-S04'!$AK$16:$AK$198,2*(ROWS($O$100:O113)-1)+1),0)</f>
        <v>0</v>
      </c>
      <c r="P113" s="277">
        <f>IFERROR(IF(NOT(ISNUMBER(INDEX('M04-S04'!$AK$16:$AK$198,2*(ROWS($O$100:O113)-1)+1))),INDEX('M04-S04'!$AO$16:$AO$198,2*(ROWS($O$100:O113)-1)+1),0),"")</f>
        <v>0</v>
      </c>
      <c r="Q113" s="335">
        <f>IFERROR(IF(NOT(ISNUMBER(INDEX('M04-S04'!$AK$16:$AK$198,2*(ROWS($O$100:O113)-1)+1))),INDEX('M04-S04'!$AV$16:$AV$198,2*(ROWS($O$100:O113)-1)+1),0),"")</f>
        <v>0</v>
      </c>
      <c r="R113" s="63" t="str">
        <f>IFERROR(IF(NOT(ISNUMBER(INDEX('M04-S04'!$AK$16:$AK$198,2*(ROWS($O$100:O113)-1)+1))),INDEX(SPILLOVER[Spillover Reason],MATCH(INDEX('M04-S04'!$BC$16:$BC$198,2*(ROWS($O$100:O113)-1)+1),SPILLOVER[Spillover Text],0)),""),"")</f>
        <v/>
      </c>
      <c r="S113" s="283"/>
      <c r="T113" s="283"/>
      <c r="U113" s="277">
        <f>INDEX('M04-S04'!$B$16:$B$198,2*(ROWS($U$100:U113)-1)+1)</f>
        <v>14</v>
      </c>
      <c r="V113" s="254"/>
      <c r="W113" s="104">
        <f>INDEX('M04-S04'!$F$16:$F$198,2*(ROWS($W$100:W113)-1)+1)</f>
        <v>0</v>
      </c>
      <c r="X113" s="63">
        <f>INDEX('M04-S04'!$L$16:$L$198,2*(ROWS($X$100:X113)-1)+1)</f>
        <v>0</v>
      </c>
      <c r="Y113" s="63">
        <f>INDEX('M04-S04'!$U$16:$U$198,2*(ROWS($Y$100:Y113)-1)+1)</f>
        <v>0</v>
      </c>
      <c r="Z113" s="254"/>
      <c r="AA113" s="254"/>
      <c r="AB113" s="254"/>
      <c r="AC113" s="254"/>
      <c r="AD113" s="254"/>
      <c r="AE113" s="277">
        <f>IF(NOT(ISNUMBER(INDEX('M04-S04'!$AK$16:$AK$198,2*(ROWS($O$100:O113)-1)+1))),INDEX('M04-S04'!$Z$16:$Z$198,2*(ROWS($L$100:L113)-1)+1),0)</f>
        <v>0</v>
      </c>
      <c r="AF113" s="277">
        <f>INDEX('M04-S04'!$S$16:$S$198,2*(ROWS($AF$100:AF113)-1)+1)</f>
        <v>0</v>
      </c>
      <c r="AG113" s="277">
        <f>INDEX('M04-S04'!$AB$16:$AB$198,2*(ROWS($AG$100:AG113)-1)+1)</f>
        <v>0</v>
      </c>
      <c r="AH113" s="277" t="str">
        <f t="shared" si="57"/>
        <v/>
      </c>
      <c r="AI113" s="277" t="str">
        <f t="shared" si="58"/>
        <v/>
      </c>
      <c r="AJ113" s="107" t="str">
        <f t="shared" si="59"/>
        <v/>
      </c>
      <c r="AK113" s="107" t="str">
        <f t="shared" si="60"/>
        <v/>
      </c>
      <c r="AL113" s="107" t="str">
        <f t="shared" si="61"/>
        <v/>
      </c>
      <c r="AM113" s="107">
        <f>INDEX('M04-S04'!$AU$16:$AU$198,2*(ROWS($AM$100:AM113)-1)+1)</f>
        <v>0</v>
      </c>
      <c r="AN113" s="107">
        <f>INDEX('M04-S04'!$BB$16:$BB$198,2*(ROWS($AN$100:AN113)-1)+1)</f>
        <v>0</v>
      </c>
      <c r="AO113" s="277">
        <f>INDEX('M04-S04'!$Q$16:$Q$198,2*(ROWS($AO$100:AO113)-1)+1)</f>
        <v>0</v>
      </c>
      <c r="AP113" s="278"/>
      <c r="AQ113" s="278"/>
    </row>
    <row r="114" spans="1:43" x14ac:dyDescent="0.25">
      <c r="A114" s="118">
        <f t="shared" si="54"/>
        <v>0</v>
      </c>
      <c r="B114" s="118" t="str">
        <f t="shared" si="56"/>
        <v/>
      </c>
      <c r="C114" s="118" t="str">
        <f>IF(J114&gt;0,INDEX('M04-S04'!$AY$16:$AY$198,2*(ROWS($C$100:C114)-1)+1),"")</f>
        <v/>
      </c>
      <c r="D114" s="63" t="s">
        <v>215</v>
      </c>
      <c r="E114" s="301">
        <f>IFERROR(INDEX('M04-S04'!$AW$16:$AW$198,2*(ROWS($E$100:E114)-1)+1),"")</f>
        <v>0</v>
      </c>
      <c r="F114" s="278"/>
      <c r="G114" s="254"/>
      <c r="H114" s="107">
        <f>INDEX('M04-S04'!$AD$16:$AD$198,2*(ROWS($H$100:H114)-1)+1)</f>
        <v>0</v>
      </c>
      <c r="I114" s="107">
        <f>INDEX('M04-S04'!$AF$16:$AF$198,2*(ROWS($I$100:I114)-1)+1)</f>
        <v>0</v>
      </c>
      <c r="J114" s="107">
        <f>INDEX('M04-S04'!$AH$16:$AH$198,2*(ROWS($J$100:J114)-1)+1)</f>
        <v>0</v>
      </c>
      <c r="K114" s="63" t="str">
        <f>IFERROR(INDEX(CMEMOTOR[Cost Basis],MATCH(INDEX('M04-S04'!$F$16:$F$198,2*(ROWS($K$100:K114)-1)+1),CMEMOTOR[Proj Desc 1],0)),"")</f>
        <v/>
      </c>
      <c r="L114" s="277">
        <f>IF(ISNUMBER(INDEX('M04-S04'!$AK$16:$AK$198,2*(ROWS($O$100:O114)-1)+1)),INDEX('M04-S04'!$Z$16:$Z$198,2*(ROWS($L$100:L114)-1)+1),0)</f>
        <v>0</v>
      </c>
      <c r="M114" s="277">
        <f>IFERROR(IF(ISNUMBER(INDEX('M04-S04'!$AK$16:$AK$198,2*(ROWS($O$100:O114)-1)+1)),INDEX('M04-S04'!$AO$16:$AO$198,2*(ROWS($M$100:M114)-1)+1),0),"")</f>
        <v>0</v>
      </c>
      <c r="N114" s="335">
        <f>IFERROR(IF(ISNUMBER(INDEX('M04-S04'!$AK$16:$AK$198,2*(ROWS($O$100:O114)-1)+1)),INDEX('M04-S04'!$AV$16:$AV$198,2*(ROWS($N$100:N114)-1)+1),0),"")</f>
        <v>0</v>
      </c>
      <c r="O114" s="107">
        <f>IF(ISNUMBER(INDEX('M04-S04'!$AK$16:$AK$198,2*(ROWS($O$100:O114)-1)+1)),INDEX('M04-S04'!$AK$16:$AK$198,2*(ROWS($O$100:O114)-1)+1),0)</f>
        <v>0</v>
      </c>
      <c r="P114" s="277">
        <f>IFERROR(IF(NOT(ISNUMBER(INDEX('M04-S04'!$AK$16:$AK$198,2*(ROWS($O$100:O114)-1)+1))),INDEX('M04-S04'!$AO$16:$AO$198,2*(ROWS($O$100:O114)-1)+1),0),"")</f>
        <v>0</v>
      </c>
      <c r="Q114" s="335">
        <f>IFERROR(IF(NOT(ISNUMBER(INDEX('M04-S04'!$AK$16:$AK$198,2*(ROWS($O$100:O114)-1)+1))),INDEX('M04-S04'!$AV$16:$AV$198,2*(ROWS($O$100:O114)-1)+1),0),"")</f>
        <v>0</v>
      </c>
      <c r="R114" s="63" t="str">
        <f>IFERROR(IF(NOT(ISNUMBER(INDEX('M04-S04'!$AK$16:$AK$198,2*(ROWS($O$100:O114)-1)+1))),INDEX(SPILLOVER[Spillover Reason],MATCH(INDEX('M04-S04'!$BC$16:$BC$198,2*(ROWS($O$100:O114)-1)+1),SPILLOVER[Spillover Text],0)),""),"")</f>
        <v/>
      </c>
      <c r="S114" s="283"/>
      <c r="T114" s="283"/>
      <c r="U114" s="277">
        <f>INDEX('M04-S04'!$B$16:$B$198,2*(ROWS($U$100:U114)-1)+1)</f>
        <v>15</v>
      </c>
      <c r="V114" s="254"/>
      <c r="W114" s="104">
        <f>INDEX('M04-S04'!$F$16:$F$198,2*(ROWS($W$100:W114)-1)+1)</f>
        <v>0</v>
      </c>
      <c r="X114" s="63">
        <f>INDEX('M04-S04'!$L$16:$L$198,2*(ROWS($X$100:X114)-1)+1)</f>
        <v>0</v>
      </c>
      <c r="Y114" s="63">
        <f>INDEX('M04-S04'!$U$16:$U$198,2*(ROWS($Y$100:Y114)-1)+1)</f>
        <v>0</v>
      </c>
      <c r="Z114" s="254"/>
      <c r="AA114" s="254"/>
      <c r="AB114" s="254"/>
      <c r="AC114" s="254"/>
      <c r="AD114" s="254"/>
      <c r="AE114" s="277">
        <f>IF(NOT(ISNUMBER(INDEX('M04-S04'!$AK$16:$AK$198,2*(ROWS($O$100:O114)-1)+1))),INDEX('M04-S04'!$Z$16:$Z$198,2*(ROWS($L$100:L114)-1)+1),0)</f>
        <v>0</v>
      </c>
      <c r="AF114" s="277">
        <f>INDEX('M04-S04'!$S$16:$S$198,2*(ROWS($AF$100:AF114)-1)+1)</f>
        <v>0</v>
      </c>
      <c r="AG114" s="277">
        <f>INDEX('M04-S04'!$AB$16:$AB$198,2*(ROWS($AG$100:AG114)-1)+1)</f>
        <v>0</v>
      </c>
      <c r="AH114" s="277" t="str">
        <f t="shared" si="57"/>
        <v/>
      </c>
      <c r="AI114" s="277" t="str">
        <f t="shared" si="58"/>
        <v/>
      </c>
      <c r="AJ114" s="107" t="str">
        <f t="shared" si="59"/>
        <v/>
      </c>
      <c r="AK114" s="107" t="str">
        <f t="shared" si="60"/>
        <v/>
      </c>
      <c r="AL114" s="107" t="str">
        <f t="shared" si="61"/>
        <v/>
      </c>
      <c r="AM114" s="107">
        <f>INDEX('M04-S04'!$AU$16:$AU$198,2*(ROWS($AM$100:AM114)-1)+1)</f>
        <v>0</v>
      </c>
      <c r="AN114" s="107">
        <f>INDEX('M04-S04'!$BB$16:$BB$198,2*(ROWS($AN$100:AN114)-1)+1)</f>
        <v>0</v>
      </c>
      <c r="AO114" s="277">
        <f>INDEX('M04-S04'!$Q$16:$Q$198,2*(ROWS($AO$100:AO114)-1)+1)</f>
        <v>0</v>
      </c>
      <c r="AP114" s="278"/>
      <c r="AQ114" s="278"/>
    </row>
    <row r="115" spans="1:43" x14ac:dyDescent="0.25">
      <c r="A115" s="554" t="str">
        <f>CONCATENATE(MAIN4," ",M4S5)</f>
        <v>PRE-APPROVAL MEASURES Compressed Air</v>
      </c>
      <c r="B115" s="317"/>
      <c r="C115" s="317"/>
      <c r="D115" s="318"/>
      <c r="E115" s="317"/>
      <c r="F115" s="324"/>
      <c r="G115" s="318"/>
      <c r="H115" s="320"/>
      <c r="I115" s="320"/>
      <c r="J115" s="320"/>
      <c r="K115" s="318"/>
      <c r="L115" s="319"/>
      <c r="M115" s="319"/>
      <c r="N115" s="338"/>
      <c r="O115" s="320"/>
      <c r="P115" s="319"/>
      <c r="Q115" s="338"/>
      <c r="R115" s="318"/>
      <c r="S115" s="321"/>
      <c r="T115" s="321"/>
      <c r="U115" s="319"/>
      <c r="V115" s="318"/>
      <c r="W115" s="322"/>
      <c r="X115" s="318"/>
      <c r="Y115" s="318"/>
      <c r="Z115" s="323"/>
      <c r="AA115" s="318"/>
      <c r="AB115" s="318"/>
      <c r="AC115" s="318"/>
      <c r="AD115" s="318"/>
      <c r="AE115" s="319"/>
      <c r="AF115" s="319"/>
      <c r="AG115" s="319"/>
      <c r="AH115" s="319"/>
      <c r="AI115" s="319"/>
      <c r="AJ115" s="320" t="str">
        <f t="shared" si="45"/>
        <v/>
      </c>
      <c r="AK115" s="320" t="str">
        <f t="shared" si="46"/>
        <v/>
      </c>
      <c r="AL115" s="320" t="str">
        <f t="shared" si="47"/>
        <v/>
      </c>
      <c r="AM115" s="320"/>
      <c r="AN115" s="320"/>
      <c r="AO115" s="319"/>
      <c r="AP115" s="319"/>
      <c r="AQ115" s="319"/>
    </row>
    <row r="116" spans="1:43" x14ac:dyDescent="0.25">
      <c r="A116" s="118">
        <f t="shared" ref="A116:A130" si="62">PROJID</f>
        <v>0</v>
      </c>
      <c r="B116" s="118" t="str">
        <f t="shared" ref="B116" si="63">IF(C116="","",CONCATENATE(ROW(),"-",C116))</f>
        <v/>
      </c>
      <c r="C116" s="118" t="str">
        <f>IF(J116&gt;0,INDEX('M04-S05'!$AY$16:$AY$198,2*(ROWS($C$116:C116)-1)+1),"")</f>
        <v/>
      </c>
      <c r="D116" s="63" t="s">
        <v>215</v>
      </c>
      <c r="E116" s="301" t="str">
        <f>IFERROR(INDEX('M04-S05'!$AW$16:$AW$198,2*(ROWS($E$116:E116)-1)+1),"")</f>
        <v/>
      </c>
      <c r="F116" s="278"/>
      <c r="G116" s="254"/>
      <c r="H116" s="107">
        <f>INDEX('M04-S05'!$AD$16:$AD$198,2*(ROWS($H$116:H116)-1)+1)</f>
        <v>0</v>
      </c>
      <c r="I116" s="107">
        <f>INDEX('M04-S05'!$AF$16:$AF$198,2*(ROWS($I$116:I116)-1)+1)</f>
        <v>0</v>
      </c>
      <c r="J116" s="107" t="str">
        <f>INDEX('M04-S05'!$AH$16:$AH$198,2*(ROWS($J$116:J116)-1)+1)</f>
        <v/>
      </c>
      <c r="K116" s="63" t="str">
        <f>IFERROR(INDEX(CMECOMPAIR[Cost Basis],MATCH(INDEX('M04-S05'!$F$16:$F$198,2*(ROWS($K$116:K116)-1)+1),CMECOMPAIR[Proj Desc 1],0)),"")</f>
        <v/>
      </c>
      <c r="L116" s="277">
        <f>IF(ISNUMBER(INDEX('M04-S05'!$AK$16:$AK$198,2*(ROWS($O$116:O116)-1)+1)),INDEX('M04-S05'!$Z$16:$Z$198,2*(ROWS($L$116:L116)-1)+1),0)</f>
        <v>0</v>
      </c>
      <c r="M116" s="277">
        <f>IFERROR(IF(ISNUMBER(INDEX('M04-S05'!$AK$16:$AK$198,2*(ROWS($O$116:O116)-1)+1)),INDEX('M04-S05'!$AO$16:$AO$198,2*(ROWS($M$116:M116)-1)+1),0),"")</f>
        <v>0</v>
      </c>
      <c r="N116" s="335">
        <f>IFERROR(IF(ISNUMBER(INDEX('M04-S05'!$AK$16:$AK$198,2*(ROWS($O$116:O116)-1)+1)),INDEX('M04-S05'!$AV$16:$AV$198,2*(ROWS($N$116:N116)-1)+1),0),"")</f>
        <v>0</v>
      </c>
      <c r="O116" s="107">
        <f>IF(ISNUMBER(INDEX('M04-S05'!$AK$16:$AK$198,2*(ROWS($O$116:O116)-1)+1)),INDEX('M04-S05'!$AK$16:$AK$198,2*(ROWS($O$116:O116)-1)+1),0)</f>
        <v>0</v>
      </c>
      <c r="P116" s="277" t="str">
        <f>IFERROR(IF(NOT(ISNUMBER(INDEX('M04-S05'!$AK$16:$AK$198,2*(ROWS($O$116:O116)-1)+1))),INDEX('M04-S05'!$AO$16:$AO$198,2*(ROWS($O$116:O116)-1)+1),0),"")</f>
        <v/>
      </c>
      <c r="Q116" s="335" t="str">
        <f>IFERROR(IF(NOT(ISNUMBER(INDEX('M04-S05'!$AK$16:$AK$198,2*(ROWS($O$116:O116)-1)+1))),INDEX('M04-S05'!$AV$16:$AV$198,2*(ROWS($O$116:O116)-1)+1),0),"")</f>
        <v/>
      </c>
      <c r="R116" s="63" t="str">
        <f>IFERROR(IF(NOT(ISNUMBER(INDEX('M04-S05'!$AK$16:$AK$198,2*(ROWS($O$116:O116)-1)+1))),INDEX(SPILLOVER[Spillover Reason],MATCH(INDEX('M04-S05'!$BC$16:$BC$198,2*(ROWS($O$116:O116)-1)+1),SPILLOVER[Spillover Text],0)),""),"")</f>
        <v>Not Eligible</v>
      </c>
      <c r="S116" s="283"/>
      <c r="T116" s="283"/>
      <c r="U116" s="277">
        <f>INDEX('M04-S05'!$B$16:$B$198,2*(ROWS($U$116:U116)-1)+1)</f>
        <v>1</v>
      </c>
      <c r="V116" s="254"/>
      <c r="W116" s="104">
        <f>INDEX('M04-S05'!$F$16:$F$198,2*(ROWS($W$116:W116)-1)+1)</f>
        <v>0</v>
      </c>
      <c r="X116" s="63">
        <f>INDEX('M04-S05'!$L$16:$L$198,2*(ROWS($X$116:X116)-1)+1)</f>
        <v>0</v>
      </c>
      <c r="Y116" s="63">
        <f>INDEX('M04-S05'!$U$16:$U$198,2*(ROWS($Y$116:Y116)-1)+1)</f>
        <v>0</v>
      </c>
      <c r="Z116" s="254"/>
      <c r="AA116" s="254"/>
      <c r="AB116" s="254"/>
      <c r="AC116" s="254"/>
      <c r="AD116" s="254"/>
      <c r="AE116" s="277">
        <f>IF(NOT(ISNUMBER(INDEX('M04-S05'!$AK$16:$AK$198,2*(ROWS($O$116:O116)-1)+1))),INDEX('M04-S05'!$Z$16:$Z$198,2*(ROWS($L$116:L116)-1)+1),0)</f>
        <v>0</v>
      </c>
      <c r="AF116" s="277">
        <f>INDEX('M04-S05'!$S$16:$S$198,2*(ROWS($AF$116:AF116)-1)+1)</f>
        <v>0</v>
      </c>
      <c r="AG116" s="277">
        <f>INDEX('M04-S05'!$AB$16:$AB$198,2*(ROWS($AG$116:AG116)-1)+1)</f>
        <v>0</v>
      </c>
      <c r="AH116" s="277" t="str">
        <f>IFERROR(AF116/AO116,"")</f>
        <v/>
      </c>
      <c r="AI116" s="277" t="str">
        <f>IFERROR(AG116/L116,"")</f>
        <v/>
      </c>
      <c r="AJ116" s="107" t="str">
        <f>IFERROR(O116/M116,"")</f>
        <v/>
      </c>
      <c r="AK116" s="107" t="str">
        <f>IFERROR(O116/N116,"")</f>
        <v/>
      </c>
      <c r="AL116" s="107" t="str">
        <f t="shared" si="47"/>
        <v/>
      </c>
      <c r="AM116" s="107" t="str">
        <f>INDEX('M04-S05'!$AU$16:$AU$198,2*(ROWS($AM$116:AM116)-1)+1)</f>
        <v/>
      </c>
      <c r="AN116" s="107" t="str">
        <f>INDEX('M04-S05'!$BB$16:$BB$198,2*(ROWS($AN$116:AN116)-1)+1)</f>
        <v/>
      </c>
      <c r="AO116" s="277">
        <f>INDEX('M04-S05'!$Q$16:$Q$198,2*(ROWS($AO$116:AO116)-1)+1)</f>
        <v>0</v>
      </c>
      <c r="AP116" s="278"/>
      <c r="AQ116" s="278"/>
    </row>
    <row r="117" spans="1:43" x14ac:dyDescent="0.25">
      <c r="A117" s="118">
        <f t="shared" si="62"/>
        <v>0</v>
      </c>
      <c r="B117" s="118" t="str">
        <f t="shared" ref="B117:B130" si="64">IF(C117="","",CONCATENATE(ROW(),"-",C117))</f>
        <v/>
      </c>
      <c r="C117" s="118" t="str">
        <f>IF(J117&gt;0,INDEX('M04-S05'!$AY$16:$AY$198,2*(ROWS($C$116:C117)-1)+1),"")</f>
        <v/>
      </c>
      <c r="D117" s="63" t="s">
        <v>215</v>
      </c>
      <c r="E117" s="301" t="str">
        <f>IFERROR(INDEX('M04-S05'!$AW$16:$AW$198,2*(ROWS($E$116:E117)-1)+1),"")</f>
        <v/>
      </c>
      <c r="F117" s="278"/>
      <c r="G117" s="254"/>
      <c r="H117" s="107">
        <f>INDEX('M04-S05'!$AD$16:$AD$198,2*(ROWS($H$116:H117)-1)+1)</f>
        <v>0</v>
      </c>
      <c r="I117" s="107">
        <f>INDEX('M04-S05'!$AF$16:$AF$198,2*(ROWS($I$116:I117)-1)+1)</f>
        <v>0</v>
      </c>
      <c r="J117" s="107" t="str">
        <f>INDEX('M04-S05'!$AH$16:$AH$198,2*(ROWS($J$116:J117)-1)+1)</f>
        <v/>
      </c>
      <c r="K117" s="63" t="str">
        <f>IFERROR(INDEX(CMECOMPAIR[Cost Basis],MATCH(INDEX('M04-S05'!$F$16:$F$198,2*(ROWS($K$116:K117)-1)+1),CMECOMPAIR[Proj Desc 1],0)),"")</f>
        <v/>
      </c>
      <c r="L117" s="277">
        <f>IF(ISNUMBER(INDEX('M04-S05'!$AK$16:$AK$198,2*(ROWS($O$116:O117)-1)+1)),INDEX('M04-S05'!$Z$16:$Z$198,2*(ROWS($L$116:L117)-1)+1),0)</f>
        <v>0</v>
      </c>
      <c r="M117" s="277">
        <f>IFERROR(IF(ISNUMBER(INDEX('M04-S05'!$AK$16:$AK$198,2*(ROWS($O$116:O117)-1)+1)),INDEX('M04-S05'!$AO$16:$AO$198,2*(ROWS($M$116:M117)-1)+1),0),"")</f>
        <v>0</v>
      </c>
      <c r="N117" s="335">
        <f>IFERROR(IF(ISNUMBER(INDEX('M04-S05'!$AK$16:$AK$198,2*(ROWS($O$116:O117)-1)+1)),INDEX('M04-S05'!$AV$16:$AV$198,2*(ROWS($N$116:N117)-1)+1),0),"")</f>
        <v>0</v>
      </c>
      <c r="O117" s="107">
        <f>IF(ISNUMBER(INDEX('M04-S05'!$AK$16:$AK$198,2*(ROWS($O$116:O117)-1)+1)),INDEX('M04-S05'!$AK$16:$AK$198,2*(ROWS($O$116:O117)-1)+1),0)</f>
        <v>0</v>
      </c>
      <c r="P117" s="277" t="str">
        <f>IFERROR(IF(NOT(ISNUMBER(INDEX('M04-S05'!$AK$16:$AK$198,2*(ROWS($O$116:O117)-1)+1))),INDEX('M04-S05'!$AO$16:$AO$198,2*(ROWS($O$116:O117)-1)+1),0),"")</f>
        <v/>
      </c>
      <c r="Q117" s="335" t="str">
        <f>IFERROR(IF(NOT(ISNUMBER(INDEX('M04-S05'!$AK$16:$AK$198,2*(ROWS($O$116:O117)-1)+1))),INDEX('M04-S05'!$AV$16:$AV$198,2*(ROWS($O$116:O117)-1)+1),0),"")</f>
        <v/>
      </c>
      <c r="R117" s="63" t="str">
        <f>IFERROR(IF(NOT(ISNUMBER(INDEX('M04-S05'!$AK$16:$AK$198,2*(ROWS($O$116:O117)-1)+1))),INDEX(SPILLOVER[Spillover Reason],MATCH(INDEX('M04-S05'!$BC$16:$BC$198,2*(ROWS($O$116:O117)-1)+1),SPILLOVER[Spillover Text],0)),""),"")</f>
        <v>Not Eligible</v>
      </c>
      <c r="S117" s="283"/>
      <c r="T117" s="283"/>
      <c r="U117" s="277">
        <f>INDEX('M04-S05'!$B$16:$B$198,2*(ROWS($U$116:U117)-1)+1)</f>
        <v>2</v>
      </c>
      <c r="V117" s="254"/>
      <c r="W117" s="104">
        <f>INDEX('M04-S05'!$F$16:$F$198,2*(ROWS($W$116:W117)-1)+1)</f>
        <v>0</v>
      </c>
      <c r="X117" s="63">
        <f>INDEX('M04-S05'!$L$16:$L$198,2*(ROWS($X$116:X117)-1)+1)</f>
        <v>0</v>
      </c>
      <c r="Y117" s="63">
        <f>INDEX('M04-S05'!$U$16:$U$198,2*(ROWS($Y$116:Y117)-1)+1)</f>
        <v>0</v>
      </c>
      <c r="Z117" s="254"/>
      <c r="AA117" s="254"/>
      <c r="AB117" s="254"/>
      <c r="AC117" s="254"/>
      <c r="AD117" s="254"/>
      <c r="AE117" s="277">
        <f>IF(NOT(ISNUMBER(INDEX('M04-S05'!$AK$16:$AK$198,2*(ROWS($O$116:O117)-1)+1))),INDEX('M04-S05'!$Z$16:$Z$198,2*(ROWS($L$116:L117)-1)+1),0)</f>
        <v>0</v>
      </c>
      <c r="AF117" s="277">
        <f>INDEX('M04-S05'!$S$16:$S$198,2*(ROWS($AF$116:AF117)-1)+1)</f>
        <v>0</v>
      </c>
      <c r="AG117" s="277">
        <f>INDEX('M04-S05'!$AB$16:$AB$198,2*(ROWS($AG$116:AG117)-1)+1)</f>
        <v>0</v>
      </c>
      <c r="AH117" s="277" t="str">
        <f t="shared" ref="AH117:AH130" si="65">IFERROR(AF117/AO117,"")</f>
        <v/>
      </c>
      <c r="AI117" s="277" t="str">
        <f t="shared" ref="AI117:AI130" si="66">IFERROR(AG117/L117,"")</f>
        <v/>
      </c>
      <c r="AJ117" s="107" t="str">
        <f t="shared" ref="AJ117:AJ130" si="67">IFERROR(O117/M117,"")</f>
        <v/>
      </c>
      <c r="AK117" s="107" t="str">
        <f t="shared" ref="AK117:AK130" si="68">IFERROR(O117/N117,"")</f>
        <v/>
      </c>
      <c r="AL117" s="107" t="str">
        <f t="shared" ref="AL117:AL130" si="69">IFERROR(O117/L117,"")</f>
        <v/>
      </c>
      <c r="AM117" s="107" t="str">
        <f>INDEX('M04-S05'!$AU$16:$AU$198,2*(ROWS($AM$116:AM117)-1)+1)</f>
        <v/>
      </c>
      <c r="AN117" s="107" t="str">
        <f>INDEX('M04-S05'!$BB$16:$BB$198,2*(ROWS($AN$116:AN117)-1)+1)</f>
        <v/>
      </c>
      <c r="AO117" s="277">
        <f>INDEX('M04-S05'!$Q$16:$Q$198,2*(ROWS($AO$116:AO117)-1)+1)</f>
        <v>0</v>
      </c>
      <c r="AP117" s="278"/>
      <c r="AQ117" s="278"/>
    </row>
    <row r="118" spans="1:43" x14ac:dyDescent="0.25">
      <c r="A118" s="118">
        <f t="shared" si="62"/>
        <v>0</v>
      </c>
      <c r="B118" s="118" t="str">
        <f t="shared" si="64"/>
        <v/>
      </c>
      <c r="C118" s="118" t="str">
        <f>IF(J118&gt;0,INDEX('M04-S05'!$AY$16:$AY$198,2*(ROWS($C$116:C118)-1)+1),"")</f>
        <v/>
      </c>
      <c r="D118" s="63" t="s">
        <v>215</v>
      </c>
      <c r="E118" s="301" t="str">
        <f>IFERROR(INDEX('M04-S05'!$AW$16:$AW$198,2*(ROWS($E$116:E118)-1)+1),"")</f>
        <v/>
      </c>
      <c r="F118" s="278"/>
      <c r="G118" s="254"/>
      <c r="H118" s="107">
        <f>INDEX('M04-S05'!$AD$16:$AD$198,2*(ROWS($H$116:H118)-1)+1)</f>
        <v>0</v>
      </c>
      <c r="I118" s="107">
        <f>INDEX('M04-S05'!$AF$16:$AF$198,2*(ROWS($I$116:I118)-1)+1)</f>
        <v>0</v>
      </c>
      <c r="J118" s="107" t="str">
        <f>INDEX('M04-S05'!$AH$16:$AH$198,2*(ROWS($J$116:J118)-1)+1)</f>
        <v/>
      </c>
      <c r="K118" s="63" t="str">
        <f>IFERROR(INDEX(CMECOMPAIR[Cost Basis],MATCH(INDEX('M04-S05'!$F$16:$F$198,2*(ROWS($K$116:K118)-1)+1),CMECOMPAIR[Proj Desc 1],0)),"")</f>
        <v/>
      </c>
      <c r="L118" s="277">
        <f>IF(ISNUMBER(INDEX('M04-S05'!$AK$16:$AK$198,2*(ROWS($O$116:O118)-1)+1)),INDEX('M04-S05'!$Z$16:$Z$198,2*(ROWS($L$116:L118)-1)+1),0)</f>
        <v>0</v>
      </c>
      <c r="M118" s="277">
        <f>IFERROR(IF(ISNUMBER(INDEX('M04-S05'!$AK$16:$AK$198,2*(ROWS($O$116:O118)-1)+1)),INDEX('M04-S05'!$AO$16:$AO$198,2*(ROWS($M$116:M118)-1)+1),0),"")</f>
        <v>0</v>
      </c>
      <c r="N118" s="335">
        <f>IFERROR(IF(ISNUMBER(INDEX('M04-S05'!$AK$16:$AK$198,2*(ROWS($O$116:O118)-1)+1)),INDEX('M04-S05'!$AV$16:$AV$198,2*(ROWS($N$116:N118)-1)+1),0),"")</f>
        <v>0</v>
      </c>
      <c r="O118" s="107">
        <f>IF(ISNUMBER(INDEX('M04-S05'!$AK$16:$AK$198,2*(ROWS($O$116:O118)-1)+1)),INDEX('M04-S05'!$AK$16:$AK$198,2*(ROWS($O$116:O118)-1)+1),0)</f>
        <v>0</v>
      </c>
      <c r="P118" s="277" t="str">
        <f>IFERROR(IF(NOT(ISNUMBER(INDEX('M04-S05'!$AK$16:$AK$198,2*(ROWS($O$116:O118)-1)+1))),INDEX('M04-S05'!$AO$16:$AO$198,2*(ROWS($O$116:O118)-1)+1),0),"")</f>
        <v/>
      </c>
      <c r="Q118" s="335" t="str">
        <f>IFERROR(IF(NOT(ISNUMBER(INDEX('M04-S05'!$AK$16:$AK$198,2*(ROWS($O$116:O118)-1)+1))),INDEX('M04-S05'!$AV$16:$AV$198,2*(ROWS($O$116:O118)-1)+1),0),"")</f>
        <v/>
      </c>
      <c r="R118" s="63" t="str">
        <f>IFERROR(IF(NOT(ISNUMBER(INDEX('M04-S05'!$AK$16:$AK$198,2*(ROWS($O$116:O118)-1)+1))),INDEX(SPILLOVER[Spillover Reason],MATCH(INDEX('M04-S05'!$BC$16:$BC$198,2*(ROWS($O$116:O118)-1)+1),SPILLOVER[Spillover Text],0)),""),"")</f>
        <v>Not Eligible</v>
      </c>
      <c r="S118" s="283"/>
      <c r="T118" s="283"/>
      <c r="U118" s="277">
        <f>INDEX('M04-S05'!$B$16:$B$198,2*(ROWS($U$116:U118)-1)+1)</f>
        <v>3</v>
      </c>
      <c r="V118" s="254"/>
      <c r="W118" s="104">
        <f>INDEX('M04-S05'!$F$16:$F$198,2*(ROWS($W$116:W118)-1)+1)</f>
        <v>0</v>
      </c>
      <c r="X118" s="63">
        <f>INDEX('M04-S05'!$L$16:$L$198,2*(ROWS($X$116:X118)-1)+1)</f>
        <v>0</v>
      </c>
      <c r="Y118" s="63">
        <f>INDEX('M04-S05'!$U$16:$U$198,2*(ROWS($Y$116:Y118)-1)+1)</f>
        <v>0</v>
      </c>
      <c r="Z118" s="254"/>
      <c r="AA118" s="254"/>
      <c r="AB118" s="254"/>
      <c r="AC118" s="254"/>
      <c r="AD118" s="254"/>
      <c r="AE118" s="277">
        <f>IF(NOT(ISNUMBER(INDEX('M04-S05'!$AK$16:$AK$198,2*(ROWS($O$116:O118)-1)+1))),INDEX('M04-S05'!$Z$16:$Z$198,2*(ROWS($L$116:L118)-1)+1),0)</f>
        <v>0</v>
      </c>
      <c r="AF118" s="277">
        <f>INDEX('M04-S05'!$S$16:$S$198,2*(ROWS($AF$116:AF118)-1)+1)</f>
        <v>0</v>
      </c>
      <c r="AG118" s="277">
        <f>INDEX('M04-S05'!$AB$16:$AB$198,2*(ROWS($AG$116:AG118)-1)+1)</f>
        <v>0</v>
      </c>
      <c r="AH118" s="277" t="str">
        <f t="shared" si="65"/>
        <v/>
      </c>
      <c r="AI118" s="277" t="str">
        <f t="shared" si="66"/>
        <v/>
      </c>
      <c r="AJ118" s="107" t="str">
        <f t="shared" si="67"/>
        <v/>
      </c>
      <c r="AK118" s="107" t="str">
        <f t="shared" si="68"/>
        <v/>
      </c>
      <c r="AL118" s="107" t="str">
        <f t="shared" si="69"/>
        <v/>
      </c>
      <c r="AM118" s="107" t="str">
        <f>INDEX('M04-S05'!$AU$16:$AU$198,2*(ROWS($AM$116:AM118)-1)+1)</f>
        <v/>
      </c>
      <c r="AN118" s="107" t="str">
        <f>INDEX('M04-S05'!$BB$16:$BB$198,2*(ROWS($AN$116:AN118)-1)+1)</f>
        <v/>
      </c>
      <c r="AO118" s="277">
        <f>INDEX('M04-S05'!$Q$16:$Q$198,2*(ROWS($AO$116:AO118)-1)+1)</f>
        <v>0</v>
      </c>
      <c r="AP118" s="278"/>
      <c r="AQ118" s="278"/>
    </row>
    <row r="119" spans="1:43" x14ac:dyDescent="0.25">
      <c r="A119" s="118">
        <f t="shared" si="62"/>
        <v>0</v>
      </c>
      <c r="B119" s="118" t="str">
        <f t="shared" si="64"/>
        <v/>
      </c>
      <c r="C119" s="118" t="str">
        <f>IF(J119&gt;0,INDEX('M04-S05'!$AY$16:$AY$198,2*(ROWS($C$116:C119)-1)+1),"")</f>
        <v/>
      </c>
      <c r="D119" s="63" t="s">
        <v>215</v>
      </c>
      <c r="E119" s="301" t="str">
        <f>IFERROR(INDEX('M04-S05'!$AW$16:$AW$198,2*(ROWS($E$116:E119)-1)+1),"")</f>
        <v/>
      </c>
      <c r="F119" s="278"/>
      <c r="G119" s="254"/>
      <c r="H119" s="107">
        <f>INDEX('M04-S05'!$AD$16:$AD$198,2*(ROWS($H$116:H119)-1)+1)</f>
        <v>0</v>
      </c>
      <c r="I119" s="107">
        <f>INDEX('M04-S05'!$AF$16:$AF$198,2*(ROWS($I$116:I119)-1)+1)</f>
        <v>0</v>
      </c>
      <c r="J119" s="107" t="str">
        <f>INDEX('M04-S05'!$AH$16:$AH$198,2*(ROWS($J$116:J119)-1)+1)</f>
        <v/>
      </c>
      <c r="K119" s="63" t="str">
        <f>IFERROR(INDEX(CMECOMPAIR[Cost Basis],MATCH(INDEX('M04-S05'!$F$16:$F$198,2*(ROWS($K$116:K119)-1)+1),CMECOMPAIR[Proj Desc 1],0)),"")</f>
        <v/>
      </c>
      <c r="L119" s="277">
        <f>IF(ISNUMBER(INDEX('M04-S05'!$AK$16:$AK$198,2*(ROWS($O$116:O119)-1)+1)),INDEX('M04-S05'!$Z$16:$Z$198,2*(ROWS($L$116:L119)-1)+1),0)</f>
        <v>0</v>
      </c>
      <c r="M119" s="277">
        <f>IFERROR(IF(ISNUMBER(INDEX('M04-S05'!$AK$16:$AK$198,2*(ROWS($O$116:O119)-1)+1)),INDEX('M04-S05'!$AO$16:$AO$198,2*(ROWS($M$116:M119)-1)+1),0),"")</f>
        <v>0</v>
      </c>
      <c r="N119" s="335">
        <f>IFERROR(IF(ISNUMBER(INDEX('M04-S05'!$AK$16:$AK$198,2*(ROWS($O$116:O119)-1)+1)),INDEX('M04-S05'!$AV$16:$AV$198,2*(ROWS($N$116:N119)-1)+1),0),"")</f>
        <v>0</v>
      </c>
      <c r="O119" s="107">
        <f>IF(ISNUMBER(INDEX('M04-S05'!$AK$16:$AK$198,2*(ROWS($O$116:O119)-1)+1)),INDEX('M04-S05'!$AK$16:$AK$198,2*(ROWS($O$116:O119)-1)+1),0)</f>
        <v>0</v>
      </c>
      <c r="P119" s="277" t="str">
        <f>IFERROR(IF(NOT(ISNUMBER(INDEX('M04-S05'!$AK$16:$AK$198,2*(ROWS($O$116:O119)-1)+1))),INDEX('M04-S05'!$AO$16:$AO$198,2*(ROWS($O$116:O119)-1)+1),0),"")</f>
        <v/>
      </c>
      <c r="Q119" s="335" t="str">
        <f>IFERROR(IF(NOT(ISNUMBER(INDEX('M04-S05'!$AK$16:$AK$198,2*(ROWS($O$116:O119)-1)+1))),INDEX('M04-S05'!$AV$16:$AV$198,2*(ROWS($O$116:O119)-1)+1),0),"")</f>
        <v/>
      </c>
      <c r="R119" s="63" t="str">
        <f>IFERROR(IF(NOT(ISNUMBER(INDEX('M04-S05'!$AK$16:$AK$198,2*(ROWS($O$116:O119)-1)+1))),INDEX(SPILLOVER[Spillover Reason],MATCH(INDEX('M04-S05'!$BC$16:$BC$198,2*(ROWS($O$116:O119)-1)+1),SPILLOVER[Spillover Text],0)),""),"")</f>
        <v>Not Eligible</v>
      </c>
      <c r="S119" s="283"/>
      <c r="T119" s="283"/>
      <c r="U119" s="277">
        <f>INDEX('M04-S05'!$B$16:$B$198,2*(ROWS($U$116:U119)-1)+1)</f>
        <v>4</v>
      </c>
      <c r="V119" s="254"/>
      <c r="W119" s="104">
        <f>INDEX('M04-S05'!$F$16:$F$198,2*(ROWS($W$116:W119)-1)+1)</f>
        <v>0</v>
      </c>
      <c r="X119" s="63">
        <f>INDEX('M04-S05'!$L$16:$L$198,2*(ROWS($X$116:X119)-1)+1)</f>
        <v>0</v>
      </c>
      <c r="Y119" s="63">
        <f>INDEX('M04-S05'!$U$16:$U$198,2*(ROWS($Y$116:Y119)-1)+1)</f>
        <v>0</v>
      </c>
      <c r="Z119" s="254"/>
      <c r="AA119" s="254"/>
      <c r="AB119" s="254"/>
      <c r="AC119" s="254"/>
      <c r="AD119" s="254"/>
      <c r="AE119" s="277">
        <f>IF(NOT(ISNUMBER(INDEX('M04-S05'!$AK$16:$AK$198,2*(ROWS($O$116:O119)-1)+1))),INDEX('M04-S05'!$Z$16:$Z$198,2*(ROWS($L$116:L119)-1)+1),0)</f>
        <v>0</v>
      </c>
      <c r="AF119" s="277">
        <f>INDEX('M04-S05'!$S$16:$S$198,2*(ROWS($AF$116:AF119)-1)+1)</f>
        <v>0</v>
      </c>
      <c r="AG119" s="277">
        <f>INDEX('M04-S05'!$AB$16:$AB$198,2*(ROWS($AG$116:AG119)-1)+1)</f>
        <v>0</v>
      </c>
      <c r="AH119" s="277" t="str">
        <f t="shared" si="65"/>
        <v/>
      </c>
      <c r="AI119" s="277" t="str">
        <f t="shared" si="66"/>
        <v/>
      </c>
      <c r="AJ119" s="107" t="str">
        <f t="shared" si="67"/>
        <v/>
      </c>
      <c r="AK119" s="107" t="str">
        <f t="shared" si="68"/>
        <v/>
      </c>
      <c r="AL119" s="107" t="str">
        <f t="shared" si="69"/>
        <v/>
      </c>
      <c r="AM119" s="107" t="str">
        <f>INDEX('M04-S05'!$AU$16:$AU$198,2*(ROWS($AM$116:AM119)-1)+1)</f>
        <v/>
      </c>
      <c r="AN119" s="107" t="str">
        <f>INDEX('M04-S05'!$BB$16:$BB$198,2*(ROWS($AN$116:AN119)-1)+1)</f>
        <v/>
      </c>
      <c r="AO119" s="277">
        <f>INDEX('M04-S05'!$Q$16:$Q$198,2*(ROWS($AO$116:AO119)-1)+1)</f>
        <v>0</v>
      </c>
      <c r="AP119" s="278"/>
      <c r="AQ119" s="278"/>
    </row>
    <row r="120" spans="1:43" x14ac:dyDescent="0.25">
      <c r="A120" s="118">
        <f t="shared" si="62"/>
        <v>0</v>
      </c>
      <c r="B120" s="118" t="str">
        <f t="shared" si="64"/>
        <v/>
      </c>
      <c r="C120" s="118" t="str">
        <f>IF(J120&gt;0,INDEX('M04-S05'!$AY$16:$AY$198,2*(ROWS($C$116:C120)-1)+1),"")</f>
        <v/>
      </c>
      <c r="D120" s="63" t="s">
        <v>215</v>
      </c>
      <c r="E120" s="301" t="str">
        <f>IFERROR(INDEX('M04-S05'!$AW$16:$AW$198,2*(ROWS($E$116:E120)-1)+1),"")</f>
        <v/>
      </c>
      <c r="F120" s="278"/>
      <c r="G120" s="254"/>
      <c r="H120" s="107">
        <f>INDEX('M04-S05'!$AD$16:$AD$198,2*(ROWS($H$116:H120)-1)+1)</f>
        <v>0</v>
      </c>
      <c r="I120" s="107">
        <f>INDEX('M04-S05'!$AF$16:$AF$198,2*(ROWS($I$116:I120)-1)+1)</f>
        <v>0</v>
      </c>
      <c r="J120" s="107" t="str">
        <f>INDEX('M04-S05'!$AH$16:$AH$198,2*(ROWS($J$116:J120)-1)+1)</f>
        <v/>
      </c>
      <c r="K120" s="63" t="str">
        <f>IFERROR(INDEX(CMECOMPAIR[Cost Basis],MATCH(INDEX('M04-S05'!$F$16:$F$198,2*(ROWS($K$116:K120)-1)+1),CMECOMPAIR[Proj Desc 1],0)),"")</f>
        <v/>
      </c>
      <c r="L120" s="277">
        <f>IF(ISNUMBER(INDEX('M04-S05'!$AK$16:$AK$198,2*(ROWS($O$116:O120)-1)+1)),INDEX('M04-S05'!$Z$16:$Z$198,2*(ROWS($L$116:L120)-1)+1),0)</f>
        <v>0</v>
      </c>
      <c r="M120" s="277">
        <f>IFERROR(IF(ISNUMBER(INDEX('M04-S05'!$AK$16:$AK$198,2*(ROWS($O$116:O120)-1)+1)),INDEX('M04-S05'!$AO$16:$AO$198,2*(ROWS($M$116:M120)-1)+1),0),"")</f>
        <v>0</v>
      </c>
      <c r="N120" s="335">
        <f>IFERROR(IF(ISNUMBER(INDEX('M04-S05'!$AK$16:$AK$198,2*(ROWS($O$116:O120)-1)+1)),INDEX('M04-S05'!$AV$16:$AV$198,2*(ROWS($N$116:N120)-1)+1),0),"")</f>
        <v>0</v>
      </c>
      <c r="O120" s="107">
        <f>IF(ISNUMBER(INDEX('M04-S05'!$AK$16:$AK$198,2*(ROWS($O$116:O120)-1)+1)),INDEX('M04-S05'!$AK$16:$AK$198,2*(ROWS($O$116:O120)-1)+1),0)</f>
        <v>0</v>
      </c>
      <c r="P120" s="277" t="str">
        <f>IFERROR(IF(NOT(ISNUMBER(INDEX('M04-S05'!$AK$16:$AK$198,2*(ROWS($O$116:O120)-1)+1))),INDEX('M04-S05'!$AO$16:$AO$198,2*(ROWS($O$116:O120)-1)+1),0),"")</f>
        <v/>
      </c>
      <c r="Q120" s="335" t="str">
        <f>IFERROR(IF(NOT(ISNUMBER(INDEX('M04-S05'!$AK$16:$AK$198,2*(ROWS($O$116:O120)-1)+1))),INDEX('M04-S05'!$AV$16:$AV$198,2*(ROWS($O$116:O120)-1)+1),0),"")</f>
        <v/>
      </c>
      <c r="R120" s="63" t="str">
        <f>IFERROR(IF(NOT(ISNUMBER(INDEX('M04-S05'!$AK$16:$AK$198,2*(ROWS($O$116:O120)-1)+1))),INDEX(SPILLOVER[Spillover Reason],MATCH(INDEX('M04-S05'!$BC$16:$BC$198,2*(ROWS($O$116:O120)-1)+1),SPILLOVER[Spillover Text],0)),""),"")</f>
        <v>Not Eligible</v>
      </c>
      <c r="S120" s="283"/>
      <c r="T120" s="283"/>
      <c r="U120" s="277">
        <f>INDEX('M04-S05'!$B$16:$B$198,2*(ROWS($U$116:U120)-1)+1)</f>
        <v>5</v>
      </c>
      <c r="V120" s="254"/>
      <c r="W120" s="104">
        <f>INDEX('M04-S05'!$F$16:$F$198,2*(ROWS($W$116:W120)-1)+1)</f>
        <v>0</v>
      </c>
      <c r="X120" s="63">
        <f>INDEX('M04-S05'!$L$16:$L$198,2*(ROWS($X$116:X120)-1)+1)</f>
        <v>0</v>
      </c>
      <c r="Y120" s="63">
        <f>INDEX('M04-S05'!$U$16:$U$198,2*(ROWS($Y$116:Y120)-1)+1)</f>
        <v>0</v>
      </c>
      <c r="Z120" s="254"/>
      <c r="AA120" s="254"/>
      <c r="AB120" s="254"/>
      <c r="AC120" s="254"/>
      <c r="AD120" s="254"/>
      <c r="AE120" s="277">
        <f>IF(NOT(ISNUMBER(INDEX('M04-S05'!$AK$16:$AK$198,2*(ROWS($O$116:O120)-1)+1))),INDEX('M04-S05'!$Z$16:$Z$198,2*(ROWS($L$116:L120)-1)+1),0)</f>
        <v>0</v>
      </c>
      <c r="AF120" s="277">
        <f>INDEX('M04-S05'!$S$16:$S$198,2*(ROWS($AF$116:AF120)-1)+1)</f>
        <v>0</v>
      </c>
      <c r="AG120" s="277">
        <f>INDEX('M04-S05'!$AB$16:$AB$198,2*(ROWS($AG$116:AG120)-1)+1)</f>
        <v>0</v>
      </c>
      <c r="AH120" s="277" t="str">
        <f t="shared" si="65"/>
        <v/>
      </c>
      <c r="AI120" s="277" t="str">
        <f t="shared" si="66"/>
        <v/>
      </c>
      <c r="AJ120" s="107" t="str">
        <f t="shared" si="67"/>
        <v/>
      </c>
      <c r="AK120" s="107" t="str">
        <f t="shared" si="68"/>
        <v/>
      </c>
      <c r="AL120" s="107" t="str">
        <f t="shared" si="69"/>
        <v/>
      </c>
      <c r="AM120" s="107" t="str">
        <f>INDEX('M04-S05'!$AU$16:$AU$198,2*(ROWS($AM$116:AM120)-1)+1)</f>
        <v/>
      </c>
      <c r="AN120" s="107" t="str">
        <f>INDEX('M04-S05'!$BB$16:$BB$198,2*(ROWS($AN$116:AN120)-1)+1)</f>
        <v/>
      </c>
      <c r="AO120" s="277">
        <f>INDEX('M04-S05'!$Q$16:$Q$198,2*(ROWS($AO$116:AO120)-1)+1)</f>
        <v>0</v>
      </c>
      <c r="AP120" s="278"/>
      <c r="AQ120" s="278"/>
    </row>
    <row r="121" spans="1:43" x14ac:dyDescent="0.25">
      <c r="A121" s="118">
        <f t="shared" si="62"/>
        <v>0</v>
      </c>
      <c r="B121" s="118" t="str">
        <f t="shared" si="64"/>
        <v/>
      </c>
      <c r="C121" s="118" t="str">
        <f>IF(J121&gt;0,INDEX('M04-S05'!$AY$16:$AY$198,2*(ROWS($C$116:C121)-1)+1),"")</f>
        <v/>
      </c>
      <c r="D121" s="63" t="s">
        <v>215</v>
      </c>
      <c r="E121" s="301" t="str">
        <f>IFERROR(INDEX('M04-S05'!$AW$16:$AW$198,2*(ROWS($E$116:E121)-1)+1),"")</f>
        <v/>
      </c>
      <c r="F121" s="278"/>
      <c r="G121" s="254"/>
      <c r="H121" s="107">
        <f>INDEX('M04-S05'!$AD$16:$AD$198,2*(ROWS($H$116:H121)-1)+1)</f>
        <v>0</v>
      </c>
      <c r="I121" s="107">
        <f>INDEX('M04-S05'!$AF$16:$AF$198,2*(ROWS($I$116:I121)-1)+1)</f>
        <v>0</v>
      </c>
      <c r="J121" s="107" t="str">
        <f>INDEX('M04-S05'!$AH$16:$AH$198,2*(ROWS($J$116:J121)-1)+1)</f>
        <v/>
      </c>
      <c r="K121" s="63" t="str">
        <f>IFERROR(INDEX(CMECOMPAIR[Cost Basis],MATCH(INDEX('M04-S05'!$F$16:$F$198,2*(ROWS($K$116:K121)-1)+1),CMECOMPAIR[Proj Desc 1],0)),"")</f>
        <v/>
      </c>
      <c r="L121" s="277">
        <f>IF(ISNUMBER(INDEX('M04-S05'!$AK$16:$AK$198,2*(ROWS($O$116:O121)-1)+1)),INDEX('M04-S05'!$Z$16:$Z$198,2*(ROWS($L$116:L121)-1)+1),0)</f>
        <v>0</v>
      </c>
      <c r="M121" s="277">
        <f>IFERROR(IF(ISNUMBER(INDEX('M04-S05'!$AK$16:$AK$198,2*(ROWS($O$116:O121)-1)+1)),INDEX('M04-S05'!$AO$16:$AO$198,2*(ROWS($M$116:M121)-1)+1),0),"")</f>
        <v>0</v>
      </c>
      <c r="N121" s="335">
        <f>IFERROR(IF(ISNUMBER(INDEX('M04-S05'!$AK$16:$AK$198,2*(ROWS($O$116:O121)-1)+1)),INDEX('M04-S05'!$AV$16:$AV$198,2*(ROWS($N$116:N121)-1)+1),0),"")</f>
        <v>0</v>
      </c>
      <c r="O121" s="107">
        <f>IF(ISNUMBER(INDEX('M04-S05'!$AK$16:$AK$198,2*(ROWS($O$116:O121)-1)+1)),INDEX('M04-S05'!$AK$16:$AK$198,2*(ROWS($O$116:O121)-1)+1),0)</f>
        <v>0</v>
      </c>
      <c r="P121" s="277" t="str">
        <f>IFERROR(IF(NOT(ISNUMBER(INDEX('M04-S05'!$AK$16:$AK$198,2*(ROWS($O$116:O121)-1)+1))),INDEX('M04-S05'!$AO$16:$AO$198,2*(ROWS($O$116:O121)-1)+1),0),"")</f>
        <v/>
      </c>
      <c r="Q121" s="335" t="str">
        <f>IFERROR(IF(NOT(ISNUMBER(INDEX('M04-S05'!$AK$16:$AK$198,2*(ROWS($O$116:O121)-1)+1))),INDEX('M04-S05'!$AV$16:$AV$198,2*(ROWS($O$116:O121)-1)+1),0),"")</f>
        <v/>
      </c>
      <c r="R121" s="63" t="str">
        <f>IFERROR(IF(NOT(ISNUMBER(INDEX('M04-S05'!$AK$16:$AK$198,2*(ROWS($O$116:O121)-1)+1))),INDEX(SPILLOVER[Spillover Reason],MATCH(INDEX('M04-S05'!$BC$16:$BC$198,2*(ROWS($O$116:O121)-1)+1),SPILLOVER[Spillover Text],0)),""),"")</f>
        <v>Not Eligible</v>
      </c>
      <c r="S121" s="283"/>
      <c r="T121" s="283"/>
      <c r="U121" s="277">
        <f>INDEX('M04-S05'!$B$16:$B$198,2*(ROWS($U$116:U121)-1)+1)</f>
        <v>6</v>
      </c>
      <c r="V121" s="254"/>
      <c r="W121" s="104">
        <f>INDEX('M04-S05'!$F$16:$F$198,2*(ROWS($W$116:W121)-1)+1)</f>
        <v>0</v>
      </c>
      <c r="X121" s="63">
        <f>INDEX('M04-S05'!$L$16:$L$198,2*(ROWS($X$116:X121)-1)+1)</f>
        <v>0</v>
      </c>
      <c r="Y121" s="63">
        <f>INDEX('M04-S05'!$U$16:$U$198,2*(ROWS($Y$116:Y121)-1)+1)</f>
        <v>0</v>
      </c>
      <c r="Z121" s="254"/>
      <c r="AA121" s="254"/>
      <c r="AB121" s="254"/>
      <c r="AC121" s="254"/>
      <c r="AD121" s="254"/>
      <c r="AE121" s="277">
        <f>IF(NOT(ISNUMBER(INDEX('M04-S05'!$AK$16:$AK$198,2*(ROWS($O$116:O121)-1)+1))),INDEX('M04-S05'!$Z$16:$Z$198,2*(ROWS($L$116:L121)-1)+1),0)</f>
        <v>0</v>
      </c>
      <c r="AF121" s="277">
        <f>INDEX('M04-S05'!$S$16:$S$198,2*(ROWS($AF$116:AF121)-1)+1)</f>
        <v>0</v>
      </c>
      <c r="AG121" s="277">
        <f>INDEX('M04-S05'!$AB$16:$AB$198,2*(ROWS($AG$116:AG121)-1)+1)</f>
        <v>0</v>
      </c>
      <c r="AH121" s="277" t="str">
        <f t="shared" si="65"/>
        <v/>
      </c>
      <c r="AI121" s="277" t="str">
        <f t="shared" si="66"/>
        <v/>
      </c>
      <c r="AJ121" s="107" t="str">
        <f t="shared" si="67"/>
        <v/>
      </c>
      <c r="AK121" s="107" t="str">
        <f t="shared" si="68"/>
        <v/>
      </c>
      <c r="AL121" s="107" t="str">
        <f t="shared" si="69"/>
        <v/>
      </c>
      <c r="AM121" s="107" t="str">
        <f>INDEX('M04-S05'!$AU$16:$AU$198,2*(ROWS($AM$116:AM121)-1)+1)</f>
        <v/>
      </c>
      <c r="AN121" s="107" t="str">
        <f>INDEX('M04-S05'!$BB$16:$BB$198,2*(ROWS($AN$116:AN121)-1)+1)</f>
        <v/>
      </c>
      <c r="AO121" s="277">
        <f>INDEX('M04-S05'!$Q$16:$Q$198,2*(ROWS($AO$116:AO121)-1)+1)</f>
        <v>0</v>
      </c>
      <c r="AP121" s="278"/>
      <c r="AQ121" s="278"/>
    </row>
    <row r="122" spans="1:43" x14ac:dyDescent="0.25">
      <c r="A122" s="118">
        <f t="shared" si="62"/>
        <v>0</v>
      </c>
      <c r="B122" s="118" t="str">
        <f t="shared" si="64"/>
        <v/>
      </c>
      <c r="C122" s="118" t="str">
        <f>IF(J122&gt;0,INDEX('M04-S05'!$AY$16:$AY$198,2*(ROWS($C$116:C122)-1)+1),"")</f>
        <v/>
      </c>
      <c r="D122" s="63" t="s">
        <v>215</v>
      </c>
      <c r="E122" s="301" t="str">
        <f>IFERROR(INDEX('M04-S05'!$AW$16:$AW$198,2*(ROWS($E$116:E122)-1)+1),"")</f>
        <v/>
      </c>
      <c r="F122" s="278"/>
      <c r="G122" s="254"/>
      <c r="H122" s="107">
        <f>INDEX('M04-S05'!$AD$16:$AD$198,2*(ROWS($H$116:H122)-1)+1)</f>
        <v>0</v>
      </c>
      <c r="I122" s="107">
        <f>INDEX('M04-S05'!$AF$16:$AF$198,2*(ROWS($I$116:I122)-1)+1)</f>
        <v>0</v>
      </c>
      <c r="J122" s="107" t="str">
        <f>INDEX('M04-S05'!$AH$16:$AH$198,2*(ROWS($J$116:J122)-1)+1)</f>
        <v/>
      </c>
      <c r="K122" s="63" t="str">
        <f>IFERROR(INDEX(CMECOMPAIR[Cost Basis],MATCH(INDEX('M04-S05'!$F$16:$F$198,2*(ROWS($K$116:K122)-1)+1),CMECOMPAIR[Proj Desc 1],0)),"")</f>
        <v/>
      </c>
      <c r="L122" s="277">
        <f>IF(ISNUMBER(INDEX('M04-S05'!$AK$16:$AK$198,2*(ROWS($O$116:O122)-1)+1)),INDEX('M04-S05'!$Z$16:$Z$198,2*(ROWS($L$116:L122)-1)+1),0)</f>
        <v>0</v>
      </c>
      <c r="M122" s="277">
        <f>IFERROR(IF(ISNUMBER(INDEX('M04-S05'!$AK$16:$AK$198,2*(ROWS($O$116:O122)-1)+1)),INDEX('M04-S05'!$AO$16:$AO$198,2*(ROWS($M$116:M122)-1)+1),0),"")</f>
        <v>0</v>
      </c>
      <c r="N122" s="335">
        <f>IFERROR(IF(ISNUMBER(INDEX('M04-S05'!$AK$16:$AK$198,2*(ROWS($O$116:O122)-1)+1)),INDEX('M04-S05'!$AV$16:$AV$198,2*(ROWS($N$116:N122)-1)+1),0),"")</f>
        <v>0</v>
      </c>
      <c r="O122" s="107">
        <f>IF(ISNUMBER(INDEX('M04-S05'!$AK$16:$AK$198,2*(ROWS($O$116:O122)-1)+1)),INDEX('M04-S05'!$AK$16:$AK$198,2*(ROWS($O$116:O122)-1)+1),0)</f>
        <v>0</v>
      </c>
      <c r="P122" s="277" t="str">
        <f>IFERROR(IF(NOT(ISNUMBER(INDEX('M04-S05'!$AK$16:$AK$198,2*(ROWS($O$116:O122)-1)+1))),INDEX('M04-S05'!$AO$16:$AO$198,2*(ROWS($O$116:O122)-1)+1),0),"")</f>
        <v/>
      </c>
      <c r="Q122" s="335" t="str">
        <f>IFERROR(IF(NOT(ISNUMBER(INDEX('M04-S05'!$AK$16:$AK$198,2*(ROWS($O$116:O122)-1)+1))),INDEX('M04-S05'!$AV$16:$AV$198,2*(ROWS($O$116:O122)-1)+1),0),"")</f>
        <v/>
      </c>
      <c r="R122" s="63" t="str">
        <f>IFERROR(IF(NOT(ISNUMBER(INDEX('M04-S05'!$AK$16:$AK$198,2*(ROWS($O$116:O122)-1)+1))),INDEX(SPILLOVER[Spillover Reason],MATCH(INDEX('M04-S05'!$BC$16:$BC$198,2*(ROWS($O$116:O122)-1)+1),SPILLOVER[Spillover Text],0)),""),"")</f>
        <v>Not Eligible</v>
      </c>
      <c r="S122" s="283"/>
      <c r="T122" s="283"/>
      <c r="U122" s="277">
        <f>INDEX('M04-S05'!$B$16:$B$198,2*(ROWS($U$116:U122)-1)+1)</f>
        <v>7</v>
      </c>
      <c r="V122" s="254"/>
      <c r="W122" s="104">
        <f>INDEX('M04-S05'!$F$16:$F$198,2*(ROWS($W$116:W122)-1)+1)</f>
        <v>0</v>
      </c>
      <c r="X122" s="63">
        <f>INDEX('M04-S05'!$L$16:$L$198,2*(ROWS($X$116:X122)-1)+1)</f>
        <v>0</v>
      </c>
      <c r="Y122" s="63">
        <f>INDEX('M04-S05'!$U$16:$U$198,2*(ROWS($Y$116:Y122)-1)+1)</f>
        <v>0</v>
      </c>
      <c r="Z122" s="254"/>
      <c r="AA122" s="254"/>
      <c r="AB122" s="254"/>
      <c r="AC122" s="254"/>
      <c r="AD122" s="254"/>
      <c r="AE122" s="277">
        <f>IF(NOT(ISNUMBER(INDEX('M04-S05'!$AK$16:$AK$198,2*(ROWS($O$116:O122)-1)+1))),INDEX('M04-S05'!$Z$16:$Z$198,2*(ROWS($L$116:L122)-1)+1),0)</f>
        <v>0</v>
      </c>
      <c r="AF122" s="277">
        <f>INDEX('M04-S05'!$S$16:$S$198,2*(ROWS($AF$116:AF122)-1)+1)</f>
        <v>0</v>
      </c>
      <c r="AG122" s="277">
        <f>INDEX('M04-S05'!$AB$16:$AB$198,2*(ROWS($AG$116:AG122)-1)+1)</f>
        <v>0</v>
      </c>
      <c r="AH122" s="277" t="str">
        <f t="shared" si="65"/>
        <v/>
      </c>
      <c r="AI122" s="277" t="str">
        <f t="shared" si="66"/>
        <v/>
      </c>
      <c r="AJ122" s="107" t="str">
        <f t="shared" si="67"/>
        <v/>
      </c>
      <c r="AK122" s="107" t="str">
        <f t="shared" si="68"/>
        <v/>
      </c>
      <c r="AL122" s="107" t="str">
        <f t="shared" si="69"/>
        <v/>
      </c>
      <c r="AM122" s="107" t="str">
        <f>INDEX('M04-S05'!$AU$16:$AU$198,2*(ROWS($AM$116:AM122)-1)+1)</f>
        <v/>
      </c>
      <c r="AN122" s="107" t="str">
        <f>INDEX('M04-S05'!$BB$16:$BB$198,2*(ROWS($AN$116:AN122)-1)+1)</f>
        <v/>
      </c>
      <c r="AO122" s="277">
        <f>INDEX('M04-S05'!$Q$16:$Q$198,2*(ROWS($AO$116:AO122)-1)+1)</f>
        <v>0</v>
      </c>
      <c r="AP122" s="278"/>
      <c r="AQ122" s="278"/>
    </row>
    <row r="123" spans="1:43" x14ac:dyDescent="0.25">
      <c r="A123" s="118">
        <f t="shared" si="62"/>
        <v>0</v>
      </c>
      <c r="B123" s="118" t="str">
        <f t="shared" si="64"/>
        <v/>
      </c>
      <c r="C123" s="118" t="str">
        <f>IF(J123&gt;0,INDEX('M04-S05'!$AY$16:$AY$198,2*(ROWS($C$116:C123)-1)+1),"")</f>
        <v/>
      </c>
      <c r="D123" s="63" t="s">
        <v>215</v>
      </c>
      <c r="E123" s="301" t="str">
        <f>IFERROR(INDEX('M04-S05'!$AW$16:$AW$198,2*(ROWS($E$116:E123)-1)+1),"")</f>
        <v/>
      </c>
      <c r="F123" s="278"/>
      <c r="G123" s="254"/>
      <c r="H123" s="107">
        <f>INDEX('M04-S05'!$AD$16:$AD$198,2*(ROWS($H$116:H123)-1)+1)</f>
        <v>0</v>
      </c>
      <c r="I123" s="107">
        <f>INDEX('M04-S05'!$AF$16:$AF$198,2*(ROWS($I$116:I123)-1)+1)</f>
        <v>0</v>
      </c>
      <c r="J123" s="107" t="str">
        <f>INDEX('M04-S05'!$AH$16:$AH$198,2*(ROWS($J$116:J123)-1)+1)</f>
        <v/>
      </c>
      <c r="K123" s="63" t="str">
        <f>IFERROR(INDEX(CMECOMPAIR[Cost Basis],MATCH(INDEX('M04-S05'!$F$16:$F$198,2*(ROWS($K$116:K123)-1)+1),CMECOMPAIR[Proj Desc 1],0)),"")</f>
        <v/>
      </c>
      <c r="L123" s="277">
        <f>IF(ISNUMBER(INDEX('M04-S05'!$AK$16:$AK$198,2*(ROWS($O$116:O123)-1)+1)),INDEX('M04-S05'!$Z$16:$Z$198,2*(ROWS($L$116:L123)-1)+1),0)</f>
        <v>0</v>
      </c>
      <c r="M123" s="277">
        <f>IFERROR(IF(ISNUMBER(INDEX('M04-S05'!$AK$16:$AK$198,2*(ROWS($O$116:O123)-1)+1)),INDEX('M04-S05'!$AO$16:$AO$198,2*(ROWS($M$116:M123)-1)+1),0),"")</f>
        <v>0</v>
      </c>
      <c r="N123" s="335">
        <f>IFERROR(IF(ISNUMBER(INDEX('M04-S05'!$AK$16:$AK$198,2*(ROWS($O$116:O123)-1)+1)),INDEX('M04-S05'!$AV$16:$AV$198,2*(ROWS($N$116:N123)-1)+1),0),"")</f>
        <v>0</v>
      </c>
      <c r="O123" s="107">
        <f>IF(ISNUMBER(INDEX('M04-S05'!$AK$16:$AK$198,2*(ROWS($O$116:O123)-1)+1)),INDEX('M04-S05'!$AK$16:$AK$198,2*(ROWS($O$116:O123)-1)+1),0)</f>
        <v>0</v>
      </c>
      <c r="P123" s="277" t="str">
        <f>IFERROR(IF(NOT(ISNUMBER(INDEX('M04-S05'!$AK$16:$AK$198,2*(ROWS($O$116:O123)-1)+1))),INDEX('M04-S05'!$AO$16:$AO$198,2*(ROWS($O$116:O123)-1)+1),0),"")</f>
        <v/>
      </c>
      <c r="Q123" s="335" t="str">
        <f>IFERROR(IF(NOT(ISNUMBER(INDEX('M04-S05'!$AK$16:$AK$198,2*(ROWS($O$116:O123)-1)+1))),INDEX('M04-S05'!$AV$16:$AV$198,2*(ROWS($O$116:O123)-1)+1),0),"")</f>
        <v/>
      </c>
      <c r="R123" s="63" t="str">
        <f>IFERROR(IF(NOT(ISNUMBER(INDEX('M04-S05'!$AK$16:$AK$198,2*(ROWS($O$116:O123)-1)+1))),INDEX(SPILLOVER[Spillover Reason],MATCH(INDEX('M04-S05'!$BC$16:$BC$198,2*(ROWS($O$116:O123)-1)+1),SPILLOVER[Spillover Text],0)),""),"")</f>
        <v>Not Eligible</v>
      </c>
      <c r="S123" s="283"/>
      <c r="T123" s="283"/>
      <c r="U123" s="277">
        <f>INDEX('M04-S05'!$B$16:$B$198,2*(ROWS($U$116:U123)-1)+1)</f>
        <v>8</v>
      </c>
      <c r="V123" s="254"/>
      <c r="W123" s="104">
        <f>INDEX('M04-S05'!$F$16:$F$198,2*(ROWS($W$116:W123)-1)+1)</f>
        <v>0</v>
      </c>
      <c r="X123" s="63">
        <f>INDEX('M04-S05'!$L$16:$L$198,2*(ROWS($X$116:X123)-1)+1)</f>
        <v>0</v>
      </c>
      <c r="Y123" s="63">
        <f>INDEX('M04-S05'!$U$16:$U$198,2*(ROWS($Y$116:Y123)-1)+1)</f>
        <v>0</v>
      </c>
      <c r="Z123" s="254"/>
      <c r="AA123" s="254"/>
      <c r="AB123" s="254"/>
      <c r="AC123" s="254"/>
      <c r="AD123" s="254"/>
      <c r="AE123" s="277">
        <f>IF(NOT(ISNUMBER(INDEX('M04-S05'!$AK$16:$AK$198,2*(ROWS($O$116:O123)-1)+1))),INDEX('M04-S05'!$Z$16:$Z$198,2*(ROWS($L$116:L123)-1)+1),0)</f>
        <v>0</v>
      </c>
      <c r="AF123" s="277">
        <f>INDEX('M04-S05'!$S$16:$S$198,2*(ROWS($AF$116:AF123)-1)+1)</f>
        <v>0</v>
      </c>
      <c r="AG123" s="277">
        <f>INDEX('M04-S05'!$AB$16:$AB$198,2*(ROWS($AG$116:AG123)-1)+1)</f>
        <v>0</v>
      </c>
      <c r="AH123" s="277" t="str">
        <f t="shared" si="65"/>
        <v/>
      </c>
      <c r="AI123" s="277" t="str">
        <f t="shared" si="66"/>
        <v/>
      </c>
      <c r="AJ123" s="107" t="str">
        <f t="shared" si="67"/>
        <v/>
      </c>
      <c r="AK123" s="107" t="str">
        <f t="shared" si="68"/>
        <v/>
      </c>
      <c r="AL123" s="107" t="str">
        <f t="shared" si="69"/>
        <v/>
      </c>
      <c r="AM123" s="107" t="str">
        <f>INDEX('M04-S05'!$AU$16:$AU$198,2*(ROWS($AM$116:AM123)-1)+1)</f>
        <v/>
      </c>
      <c r="AN123" s="107" t="str">
        <f>INDEX('M04-S05'!$BB$16:$BB$198,2*(ROWS($AN$116:AN123)-1)+1)</f>
        <v/>
      </c>
      <c r="AO123" s="277">
        <f>INDEX('M04-S05'!$Q$16:$Q$198,2*(ROWS($AO$116:AO123)-1)+1)</f>
        <v>0</v>
      </c>
      <c r="AP123" s="278"/>
      <c r="AQ123" s="278"/>
    </row>
    <row r="124" spans="1:43" x14ac:dyDescent="0.25">
      <c r="A124" s="118">
        <f t="shared" si="62"/>
        <v>0</v>
      </c>
      <c r="B124" s="118" t="str">
        <f t="shared" si="64"/>
        <v/>
      </c>
      <c r="C124" s="118" t="str">
        <f>IF(J124&gt;0,INDEX('M04-S05'!$AY$16:$AY$198,2*(ROWS($C$116:C124)-1)+1),"")</f>
        <v/>
      </c>
      <c r="D124" s="63" t="s">
        <v>215</v>
      </c>
      <c r="E124" s="301" t="str">
        <f>IFERROR(INDEX('M04-S05'!$AW$16:$AW$198,2*(ROWS($E$116:E124)-1)+1),"")</f>
        <v/>
      </c>
      <c r="F124" s="278"/>
      <c r="G124" s="254"/>
      <c r="H124" s="107">
        <f>INDEX('M04-S05'!$AD$16:$AD$198,2*(ROWS($H$116:H124)-1)+1)</f>
        <v>0</v>
      </c>
      <c r="I124" s="107">
        <f>INDEX('M04-S05'!$AF$16:$AF$198,2*(ROWS($I$116:I124)-1)+1)</f>
        <v>0</v>
      </c>
      <c r="J124" s="107" t="str">
        <f>INDEX('M04-S05'!$AH$16:$AH$198,2*(ROWS($J$116:J124)-1)+1)</f>
        <v/>
      </c>
      <c r="K124" s="63" t="str">
        <f>IFERROR(INDEX(CMECOMPAIR[Cost Basis],MATCH(INDEX('M04-S05'!$F$16:$F$198,2*(ROWS($K$116:K124)-1)+1),CMECOMPAIR[Proj Desc 1],0)),"")</f>
        <v/>
      </c>
      <c r="L124" s="277">
        <f>IF(ISNUMBER(INDEX('M04-S05'!$AK$16:$AK$198,2*(ROWS($O$116:O124)-1)+1)),INDEX('M04-S05'!$Z$16:$Z$198,2*(ROWS($L$116:L124)-1)+1),0)</f>
        <v>0</v>
      </c>
      <c r="M124" s="277">
        <f>IFERROR(IF(ISNUMBER(INDEX('M04-S05'!$AK$16:$AK$198,2*(ROWS($O$116:O124)-1)+1)),INDEX('M04-S05'!$AO$16:$AO$198,2*(ROWS($M$116:M124)-1)+1),0),"")</f>
        <v>0</v>
      </c>
      <c r="N124" s="335">
        <f>IFERROR(IF(ISNUMBER(INDEX('M04-S05'!$AK$16:$AK$198,2*(ROWS($O$116:O124)-1)+1)),INDEX('M04-S05'!$AV$16:$AV$198,2*(ROWS($N$116:N124)-1)+1),0),"")</f>
        <v>0</v>
      </c>
      <c r="O124" s="107">
        <f>IF(ISNUMBER(INDEX('M04-S05'!$AK$16:$AK$198,2*(ROWS($O$116:O124)-1)+1)),INDEX('M04-S05'!$AK$16:$AK$198,2*(ROWS($O$116:O124)-1)+1),0)</f>
        <v>0</v>
      </c>
      <c r="P124" s="277" t="str">
        <f>IFERROR(IF(NOT(ISNUMBER(INDEX('M04-S05'!$AK$16:$AK$198,2*(ROWS($O$116:O124)-1)+1))),INDEX('M04-S05'!$AO$16:$AO$198,2*(ROWS($O$116:O124)-1)+1),0),"")</f>
        <v/>
      </c>
      <c r="Q124" s="335" t="str">
        <f>IFERROR(IF(NOT(ISNUMBER(INDEX('M04-S05'!$AK$16:$AK$198,2*(ROWS($O$116:O124)-1)+1))),INDEX('M04-S05'!$AV$16:$AV$198,2*(ROWS($O$116:O124)-1)+1),0),"")</f>
        <v/>
      </c>
      <c r="R124" s="63" t="str">
        <f>IFERROR(IF(NOT(ISNUMBER(INDEX('M04-S05'!$AK$16:$AK$198,2*(ROWS($O$116:O124)-1)+1))),INDEX(SPILLOVER[Spillover Reason],MATCH(INDEX('M04-S05'!$BC$16:$BC$198,2*(ROWS($O$116:O124)-1)+1),SPILLOVER[Spillover Text],0)),""),"")</f>
        <v>Not Eligible</v>
      </c>
      <c r="S124" s="283"/>
      <c r="T124" s="283"/>
      <c r="U124" s="277">
        <f>INDEX('M04-S05'!$B$16:$B$198,2*(ROWS($U$116:U124)-1)+1)</f>
        <v>9</v>
      </c>
      <c r="V124" s="254"/>
      <c r="W124" s="104">
        <f>INDEX('M04-S05'!$F$16:$F$198,2*(ROWS($W$116:W124)-1)+1)</f>
        <v>0</v>
      </c>
      <c r="X124" s="63">
        <f>INDEX('M04-S05'!$L$16:$L$198,2*(ROWS($X$116:X124)-1)+1)</f>
        <v>0</v>
      </c>
      <c r="Y124" s="63">
        <f>INDEX('M04-S05'!$U$16:$U$198,2*(ROWS($Y$116:Y124)-1)+1)</f>
        <v>0</v>
      </c>
      <c r="Z124" s="254"/>
      <c r="AA124" s="254"/>
      <c r="AB124" s="254"/>
      <c r="AC124" s="254"/>
      <c r="AD124" s="254"/>
      <c r="AE124" s="277">
        <f>IF(NOT(ISNUMBER(INDEX('M04-S05'!$AK$16:$AK$198,2*(ROWS($O$116:O124)-1)+1))),INDEX('M04-S05'!$Z$16:$Z$198,2*(ROWS($L$116:L124)-1)+1),0)</f>
        <v>0</v>
      </c>
      <c r="AF124" s="277">
        <f>INDEX('M04-S05'!$S$16:$S$198,2*(ROWS($AF$116:AF124)-1)+1)</f>
        <v>0</v>
      </c>
      <c r="AG124" s="277">
        <f>INDEX('M04-S05'!$AB$16:$AB$198,2*(ROWS($AG$116:AG124)-1)+1)</f>
        <v>0</v>
      </c>
      <c r="AH124" s="277" t="str">
        <f t="shared" si="65"/>
        <v/>
      </c>
      <c r="AI124" s="277" t="str">
        <f t="shared" si="66"/>
        <v/>
      </c>
      <c r="AJ124" s="107" t="str">
        <f t="shared" si="67"/>
        <v/>
      </c>
      <c r="AK124" s="107" t="str">
        <f t="shared" si="68"/>
        <v/>
      </c>
      <c r="AL124" s="107" t="str">
        <f t="shared" si="69"/>
        <v/>
      </c>
      <c r="AM124" s="107" t="str">
        <f>INDEX('M04-S05'!$AU$16:$AU$198,2*(ROWS($AM$116:AM124)-1)+1)</f>
        <v/>
      </c>
      <c r="AN124" s="107" t="str">
        <f>INDEX('M04-S05'!$BB$16:$BB$198,2*(ROWS($AN$116:AN124)-1)+1)</f>
        <v/>
      </c>
      <c r="AO124" s="277">
        <f>INDEX('M04-S05'!$Q$16:$Q$198,2*(ROWS($AO$116:AO124)-1)+1)</f>
        <v>0</v>
      </c>
      <c r="AP124" s="278"/>
      <c r="AQ124" s="278"/>
    </row>
    <row r="125" spans="1:43" x14ac:dyDescent="0.25">
      <c r="A125" s="118">
        <f t="shared" si="62"/>
        <v>0</v>
      </c>
      <c r="B125" s="118" t="str">
        <f t="shared" si="64"/>
        <v/>
      </c>
      <c r="C125" s="118" t="str">
        <f>IF(J125&gt;0,INDEX('M04-S05'!$AY$16:$AY$198,2*(ROWS($C$116:C125)-1)+1),"")</f>
        <v/>
      </c>
      <c r="D125" s="63" t="s">
        <v>215</v>
      </c>
      <c r="E125" s="301" t="str">
        <f>IFERROR(INDEX('M04-S05'!$AW$16:$AW$198,2*(ROWS($E$116:E125)-1)+1),"")</f>
        <v/>
      </c>
      <c r="F125" s="278"/>
      <c r="G125" s="254"/>
      <c r="H125" s="107">
        <f>INDEX('M04-S05'!$AD$16:$AD$198,2*(ROWS($H$116:H125)-1)+1)</f>
        <v>0</v>
      </c>
      <c r="I125" s="107">
        <f>INDEX('M04-S05'!$AF$16:$AF$198,2*(ROWS($I$116:I125)-1)+1)</f>
        <v>0</v>
      </c>
      <c r="J125" s="107" t="str">
        <f>INDEX('M04-S05'!$AH$16:$AH$198,2*(ROWS($J$116:J125)-1)+1)</f>
        <v/>
      </c>
      <c r="K125" s="63" t="str">
        <f>IFERROR(INDEX(CMECOMPAIR[Cost Basis],MATCH(INDEX('M04-S05'!$F$16:$F$198,2*(ROWS($K$116:K125)-1)+1),CMECOMPAIR[Proj Desc 1],0)),"")</f>
        <v/>
      </c>
      <c r="L125" s="277">
        <f>IF(ISNUMBER(INDEX('M04-S05'!$AK$16:$AK$198,2*(ROWS($O$116:O125)-1)+1)),INDEX('M04-S05'!$Z$16:$Z$198,2*(ROWS($L$116:L125)-1)+1),0)</f>
        <v>0</v>
      </c>
      <c r="M125" s="277">
        <f>IFERROR(IF(ISNUMBER(INDEX('M04-S05'!$AK$16:$AK$198,2*(ROWS($O$116:O125)-1)+1)),INDEX('M04-S05'!$AO$16:$AO$198,2*(ROWS($M$116:M125)-1)+1),0),"")</f>
        <v>0</v>
      </c>
      <c r="N125" s="335">
        <f>IFERROR(IF(ISNUMBER(INDEX('M04-S05'!$AK$16:$AK$198,2*(ROWS($O$116:O125)-1)+1)),INDEX('M04-S05'!$AV$16:$AV$198,2*(ROWS($N$116:N125)-1)+1),0),"")</f>
        <v>0</v>
      </c>
      <c r="O125" s="107">
        <f>IF(ISNUMBER(INDEX('M04-S05'!$AK$16:$AK$198,2*(ROWS($O$116:O125)-1)+1)),INDEX('M04-S05'!$AK$16:$AK$198,2*(ROWS($O$116:O125)-1)+1),0)</f>
        <v>0</v>
      </c>
      <c r="P125" s="277" t="str">
        <f>IFERROR(IF(NOT(ISNUMBER(INDEX('M04-S05'!$AK$16:$AK$198,2*(ROWS($O$116:O125)-1)+1))),INDEX('M04-S05'!$AO$16:$AO$198,2*(ROWS($O$116:O125)-1)+1),0),"")</f>
        <v/>
      </c>
      <c r="Q125" s="335" t="str">
        <f>IFERROR(IF(NOT(ISNUMBER(INDEX('M04-S05'!$AK$16:$AK$198,2*(ROWS($O$116:O125)-1)+1))),INDEX('M04-S05'!$AV$16:$AV$198,2*(ROWS($O$116:O125)-1)+1),0),"")</f>
        <v/>
      </c>
      <c r="R125" s="63" t="str">
        <f>IFERROR(IF(NOT(ISNUMBER(INDEX('M04-S05'!$AK$16:$AK$198,2*(ROWS($O$116:O125)-1)+1))),INDEX(SPILLOVER[Spillover Reason],MATCH(INDEX('M04-S05'!$BC$16:$BC$198,2*(ROWS($O$116:O125)-1)+1),SPILLOVER[Spillover Text],0)),""),"")</f>
        <v>Not Eligible</v>
      </c>
      <c r="S125" s="283"/>
      <c r="T125" s="283"/>
      <c r="U125" s="277">
        <f>INDEX('M04-S05'!$B$16:$B$198,2*(ROWS($U$116:U125)-1)+1)</f>
        <v>10</v>
      </c>
      <c r="V125" s="254"/>
      <c r="W125" s="104">
        <f>INDEX('M04-S05'!$F$16:$F$198,2*(ROWS($W$116:W125)-1)+1)</f>
        <v>0</v>
      </c>
      <c r="X125" s="63">
        <f>INDEX('M04-S05'!$L$16:$L$198,2*(ROWS($X$116:X125)-1)+1)</f>
        <v>0</v>
      </c>
      <c r="Y125" s="63">
        <f>INDEX('M04-S05'!$U$16:$U$198,2*(ROWS($Y$116:Y125)-1)+1)</f>
        <v>0</v>
      </c>
      <c r="Z125" s="254"/>
      <c r="AA125" s="254"/>
      <c r="AB125" s="254"/>
      <c r="AC125" s="254"/>
      <c r="AD125" s="254"/>
      <c r="AE125" s="277">
        <f>IF(NOT(ISNUMBER(INDEX('M04-S05'!$AK$16:$AK$198,2*(ROWS($O$116:O125)-1)+1))),INDEX('M04-S05'!$Z$16:$Z$198,2*(ROWS($L$116:L125)-1)+1),0)</f>
        <v>0</v>
      </c>
      <c r="AF125" s="277">
        <f>INDEX('M04-S05'!$S$16:$S$198,2*(ROWS($AF$116:AF125)-1)+1)</f>
        <v>0</v>
      </c>
      <c r="AG125" s="277">
        <f>INDEX('M04-S05'!$AB$16:$AB$198,2*(ROWS($AG$116:AG125)-1)+1)</f>
        <v>0</v>
      </c>
      <c r="AH125" s="277" t="str">
        <f t="shared" si="65"/>
        <v/>
      </c>
      <c r="AI125" s="277" t="str">
        <f t="shared" si="66"/>
        <v/>
      </c>
      <c r="AJ125" s="107" t="str">
        <f t="shared" si="67"/>
        <v/>
      </c>
      <c r="AK125" s="107" t="str">
        <f t="shared" si="68"/>
        <v/>
      </c>
      <c r="AL125" s="107" t="str">
        <f t="shared" si="69"/>
        <v/>
      </c>
      <c r="AM125" s="107" t="str">
        <f>INDEX('M04-S05'!$AU$16:$AU$198,2*(ROWS($AM$116:AM125)-1)+1)</f>
        <v/>
      </c>
      <c r="AN125" s="107" t="str">
        <f>INDEX('M04-S05'!$BB$16:$BB$198,2*(ROWS($AN$116:AN125)-1)+1)</f>
        <v/>
      </c>
      <c r="AO125" s="277">
        <f>INDEX('M04-S05'!$Q$16:$Q$198,2*(ROWS($AO$116:AO125)-1)+1)</f>
        <v>0</v>
      </c>
      <c r="AP125" s="278"/>
      <c r="AQ125" s="278"/>
    </row>
    <row r="126" spans="1:43" x14ac:dyDescent="0.25">
      <c r="A126" s="118">
        <f t="shared" si="62"/>
        <v>0</v>
      </c>
      <c r="B126" s="118" t="str">
        <f t="shared" si="64"/>
        <v/>
      </c>
      <c r="C126" s="118" t="str">
        <f>IF(J126&gt;0,INDEX('M04-S05'!$AY$16:$AY$198,2*(ROWS($C$116:C126)-1)+1),"")</f>
        <v/>
      </c>
      <c r="D126" s="63" t="s">
        <v>215</v>
      </c>
      <c r="E126" s="301">
        <f>IFERROR(INDEX('M04-S05'!$AW$16:$AW$198,2*(ROWS($E$116:E126)-1)+1),"")</f>
        <v>0</v>
      </c>
      <c r="F126" s="278"/>
      <c r="G126" s="254"/>
      <c r="H126" s="107">
        <f>INDEX('M04-S05'!$AD$16:$AD$198,2*(ROWS($H$116:H126)-1)+1)</f>
        <v>0</v>
      </c>
      <c r="I126" s="107">
        <f>INDEX('M04-S05'!$AF$16:$AF$198,2*(ROWS($I$116:I126)-1)+1)</f>
        <v>0</v>
      </c>
      <c r="J126" s="107">
        <f>INDEX('M04-S05'!$AH$16:$AH$198,2*(ROWS($J$116:J126)-1)+1)</f>
        <v>0</v>
      </c>
      <c r="K126" s="63" t="str">
        <f>IFERROR(INDEX(CMECOMPAIR[Cost Basis],MATCH(INDEX('M04-S05'!$F$16:$F$198,2*(ROWS($K$116:K126)-1)+1),CMECOMPAIR[Proj Desc 1],0)),"")</f>
        <v/>
      </c>
      <c r="L126" s="277">
        <f>IF(ISNUMBER(INDEX('M04-S05'!$AK$16:$AK$198,2*(ROWS($O$116:O126)-1)+1)),INDEX('M04-S05'!$Z$16:$Z$198,2*(ROWS($L$116:L126)-1)+1),0)</f>
        <v>0</v>
      </c>
      <c r="M126" s="277">
        <f>IFERROR(IF(ISNUMBER(INDEX('M04-S05'!$AK$16:$AK$198,2*(ROWS($O$116:O126)-1)+1)),INDEX('M04-S05'!$AO$16:$AO$198,2*(ROWS($M$116:M126)-1)+1),0),"")</f>
        <v>0</v>
      </c>
      <c r="N126" s="335">
        <f>IFERROR(IF(ISNUMBER(INDEX('M04-S05'!$AK$16:$AK$198,2*(ROWS($O$116:O126)-1)+1)),INDEX('M04-S05'!$AV$16:$AV$198,2*(ROWS($N$116:N126)-1)+1),0),"")</f>
        <v>0</v>
      </c>
      <c r="O126" s="107">
        <f>IF(ISNUMBER(INDEX('M04-S05'!$AK$16:$AK$198,2*(ROWS($O$116:O126)-1)+1)),INDEX('M04-S05'!$AK$16:$AK$198,2*(ROWS($O$116:O126)-1)+1),0)</f>
        <v>0</v>
      </c>
      <c r="P126" s="277">
        <f>IFERROR(IF(NOT(ISNUMBER(INDEX('M04-S05'!$AK$16:$AK$198,2*(ROWS($O$116:O126)-1)+1))),INDEX('M04-S05'!$AO$16:$AO$198,2*(ROWS($O$116:O126)-1)+1),0),"")</f>
        <v>0</v>
      </c>
      <c r="Q126" s="335">
        <f>IFERROR(IF(NOT(ISNUMBER(INDEX('M04-S05'!$AK$16:$AK$198,2*(ROWS($O$116:O126)-1)+1))),INDEX('M04-S05'!$AV$16:$AV$198,2*(ROWS($O$116:O126)-1)+1),0),"")</f>
        <v>0</v>
      </c>
      <c r="R126" s="63" t="str">
        <f>IFERROR(IF(NOT(ISNUMBER(INDEX('M04-S05'!$AK$16:$AK$198,2*(ROWS($O$116:O126)-1)+1))),INDEX(SPILLOVER[Spillover Reason],MATCH(INDEX('M04-S05'!$BC$16:$BC$198,2*(ROWS($O$116:O126)-1)+1),SPILLOVER[Spillover Text],0)),""),"")</f>
        <v/>
      </c>
      <c r="S126" s="283"/>
      <c r="T126" s="283"/>
      <c r="U126" s="277">
        <f>INDEX('M04-S05'!$B$16:$B$198,2*(ROWS($U$116:U126)-1)+1)</f>
        <v>11</v>
      </c>
      <c r="V126" s="254"/>
      <c r="W126" s="104">
        <f>INDEX('M04-S05'!$F$16:$F$198,2*(ROWS($W$116:W126)-1)+1)</f>
        <v>0</v>
      </c>
      <c r="X126" s="63">
        <f>INDEX('M04-S05'!$L$16:$L$198,2*(ROWS($X$116:X126)-1)+1)</f>
        <v>0</v>
      </c>
      <c r="Y126" s="63">
        <f>INDEX('M04-S05'!$U$16:$U$198,2*(ROWS($Y$116:Y126)-1)+1)</f>
        <v>0</v>
      </c>
      <c r="Z126" s="254"/>
      <c r="AA126" s="254"/>
      <c r="AB126" s="254"/>
      <c r="AC126" s="254"/>
      <c r="AD126" s="254"/>
      <c r="AE126" s="277">
        <f>IF(NOT(ISNUMBER(INDEX('M04-S05'!$AK$16:$AK$198,2*(ROWS($O$116:O126)-1)+1))),INDEX('M04-S05'!$Z$16:$Z$198,2*(ROWS($L$116:L126)-1)+1),0)</f>
        <v>0</v>
      </c>
      <c r="AF126" s="277">
        <f>INDEX('M04-S05'!$S$16:$S$198,2*(ROWS($AF$116:AF126)-1)+1)</f>
        <v>0</v>
      </c>
      <c r="AG126" s="277">
        <f>INDEX('M04-S05'!$AB$16:$AB$198,2*(ROWS($AG$116:AG126)-1)+1)</f>
        <v>0</v>
      </c>
      <c r="AH126" s="277" t="str">
        <f t="shared" si="65"/>
        <v/>
      </c>
      <c r="AI126" s="277" t="str">
        <f t="shared" si="66"/>
        <v/>
      </c>
      <c r="AJ126" s="107" t="str">
        <f t="shared" si="67"/>
        <v/>
      </c>
      <c r="AK126" s="107" t="str">
        <f t="shared" si="68"/>
        <v/>
      </c>
      <c r="AL126" s="107" t="str">
        <f t="shared" si="69"/>
        <v/>
      </c>
      <c r="AM126" s="107">
        <f>INDEX('M04-S05'!$AU$16:$AU$198,2*(ROWS($AM$116:AM126)-1)+1)</f>
        <v>0</v>
      </c>
      <c r="AN126" s="107">
        <f>INDEX('M04-S05'!$BB$16:$BB$198,2*(ROWS($AN$116:AN126)-1)+1)</f>
        <v>0</v>
      </c>
      <c r="AO126" s="277">
        <f>INDEX('M04-S05'!$Q$16:$Q$198,2*(ROWS($AO$116:AO126)-1)+1)</f>
        <v>0</v>
      </c>
      <c r="AP126" s="278"/>
      <c r="AQ126" s="278"/>
    </row>
    <row r="127" spans="1:43" x14ac:dyDescent="0.25">
      <c r="A127" s="118">
        <f t="shared" si="62"/>
        <v>0</v>
      </c>
      <c r="B127" s="118" t="str">
        <f t="shared" si="64"/>
        <v/>
      </c>
      <c r="C127" s="118" t="str">
        <f>IF(J127&gt;0,INDEX('M04-S05'!$AY$16:$AY$198,2*(ROWS($C$116:C127)-1)+1),"")</f>
        <v/>
      </c>
      <c r="D127" s="63" t="s">
        <v>215</v>
      </c>
      <c r="E127" s="301">
        <f>IFERROR(INDEX('M04-S05'!$AW$16:$AW$198,2*(ROWS($E$116:E127)-1)+1),"")</f>
        <v>0</v>
      </c>
      <c r="F127" s="278"/>
      <c r="G127" s="254"/>
      <c r="H127" s="107">
        <f>INDEX('M04-S05'!$AD$16:$AD$198,2*(ROWS($H$116:H127)-1)+1)</f>
        <v>0</v>
      </c>
      <c r="I127" s="107">
        <f>INDEX('M04-S05'!$AF$16:$AF$198,2*(ROWS($I$116:I127)-1)+1)</f>
        <v>0</v>
      </c>
      <c r="J127" s="107">
        <f>INDEX('M04-S05'!$AH$16:$AH$198,2*(ROWS($J$116:J127)-1)+1)</f>
        <v>0</v>
      </c>
      <c r="K127" s="63" t="str">
        <f>IFERROR(INDEX(CMECOMPAIR[Cost Basis],MATCH(INDEX('M04-S05'!$F$16:$F$198,2*(ROWS($K$116:K127)-1)+1),CMECOMPAIR[Proj Desc 1],0)),"")</f>
        <v/>
      </c>
      <c r="L127" s="277">
        <f>IF(ISNUMBER(INDEX('M04-S05'!$AK$16:$AK$198,2*(ROWS($O$116:O127)-1)+1)),INDEX('M04-S05'!$Z$16:$Z$198,2*(ROWS($L$116:L127)-1)+1),0)</f>
        <v>0</v>
      </c>
      <c r="M127" s="277">
        <f>IFERROR(IF(ISNUMBER(INDEX('M04-S05'!$AK$16:$AK$198,2*(ROWS($O$116:O127)-1)+1)),INDEX('M04-S05'!$AO$16:$AO$198,2*(ROWS($M$116:M127)-1)+1),0),"")</f>
        <v>0</v>
      </c>
      <c r="N127" s="335">
        <f>IFERROR(IF(ISNUMBER(INDEX('M04-S05'!$AK$16:$AK$198,2*(ROWS($O$116:O127)-1)+1)),INDEX('M04-S05'!$AV$16:$AV$198,2*(ROWS($N$116:N127)-1)+1),0),"")</f>
        <v>0</v>
      </c>
      <c r="O127" s="107">
        <f>IF(ISNUMBER(INDEX('M04-S05'!$AK$16:$AK$198,2*(ROWS($O$116:O127)-1)+1)),INDEX('M04-S05'!$AK$16:$AK$198,2*(ROWS($O$116:O127)-1)+1),0)</f>
        <v>0</v>
      </c>
      <c r="P127" s="277">
        <f>IFERROR(IF(NOT(ISNUMBER(INDEX('M04-S05'!$AK$16:$AK$198,2*(ROWS($O$116:O127)-1)+1))),INDEX('M04-S05'!$AO$16:$AO$198,2*(ROWS($O$116:O127)-1)+1),0),"")</f>
        <v>0</v>
      </c>
      <c r="Q127" s="335">
        <f>IFERROR(IF(NOT(ISNUMBER(INDEX('M04-S05'!$AK$16:$AK$198,2*(ROWS($O$116:O127)-1)+1))),INDEX('M04-S05'!$AV$16:$AV$198,2*(ROWS($O$116:O127)-1)+1),0),"")</f>
        <v>0</v>
      </c>
      <c r="R127" s="63" t="str">
        <f>IFERROR(IF(NOT(ISNUMBER(INDEX('M04-S05'!$AK$16:$AK$198,2*(ROWS($O$116:O127)-1)+1))),INDEX(SPILLOVER[Spillover Reason],MATCH(INDEX('M04-S05'!$BC$16:$BC$198,2*(ROWS($O$116:O127)-1)+1),SPILLOVER[Spillover Text],0)),""),"")</f>
        <v/>
      </c>
      <c r="S127" s="283"/>
      <c r="T127" s="283"/>
      <c r="U127" s="277">
        <f>INDEX('M04-S05'!$B$16:$B$198,2*(ROWS($U$116:U127)-1)+1)</f>
        <v>12</v>
      </c>
      <c r="V127" s="254"/>
      <c r="W127" s="104">
        <f>INDEX('M04-S05'!$F$16:$F$198,2*(ROWS($W$116:W127)-1)+1)</f>
        <v>0</v>
      </c>
      <c r="X127" s="63">
        <f>INDEX('M04-S05'!$L$16:$L$198,2*(ROWS($X$116:X127)-1)+1)</f>
        <v>0</v>
      </c>
      <c r="Y127" s="63">
        <f>INDEX('M04-S05'!$U$16:$U$198,2*(ROWS($Y$116:Y127)-1)+1)</f>
        <v>0</v>
      </c>
      <c r="Z127" s="254"/>
      <c r="AA127" s="254"/>
      <c r="AB127" s="254"/>
      <c r="AC127" s="254"/>
      <c r="AD127" s="254"/>
      <c r="AE127" s="277">
        <f>IF(NOT(ISNUMBER(INDEX('M04-S05'!$AK$16:$AK$198,2*(ROWS($O$116:O127)-1)+1))),INDEX('M04-S05'!$Z$16:$Z$198,2*(ROWS($L$116:L127)-1)+1),0)</f>
        <v>0</v>
      </c>
      <c r="AF127" s="277">
        <f>INDEX('M04-S05'!$S$16:$S$198,2*(ROWS($AF$116:AF127)-1)+1)</f>
        <v>0</v>
      </c>
      <c r="AG127" s="277">
        <f>INDEX('M04-S05'!$AB$16:$AB$198,2*(ROWS($AG$116:AG127)-1)+1)</f>
        <v>0</v>
      </c>
      <c r="AH127" s="277" t="str">
        <f t="shared" si="65"/>
        <v/>
      </c>
      <c r="AI127" s="277" t="str">
        <f t="shared" si="66"/>
        <v/>
      </c>
      <c r="AJ127" s="107" t="str">
        <f t="shared" si="67"/>
        <v/>
      </c>
      <c r="AK127" s="107" t="str">
        <f t="shared" si="68"/>
        <v/>
      </c>
      <c r="AL127" s="107" t="str">
        <f t="shared" si="69"/>
        <v/>
      </c>
      <c r="AM127" s="107">
        <f>INDEX('M04-S05'!$AU$16:$AU$198,2*(ROWS($AM$116:AM127)-1)+1)</f>
        <v>0</v>
      </c>
      <c r="AN127" s="107">
        <f>INDEX('M04-S05'!$BB$16:$BB$198,2*(ROWS($AN$116:AN127)-1)+1)</f>
        <v>0</v>
      </c>
      <c r="AO127" s="277">
        <f>INDEX('M04-S05'!$Q$16:$Q$198,2*(ROWS($AO$116:AO127)-1)+1)</f>
        <v>0</v>
      </c>
      <c r="AP127" s="278"/>
      <c r="AQ127" s="278"/>
    </row>
    <row r="128" spans="1:43" x14ac:dyDescent="0.25">
      <c r="A128" s="118">
        <f t="shared" si="62"/>
        <v>0</v>
      </c>
      <c r="B128" s="118" t="str">
        <f t="shared" si="64"/>
        <v/>
      </c>
      <c r="C128" s="118" t="str">
        <f>IF(J128&gt;0,INDEX('M04-S05'!$AY$16:$AY$198,2*(ROWS($C$116:C128)-1)+1),"")</f>
        <v/>
      </c>
      <c r="D128" s="63" t="s">
        <v>215</v>
      </c>
      <c r="E128" s="301">
        <f>IFERROR(INDEX('M04-S05'!$AW$16:$AW$198,2*(ROWS($E$116:E128)-1)+1),"")</f>
        <v>0</v>
      </c>
      <c r="F128" s="278"/>
      <c r="G128" s="254"/>
      <c r="H128" s="107">
        <f>INDEX('M04-S05'!$AD$16:$AD$198,2*(ROWS($H$116:H128)-1)+1)</f>
        <v>0</v>
      </c>
      <c r="I128" s="107">
        <f>INDEX('M04-S05'!$AF$16:$AF$198,2*(ROWS($I$116:I128)-1)+1)</f>
        <v>0</v>
      </c>
      <c r="J128" s="107">
        <f>INDEX('M04-S05'!$AH$16:$AH$198,2*(ROWS($J$116:J128)-1)+1)</f>
        <v>0</v>
      </c>
      <c r="K128" s="63" t="str">
        <f>IFERROR(INDEX(CMECOMPAIR[Cost Basis],MATCH(INDEX('M04-S05'!$F$16:$F$198,2*(ROWS($K$116:K128)-1)+1),CMECOMPAIR[Proj Desc 1],0)),"")</f>
        <v/>
      </c>
      <c r="L128" s="277">
        <f>IF(ISNUMBER(INDEX('M04-S05'!$AK$16:$AK$198,2*(ROWS($O$116:O128)-1)+1)),INDEX('M04-S05'!$Z$16:$Z$198,2*(ROWS($L$116:L128)-1)+1),0)</f>
        <v>0</v>
      </c>
      <c r="M128" s="277">
        <f>IFERROR(IF(ISNUMBER(INDEX('M04-S05'!$AK$16:$AK$198,2*(ROWS($O$116:O128)-1)+1)),INDEX('M04-S05'!$AO$16:$AO$198,2*(ROWS($M$116:M128)-1)+1),0),"")</f>
        <v>0</v>
      </c>
      <c r="N128" s="335">
        <f>IFERROR(IF(ISNUMBER(INDEX('M04-S05'!$AK$16:$AK$198,2*(ROWS($O$116:O128)-1)+1)),INDEX('M04-S05'!$AV$16:$AV$198,2*(ROWS($N$116:N128)-1)+1),0),"")</f>
        <v>0</v>
      </c>
      <c r="O128" s="107">
        <f>IF(ISNUMBER(INDEX('M04-S05'!$AK$16:$AK$198,2*(ROWS($O$116:O128)-1)+1)),INDEX('M04-S05'!$AK$16:$AK$198,2*(ROWS($O$116:O128)-1)+1),0)</f>
        <v>0</v>
      </c>
      <c r="P128" s="277">
        <f>IFERROR(IF(NOT(ISNUMBER(INDEX('M04-S05'!$AK$16:$AK$198,2*(ROWS($O$116:O128)-1)+1))),INDEX('M04-S05'!$AO$16:$AO$198,2*(ROWS($O$116:O128)-1)+1),0),"")</f>
        <v>0</v>
      </c>
      <c r="Q128" s="335">
        <f>IFERROR(IF(NOT(ISNUMBER(INDEX('M04-S05'!$AK$16:$AK$198,2*(ROWS($O$116:O128)-1)+1))),INDEX('M04-S05'!$AV$16:$AV$198,2*(ROWS($O$116:O128)-1)+1),0),"")</f>
        <v>0</v>
      </c>
      <c r="R128" s="63" t="str">
        <f>IFERROR(IF(NOT(ISNUMBER(INDEX('M04-S05'!$AK$16:$AK$198,2*(ROWS($O$116:O128)-1)+1))),INDEX(SPILLOVER[Spillover Reason],MATCH(INDEX('M04-S05'!$BC$16:$BC$198,2*(ROWS($O$116:O128)-1)+1),SPILLOVER[Spillover Text],0)),""),"")</f>
        <v/>
      </c>
      <c r="S128" s="283"/>
      <c r="T128" s="283"/>
      <c r="U128" s="277">
        <f>INDEX('M04-S05'!$B$16:$B$198,2*(ROWS($U$116:U128)-1)+1)</f>
        <v>13</v>
      </c>
      <c r="V128" s="254"/>
      <c r="W128" s="104">
        <f>INDEX('M04-S05'!$F$16:$F$198,2*(ROWS($W$116:W128)-1)+1)</f>
        <v>0</v>
      </c>
      <c r="X128" s="63">
        <f>INDEX('M04-S05'!$L$16:$L$198,2*(ROWS($X$116:X128)-1)+1)</f>
        <v>0</v>
      </c>
      <c r="Y128" s="63">
        <f>INDEX('M04-S05'!$U$16:$U$198,2*(ROWS($Y$116:Y128)-1)+1)</f>
        <v>0</v>
      </c>
      <c r="Z128" s="254"/>
      <c r="AA128" s="254"/>
      <c r="AB128" s="254"/>
      <c r="AC128" s="254"/>
      <c r="AD128" s="254"/>
      <c r="AE128" s="277">
        <f>IF(NOT(ISNUMBER(INDEX('M04-S05'!$AK$16:$AK$198,2*(ROWS($O$116:O128)-1)+1))),INDEX('M04-S05'!$Z$16:$Z$198,2*(ROWS($L$116:L128)-1)+1),0)</f>
        <v>0</v>
      </c>
      <c r="AF128" s="277">
        <f>INDEX('M04-S05'!$S$16:$S$198,2*(ROWS($AF$116:AF128)-1)+1)</f>
        <v>0</v>
      </c>
      <c r="AG128" s="277">
        <f>INDEX('M04-S05'!$AB$16:$AB$198,2*(ROWS($AG$116:AG128)-1)+1)</f>
        <v>0</v>
      </c>
      <c r="AH128" s="277" t="str">
        <f t="shared" si="65"/>
        <v/>
      </c>
      <c r="AI128" s="277" t="str">
        <f t="shared" si="66"/>
        <v/>
      </c>
      <c r="AJ128" s="107" t="str">
        <f t="shared" si="67"/>
        <v/>
      </c>
      <c r="AK128" s="107" t="str">
        <f t="shared" si="68"/>
        <v/>
      </c>
      <c r="AL128" s="107" t="str">
        <f t="shared" si="69"/>
        <v/>
      </c>
      <c r="AM128" s="107">
        <f>INDEX('M04-S05'!$AU$16:$AU$198,2*(ROWS($AM$116:AM128)-1)+1)</f>
        <v>0</v>
      </c>
      <c r="AN128" s="107">
        <f>INDEX('M04-S05'!$BB$16:$BB$198,2*(ROWS($AN$116:AN128)-1)+1)</f>
        <v>0</v>
      </c>
      <c r="AO128" s="277">
        <f>INDEX('M04-S05'!$Q$16:$Q$198,2*(ROWS($AO$116:AO128)-1)+1)</f>
        <v>0</v>
      </c>
      <c r="AP128" s="278"/>
      <c r="AQ128" s="278"/>
    </row>
    <row r="129" spans="1:43" x14ac:dyDescent="0.25">
      <c r="A129" s="118">
        <f t="shared" si="62"/>
        <v>0</v>
      </c>
      <c r="B129" s="118" t="str">
        <f t="shared" si="64"/>
        <v/>
      </c>
      <c r="C129" s="118" t="str">
        <f>IF(J129&gt;0,INDEX('M04-S05'!$AY$16:$AY$198,2*(ROWS($C$116:C129)-1)+1),"")</f>
        <v/>
      </c>
      <c r="D129" s="63" t="s">
        <v>215</v>
      </c>
      <c r="E129" s="301">
        <f>IFERROR(INDEX('M04-S05'!$AW$16:$AW$198,2*(ROWS($E$116:E129)-1)+1),"")</f>
        <v>0</v>
      </c>
      <c r="F129" s="278"/>
      <c r="G129" s="254"/>
      <c r="H129" s="107">
        <f>INDEX('M04-S05'!$AD$16:$AD$198,2*(ROWS($H$116:H129)-1)+1)</f>
        <v>0</v>
      </c>
      <c r="I129" s="107">
        <f>INDEX('M04-S05'!$AF$16:$AF$198,2*(ROWS($I$116:I129)-1)+1)</f>
        <v>0</v>
      </c>
      <c r="J129" s="107">
        <f>INDEX('M04-S05'!$AH$16:$AH$198,2*(ROWS($J$116:J129)-1)+1)</f>
        <v>0</v>
      </c>
      <c r="K129" s="63" t="str">
        <f>IFERROR(INDEX(CMECOMPAIR[Cost Basis],MATCH(INDEX('M04-S05'!$F$16:$F$198,2*(ROWS($K$116:K129)-1)+1),CMECOMPAIR[Proj Desc 1],0)),"")</f>
        <v/>
      </c>
      <c r="L129" s="277">
        <f>IF(ISNUMBER(INDEX('M04-S05'!$AK$16:$AK$198,2*(ROWS($O$116:O129)-1)+1)),INDEX('M04-S05'!$Z$16:$Z$198,2*(ROWS($L$116:L129)-1)+1),0)</f>
        <v>0</v>
      </c>
      <c r="M129" s="277">
        <f>IFERROR(IF(ISNUMBER(INDEX('M04-S05'!$AK$16:$AK$198,2*(ROWS($O$116:O129)-1)+1)),INDEX('M04-S05'!$AO$16:$AO$198,2*(ROWS($M$116:M129)-1)+1),0),"")</f>
        <v>0</v>
      </c>
      <c r="N129" s="335">
        <f>IFERROR(IF(ISNUMBER(INDEX('M04-S05'!$AK$16:$AK$198,2*(ROWS($O$116:O129)-1)+1)),INDEX('M04-S05'!$AV$16:$AV$198,2*(ROWS($N$116:N129)-1)+1),0),"")</f>
        <v>0</v>
      </c>
      <c r="O129" s="107">
        <f>IF(ISNUMBER(INDEX('M04-S05'!$AK$16:$AK$198,2*(ROWS($O$116:O129)-1)+1)),INDEX('M04-S05'!$AK$16:$AK$198,2*(ROWS($O$116:O129)-1)+1),0)</f>
        <v>0</v>
      </c>
      <c r="P129" s="277">
        <f>IFERROR(IF(NOT(ISNUMBER(INDEX('M04-S05'!$AK$16:$AK$198,2*(ROWS($O$116:O129)-1)+1))),INDEX('M04-S05'!$AO$16:$AO$198,2*(ROWS($O$116:O129)-1)+1),0),"")</f>
        <v>0</v>
      </c>
      <c r="Q129" s="335">
        <f>IFERROR(IF(NOT(ISNUMBER(INDEX('M04-S05'!$AK$16:$AK$198,2*(ROWS($O$116:O129)-1)+1))),INDEX('M04-S05'!$AV$16:$AV$198,2*(ROWS($O$116:O129)-1)+1),0),"")</f>
        <v>0</v>
      </c>
      <c r="R129" s="63" t="str">
        <f>IFERROR(IF(NOT(ISNUMBER(INDEX('M04-S05'!$AK$16:$AK$198,2*(ROWS($O$116:O129)-1)+1))),INDEX(SPILLOVER[Spillover Reason],MATCH(INDEX('M04-S05'!$BC$16:$BC$198,2*(ROWS($O$116:O129)-1)+1),SPILLOVER[Spillover Text],0)),""),"")</f>
        <v/>
      </c>
      <c r="S129" s="283"/>
      <c r="T129" s="283"/>
      <c r="U129" s="277">
        <f>INDEX('M04-S05'!$B$16:$B$198,2*(ROWS($U$116:U129)-1)+1)</f>
        <v>14</v>
      </c>
      <c r="V129" s="254"/>
      <c r="W129" s="104">
        <f>INDEX('M04-S05'!$F$16:$F$198,2*(ROWS($W$116:W129)-1)+1)</f>
        <v>0</v>
      </c>
      <c r="X129" s="63">
        <f>INDEX('M04-S05'!$L$16:$L$198,2*(ROWS($X$116:X129)-1)+1)</f>
        <v>0</v>
      </c>
      <c r="Y129" s="63">
        <f>INDEX('M04-S05'!$U$16:$U$198,2*(ROWS($Y$116:Y129)-1)+1)</f>
        <v>0</v>
      </c>
      <c r="Z129" s="254"/>
      <c r="AA129" s="254"/>
      <c r="AB129" s="254"/>
      <c r="AC129" s="254"/>
      <c r="AD129" s="254"/>
      <c r="AE129" s="277">
        <f>IF(NOT(ISNUMBER(INDEX('M04-S05'!$AK$16:$AK$198,2*(ROWS($O$116:O129)-1)+1))),INDEX('M04-S05'!$Z$16:$Z$198,2*(ROWS($L$116:L129)-1)+1),0)</f>
        <v>0</v>
      </c>
      <c r="AF129" s="277">
        <f>INDEX('M04-S05'!$S$16:$S$198,2*(ROWS($AF$116:AF129)-1)+1)</f>
        <v>0</v>
      </c>
      <c r="AG129" s="277">
        <f>INDEX('M04-S05'!$AB$16:$AB$198,2*(ROWS($AG$116:AG129)-1)+1)</f>
        <v>0</v>
      </c>
      <c r="AH129" s="277" t="str">
        <f t="shared" si="65"/>
        <v/>
      </c>
      <c r="AI129" s="277" t="str">
        <f t="shared" si="66"/>
        <v/>
      </c>
      <c r="AJ129" s="107" t="str">
        <f t="shared" si="67"/>
        <v/>
      </c>
      <c r="AK129" s="107" t="str">
        <f t="shared" si="68"/>
        <v/>
      </c>
      <c r="AL129" s="107" t="str">
        <f t="shared" si="69"/>
        <v/>
      </c>
      <c r="AM129" s="107">
        <f>INDEX('M04-S05'!$AU$16:$AU$198,2*(ROWS($AM$116:AM129)-1)+1)</f>
        <v>0</v>
      </c>
      <c r="AN129" s="107">
        <f>INDEX('M04-S05'!$BB$16:$BB$198,2*(ROWS($AN$116:AN129)-1)+1)</f>
        <v>0</v>
      </c>
      <c r="AO129" s="277">
        <f>INDEX('M04-S05'!$Q$16:$Q$198,2*(ROWS($AO$116:AO129)-1)+1)</f>
        <v>0</v>
      </c>
      <c r="AP129" s="278"/>
      <c r="AQ129" s="278"/>
    </row>
    <row r="130" spans="1:43" x14ac:dyDescent="0.25">
      <c r="A130" s="118">
        <f t="shared" si="62"/>
        <v>0</v>
      </c>
      <c r="B130" s="118" t="str">
        <f t="shared" si="64"/>
        <v/>
      </c>
      <c r="C130" s="118" t="str">
        <f>IF(J130&gt;0,INDEX('M04-S05'!$AY$16:$AY$198,2*(ROWS($C$116:C130)-1)+1),"")</f>
        <v/>
      </c>
      <c r="D130" s="63" t="s">
        <v>215</v>
      </c>
      <c r="E130" s="301">
        <f>IFERROR(INDEX('M04-S05'!$AW$16:$AW$198,2*(ROWS($E$116:E130)-1)+1),"")</f>
        <v>0</v>
      </c>
      <c r="F130" s="278"/>
      <c r="G130" s="254"/>
      <c r="H130" s="107">
        <f>INDEX('M04-S05'!$AD$16:$AD$198,2*(ROWS($H$116:H130)-1)+1)</f>
        <v>0</v>
      </c>
      <c r="I130" s="107">
        <f>INDEX('M04-S05'!$AF$16:$AF$198,2*(ROWS($I$116:I130)-1)+1)</f>
        <v>0</v>
      </c>
      <c r="J130" s="107">
        <f>INDEX('M04-S05'!$AH$16:$AH$198,2*(ROWS($J$116:J130)-1)+1)</f>
        <v>0</v>
      </c>
      <c r="K130" s="63" t="str">
        <f>IFERROR(INDEX(CMECOMPAIR[Cost Basis],MATCH(INDEX('M04-S05'!$F$16:$F$198,2*(ROWS($K$116:K130)-1)+1),CMECOMPAIR[Proj Desc 1],0)),"")</f>
        <v/>
      </c>
      <c r="L130" s="277">
        <f>IF(ISNUMBER(INDEX('M04-S05'!$AK$16:$AK$198,2*(ROWS($O$116:O130)-1)+1)),INDEX('M04-S05'!$Z$16:$Z$198,2*(ROWS($L$116:L130)-1)+1),0)</f>
        <v>0</v>
      </c>
      <c r="M130" s="277">
        <f>IFERROR(IF(ISNUMBER(INDEX('M04-S05'!$AK$16:$AK$198,2*(ROWS($O$116:O130)-1)+1)),INDEX('M04-S05'!$AO$16:$AO$198,2*(ROWS($M$116:M130)-1)+1),0),"")</f>
        <v>0</v>
      </c>
      <c r="N130" s="335">
        <f>IFERROR(IF(ISNUMBER(INDEX('M04-S05'!$AK$16:$AK$198,2*(ROWS($O$116:O130)-1)+1)),INDEX('M04-S05'!$AV$16:$AV$198,2*(ROWS($N$116:N130)-1)+1),0),"")</f>
        <v>0</v>
      </c>
      <c r="O130" s="107">
        <f>IF(ISNUMBER(INDEX('M04-S05'!$AK$16:$AK$198,2*(ROWS($O$116:O130)-1)+1)),INDEX('M04-S05'!$AK$16:$AK$198,2*(ROWS($O$116:O130)-1)+1),0)</f>
        <v>0</v>
      </c>
      <c r="P130" s="277">
        <f>IFERROR(IF(NOT(ISNUMBER(INDEX('M04-S05'!$AK$16:$AK$198,2*(ROWS($O$116:O130)-1)+1))),INDEX('M04-S05'!$AO$16:$AO$198,2*(ROWS($O$116:O130)-1)+1),0),"")</f>
        <v>0</v>
      </c>
      <c r="Q130" s="335">
        <f>IFERROR(IF(NOT(ISNUMBER(INDEX('M04-S05'!$AK$16:$AK$198,2*(ROWS($O$116:O130)-1)+1))),INDEX('M04-S05'!$AV$16:$AV$198,2*(ROWS($O$116:O130)-1)+1),0),"")</f>
        <v>0</v>
      </c>
      <c r="R130" s="63" t="str">
        <f>IFERROR(IF(NOT(ISNUMBER(INDEX('M04-S05'!$AK$16:$AK$198,2*(ROWS($O$116:O130)-1)+1))),INDEX(SPILLOVER[Spillover Reason],MATCH(INDEX('M04-S05'!$BC$16:$BC$198,2*(ROWS($O$116:O130)-1)+1),SPILLOVER[Spillover Text],0)),""),"")</f>
        <v/>
      </c>
      <c r="S130" s="283"/>
      <c r="T130" s="283"/>
      <c r="U130" s="277">
        <f>INDEX('M04-S05'!$B$16:$B$198,2*(ROWS($U$116:U130)-1)+1)</f>
        <v>15</v>
      </c>
      <c r="V130" s="254"/>
      <c r="W130" s="104">
        <f>INDEX('M04-S05'!$F$16:$F$198,2*(ROWS($W$116:W130)-1)+1)</f>
        <v>0</v>
      </c>
      <c r="X130" s="63">
        <f>INDEX('M04-S05'!$L$16:$L$198,2*(ROWS($X$116:X130)-1)+1)</f>
        <v>0</v>
      </c>
      <c r="Y130" s="63">
        <f>INDEX('M04-S05'!$U$16:$U$198,2*(ROWS($Y$116:Y130)-1)+1)</f>
        <v>0</v>
      </c>
      <c r="Z130" s="254"/>
      <c r="AA130" s="254"/>
      <c r="AB130" s="254"/>
      <c r="AC130" s="254"/>
      <c r="AD130" s="254"/>
      <c r="AE130" s="277">
        <f>IF(NOT(ISNUMBER(INDEX('M04-S05'!$AK$16:$AK$198,2*(ROWS($O$116:O130)-1)+1))),INDEX('M04-S05'!$Z$16:$Z$198,2*(ROWS($L$116:L130)-1)+1),0)</f>
        <v>0</v>
      </c>
      <c r="AF130" s="277">
        <f>INDEX('M04-S05'!$S$16:$S$198,2*(ROWS($AF$116:AF130)-1)+1)</f>
        <v>0</v>
      </c>
      <c r="AG130" s="277">
        <f>INDEX('M04-S05'!$AB$16:$AB$198,2*(ROWS($AG$116:AG130)-1)+1)</f>
        <v>0</v>
      </c>
      <c r="AH130" s="277" t="str">
        <f t="shared" si="65"/>
        <v/>
      </c>
      <c r="AI130" s="277" t="str">
        <f t="shared" si="66"/>
        <v/>
      </c>
      <c r="AJ130" s="107" t="str">
        <f t="shared" si="67"/>
        <v/>
      </c>
      <c r="AK130" s="107" t="str">
        <f t="shared" si="68"/>
        <v/>
      </c>
      <c r="AL130" s="107" t="str">
        <f t="shared" si="69"/>
        <v/>
      </c>
      <c r="AM130" s="107">
        <f>INDEX('M04-S05'!$AU$16:$AU$198,2*(ROWS($AM$116:AM130)-1)+1)</f>
        <v>0</v>
      </c>
      <c r="AN130" s="107">
        <f>INDEX('M04-S05'!$BB$16:$BB$198,2*(ROWS($AN$116:AN130)-1)+1)</f>
        <v>0</v>
      </c>
      <c r="AO130" s="277">
        <f>INDEX('M04-S05'!$Q$16:$Q$198,2*(ROWS($AO$116:AO130)-1)+1)</f>
        <v>0</v>
      </c>
      <c r="AP130" s="278"/>
      <c r="AQ130" s="278"/>
    </row>
    <row r="131" spans="1:43" x14ac:dyDescent="0.25">
      <c r="A131" s="554" t="str">
        <f>CONCATENATE(MAIN4," ",M4S6)</f>
        <v>PRE-APPROVAL MEASURES Refrigeration</v>
      </c>
      <c r="B131" s="317"/>
      <c r="C131" s="317"/>
      <c r="D131" s="318"/>
      <c r="E131" s="317"/>
      <c r="F131" s="324"/>
      <c r="G131" s="318"/>
      <c r="H131" s="320"/>
      <c r="I131" s="320"/>
      <c r="J131" s="320"/>
      <c r="K131" s="318"/>
      <c r="L131" s="319"/>
      <c r="M131" s="319"/>
      <c r="N131" s="338"/>
      <c r="O131" s="320"/>
      <c r="P131" s="319"/>
      <c r="Q131" s="338"/>
      <c r="R131" s="318"/>
      <c r="S131" s="321"/>
      <c r="T131" s="321"/>
      <c r="U131" s="319"/>
      <c r="V131" s="318"/>
      <c r="W131" s="322"/>
      <c r="X131" s="318"/>
      <c r="Y131" s="318"/>
      <c r="Z131" s="318"/>
      <c r="AA131" s="318"/>
      <c r="AB131" s="318"/>
      <c r="AC131" s="318"/>
      <c r="AD131" s="318"/>
      <c r="AE131" s="319"/>
      <c r="AF131" s="319"/>
      <c r="AG131" s="319"/>
      <c r="AH131" s="319"/>
      <c r="AI131" s="319"/>
      <c r="AJ131" s="320" t="str">
        <f t="shared" ref="AJ131:AJ163" si="70">IFERROR(O131/M131,"")</f>
        <v/>
      </c>
      <c r="AK131" s="320" t="str">
        <f t="shared" ref="AK131:AK163" si="71">IFERROR(O131/N131,"")</f>
        <v/>
      </c>
      <c r="AL131" s="320" t="str">
        <f t="shared" ref="AL131:AL164" si="72">IFERROR(O131/L131,"")</f>
        <v/>
      </c>
      <c r="AM131" s="320"/>
      <c r="AN131" s="320"/>
      <c r="AO131" s="319"/>
      <c r="AP131" s="319"/>
      <c r="AQ131" s="319"/>
    </row>
    <row r="132" spans="1:43" x14ac:dyDescent="0.25">
      <c r="A132" s="118">
        <f t="shared" ref="A132:A146" si="73">PROJID</f>
        <v>0</v>
      </c>
      <c r="B132" s="118" t="str">
        <f t="shared" ref="B132" si="74">IF(C132="","",CONCATENATE(ROW(),"-",C132))</f>
        <v/>
      </c>
      <c r="C132" s="118" t="str">
        <f>IF(J132&gt;0,INDEX('M04-S06'!$AY$16:$AY$198,2*(ROWS($C$132:C132)-1)+1),"")</f>
        <v/>
      </c>
      <c r="D132" s="63" t="s">
        <v>215</v>
      </c>
      <c r="E132" s="301" t="str">
        <f>IFERROR(INDEX('M04-S06'!$AW$16:$AW$198,2*(ROWS($E$132:E132)-1)+1),"")</f>
        <v/>
      </c>
      <c r="F132" s="278"/>
      <c r="G132" s="254"/>
      <c r="H132" s="107">
        <f>INDEX('M04-S06'!$AD$16:$AD$198,2*(ROWS($H$132:H132)-1)+1)</f>
        <v>0</v>
      </c>
      <c r="I132" s="107">
        <f>INDEX('M04-S06'!$AF$16:$AF$198,2*(ROWS($I$132:I132)-1)+1)</f>
        <v>0</v>
      </c>
      <c r="J132" s="107" t="str">
        <f>INDEX('M04-S06'!$AH$16:$AH$198,2*(ROWS($J$132:J132)-1)+1)</f>
        <v/>
      </c>
      <c r="K132" s="63" t="str">
        <f>IFERROR(INDEX(CMEREFRI[Cost Basis],MATCH(INDEX('M04-S06'!$F$16:$F$198,2*(ROWS($K$132:K132)-1)+1),CMEREFRI[Proj Desc 1],0)),"")</f>
        <v/>
      </c>
      <c r="L132" s="277">
        <f>IF(ISNUMBER(INDEX('M04-S06'!$AK$16:$AK$198,2*(ROWS($O$132:O132)-1)+1)),INDEX('M04-S06'!$Z$16:$Z$198,2*(ROWS($L$132:L132)-1)+1),0)</f>
        <v>0</v>
      </c>
      <c r="M132" s="277">
        <f>IFERROR(IF(ISNUMBER(INDEX('M04-S06'!$AK$16:$AK$198,2*(ROWS($O$132:O132)-1)+1)),INDEX('M04-S06'!$AO$16:$AO$198,2*(ROWS($M$132:M132)-1)+1),0),"")</f>
        <v>0</v>
      </c>
      <c r="N132" s="335">
        <f>IFERROR(IF(ISNUMBER(INDEX('M04-S06'!$AK$16:$AK$198,2*(ROWS($O$132:O132)-1)+1)),INDEX('M04-S06'!$AV$16:$AV$198,2*(ROWS($N$132:N132)-1)+1),0),"")</f>
        <v>0</v>
      </c>
      <c r="O132" s="107">
        <f>IF(ISNUMBER(INDEX('M04-S06'!$AK$16:$AK$198,2*(ROWS($O$132:O132)-1)+1)),INDEX('M04-S06'!$AK$16:$AK$198,2*(ROWS($O$132:O132)-1)+1),0)</f>
        <v>0</v>
      </c>
      <c r="P132" s="277" t="str">
        <f>IFERROR(IF(NOT(ISNUMBER(INDEX('M04-S06'!$AK$16:$AK$198,2*(ROWS($O$132:O132)-1)+1))),INDEX('M04-S06'!$AO$16:$AO$198,2*(ROWS($O$132:O132)-1)+1),0),"")</f>
        <v/>
      </c>
      <c r="Q132" s="335" t="str">
        <f>IFERROR(IF(NOT(ISNUMBER(INDEX('M04-S06'!$AK$16:$AK$198,2*(ROWS($O$132:O132)-1)+1))),INDEX('M04-S06'!$AV$16:$AV$198,2*(ROWS($O$132:O132)-1)+1),0),"")</f>
        <v/>
      </c>
      <c r="R132" s="63" t="str">
        <f>IFERROR(IF(NOT(ISNUMBER(INDEX('M04-S06'!$AK$16:$AK$198,2*(ROWS($O$132:O132)-1)+1))),INDEX(SPILLOVER[Spillover Reason],MATCH(INDEX('M04-S06'!$BC$16:$BC$198,2*(ROWS($O$132:O132)-1)+1),SPILLOVER[Spillover Text],0)),""),"")</f>
        <v>Not Eligible</v>
      </c>
      <c r="S132" s="283"/>
      <c r="T132" s="283"/>
      <c r="U132" s="277">
        <f>INDEX('M04-S06'!$B$16:$B$198,2*(ROWS($U$132:U132)-1)+1)</f>
        <v>1</v>
      </c>
      <c r="V132" s="254"/>
      <c r="W132" s="104">
        <f>INDEX('M04-S06'!$F$16:$F$198,2*(ROWS($W$132:W132)-1)+1)</f>
        <v>0</v>
      </c>
      <c r="X132" s="63">
        <f>INDEX('M04-S06'!$L$16:$L$198,2*(ROWS($X$132:X132)-1)+1)</f>
        <v>0</v>
      </c>
      <c r="Y132" s="63">
        <f>INDEX('M04-S06'!$U$16:$U$198,2*(ROWS($Y$132:Y132)-1)+1)</f>
        <v>0</v>
      </c>
      <c r="Z132" s="254"/>
      <c r="AA132" s="254"/>
      <c r="AB132" s="254"/>
      <c r="AC132" s="254"/>
      <c r="AD132" s="254"/>
      <c r="AE132" s="277">
        <f>IF(NOT(ISNUMBER(INDEX('M04-S06'!$AK$16:$AK$198,2*(ROWS($O$132:O132)-1)+1))),INDEX('M04-S06'!$Z$16:$Z$198,2*(ROWS($L$132:L132)-1)+1),0)</f>
        <v>0</v>
      </c>
      <c r="AF132" s="277">
        <f>INDEX('M04-S06'!$S$16:$S$198,2*(ROWS($AF$132:AF132)-1)+1)</f>
        <v>0</v>
      </c>
      <c r="AG132" s="277">
        <f>INDEX('M04-S06'!$AB$16:$AB$198,2*(ROWS($AG$132:AG132)-1)+1)</f>
        <v>0</v>
      </c>
      <c r="AH132" s="277" t="str">
        <f>IFERROR(AF132/AO132,"")</f>
        <v/>
      </c>
      <c r="AI132" s="277" t="str">
        <f>IFERROR(AG132/L132,"")</f>
        <v/>
      </c>
      <c r="AJ132" s="107" t="str">
        <f>IFERROR(O132/M132,"")</f>
        <v/>
      </c>
      <c r="AK132" s="107" t="str">
        <f>IFERROR(O132/N132,"")</f>
        <v/>
      </c>
      <c r="AL132" s="107" t="str">
        <f t="shared" si="72"/>
        <v/>
      </c>
      <c r="AM132" s="107" t="str">
        <f>INDEX('M04-S06'!$AU$16:$AU$198,2*(ROWS($AM$132:AM132)-1)+1)</f>
        <v/>
      </c>
      <c r="AN132" s="107" t="str">
        <f>INDEX('M04-S06'!$BB$16:$BB$198,2*(ROWS($AN$132:AN132)-1)+1)</f>
        <v/>
      </c>
      <c r="AO132" s="277">
        <f>INDEX('M04-S06'!$Q$16:$Q$198,2*(ROWS($AO$132:AO132)-1)+1)</f>
        <v>0</v>
      </c>
      <c r="AP132" s="278"/>
      <c r="AQ132" s="278"/>
    </row>
    <row r="133" spans="1:43" x14ac:dyDescent="0.25">
      <c r="A133" s="118">
        <f t="shared" si="73"/>
        <v>0</v>
      </c>
      <c r="B133" s="118" t="str">
        <f t="shared" ref="B133:B146" si="75">IF(C133="","",CONCATENATE(ROW(),"-",C133))</f>
        <v/>
      </c>
      <c r="C133" s="118" t="str">
        <f>IF(J133&gt;0,INDEX('M04-S06'!$AY$16:$AY$198,2*(ROWS($C$132:C133)-1)+1),"")</f>
        <v/>
      </c>
      <c r="D133" s="63" t="s">
        <v>215</v>
      </c>
      <c r="E133" s="301" t="str">
        <f>IFERROR(INDEX('M04-S06'!$AW$16:$AW$198,2*(ROWS($E$132:E133)-1)+1),"")</f>
        <v/>
      </c>
      <c r="F133" s="278"/>
      <c r="G133" s="254"/>
      <c r="H133" s="107">
        <f>INDEX('M04-S06'!$AD$16:$AD$198,2*(ROWS($H$132:H133)-1)+1)</f>
        <v>0</v>
      </c>
      <c r="I133" s="107">
        <f>INDEX('M04-S06'!$AF$16:$AF$198,2*(ROWS($I$132:I133)-1)+1)</f>
        <v>0</v>
      </c>
      <c r="J133" s="107" t="str">
        <f>INDEX('M04-S06'!$AH$16:$AH$198,2*(ROWS($J$132:J133)-1)+1)</f>
        <v/>
      </c>
      <c r="K133" s="63" t="str">
        <f>IFERROR(INDEX(CMEREFRI[Cost Basis],MATCH(INDEX('M04-S06'!$F$16:$F$198,2*(ROWS($K$132:K133)-1)+1),CMEREFRI[Proj Desc 1],0)),"")</f>
        <v/>
      </c>
      <c r="L133" s="277">
        <f>IF(ISNUMBER(INDEX('M04-S06'!$AK$16:$AK$198,2*(ROWS($O$132:O133)-1)+1)),INDEX('M04-S06'!$Z$16:$Z$198,2*(ROWS($L$132:L133)-1)+1),0)</f>
        <v>0</v>
      </c>
      <c r="M133" s="277">
        <f>IFERROR(IF(ISNUMBER(INDEX('M04-S06'!$AK$16:$AK$198,2*(ROWS($O$132:O133)-1)+1)),INDEX('M04-S06'!$AO$16:$AO$198,2*(ROWS($M$132:M133)-1)+1),0),"")</f>
        <v>0</v>
      </c>
      <c r="N133" s="335">
        <f>IFERROR(IF(ISNUMBER(INDEX('M04-S06'!$AK$16:$AK$198,2*(ROWS($O$132:O133)-1)+1)),INDEX('M04-S06'!$AV$16:$AV$198,2*(ROWS($N$132:N133)-1)+1),0),"")</f>
        <v>0</v>
      </c>
      <c r="O133" s="107">
        <f>IF(ISNUMBER(INDEX('M04-S06'!$AK$16:$AK$198,2*(ROWS($O$132:O133)-1)+1)),INDEX('M04-S06'!$AK$16:$AK$198,2*(ROWS($O$132:O133)-1)+1),0)</f>
        <v>0</v>
      </c>
      <c r="P133" s="277" t="str">
        <f>IFERROR(IF(NOT(ISNUMBER(INDEX('M04-S06'!$AK$16:$AK$198,2*(ROWS($O$132:O133)-1)+1))),INDEX('M04-S06'!$AO$16:$AO$198,2*(ROWS($O$132:O133)-1)+1),0),"")</f>
        <v/>
      </c>
      <c r="Q133" s="335" t="str">
        <f>IFERROR(IF(NOT(ISNUMBER(INDEX('M04-S06'!$AK$16:$AK$198,2*(ROWS($O$132:O133)-1)+1))),INDEX('M04-S06'!$AV$16:$AV$198,2*(ROWS($O$132:O133)-1)+1),0),"")</f>
        <v/>
      </c>
      <c r="R133" s="63" t="str">
        <f>IFERROR(IF(NOT(ISNUMBER(INDEX('M04-S06'!$AK$16:$AK$198,2*(ROWS($O$132:O133)-1)+1))),INDEX(SPILLOVER[Spillover Reason],MATCH(INDEX('M04-S06'!$BC$16:$BC$198,2*(ROWS($O$132:O133)-1)+1),SPILLOVER[Spillover Text],0)),""),"")</f>
        <v>Not Eligible</v>
      </c>
      <c r="S133" s="283"/>
      <c r="T133" s="283"/>
      <c r="U133" s="277">
        <f>INDEX('M04-S06'!$B$16:$B$198,2*(ROWS($U$132:U133)-1)+1)</f>
        <v>2</v>
      </c>
      <c r="V133" s="254"/>
      <c r="W133" s="104">
        <f>INDEX('M04-S06'!$F$16:$F$198,2*(ROWS($W$132:W133)-1)+1)</f>
        <v>0</v>
      </c>
      <c r="X133" s="63">
        <f>INDEX('M04-S06'!$L$16:$L$198,2*(ROWS($X$132:X133)-1)+1)</f>
        <v>0</v>
      </c>
      <c r="Y133" s="63">
        <f>INDEX('M04-S06'!$U$16:$U$198,2*(ROWS($Y$132:Y133)-1)+1)</f>
        <v>0</v>
      </c>
      <c r="Z133" s="254"/>
      <c r="AA133" s="254"/>
      <c r="AB133" s="254"/>
      <c r="AC133" s="254"/>
      <c r="AD133" s="254"/>
      <c r="AE133" s="277">
        <f>IF(NOT(ISNUMBER(INDEX('M04-S06'!$AK$16:$AK$198,2*(ROWS($O$132:O133)-1)+1))),INDEX('M04-S06'!$Z$16:$Z$198,2*(ROWS($L$132:L133)-1)+1),0)</f>
        <v>0</v>
      </c>
      <c r="AF133" s="277">
        <f>INDEX('M04-S06'!$S$16:$S$198,2*(ROWS($AF$132:AF133)-1)+1)</f>
        <v>0</v>
      </c>
      <c r="AG133" s="277">
        <f>INDEX('M04-S06'!$AB$16:$AB$198,2*(ROWS($AG$132:AG133)-1)+1)</f>
        <v>0</v>
      </c>
      <c r="AH133" s="277" t="str">
        <f t="shared" ref="AH133:AH146" si="76">IFERROR(AF133/AO133,"")</f>
        <v/>
      </c>
      <c r="AI133" s="277" t="str">
        <f t="shared" ref="AI133:AI146" si="77">IFERROR(AG133/L133,"")</f>
        <v/>
      </c>
      <c r="AJ133" s="107" t="str">
        <f t="shared" ref="AJ133:AJ146" si="78">IFERROR(O133/M133,"")</f>
        <v/>
      </c>
      <c r="AK133" s="107" t="str">
        <f t="shared" ref="AK133:AK146" si="79">IFERROR(O133/N133,"")</f>
        <v/>
      </c>
      <c r="AL133" s="107" t="str">
        <f t="shared" ref="AL133:AL146" si="80">IFERROR(O133/L133,"")</f>
        <v/>
      </c>
      <c r="AM133" s="107" t="str">
        <f>INDEX('M04-S06'!$AU$16:$AU$198,2*(ROWS($AM$132:AM133)-1)+1)</f>
        <v/>
      </c>
      <c r="AN133" s="107" t="str">
        <f>INDEX('M04-S06'!$BB$16:$BB$198,2*(ROWS($AN$132:AN133)-1)+1)</f>
        <v/>
      </c>
      <c r="AO133" s="277">
        <f>INDEX('M04-S06'!$Q$16:$Q$198,2*(ROWS($AO$132:AO133)-1)+1)</f>
        <v>0</v>
      </c>
      <c r="AP133" s="278"/>
      <c r="AQ133" s="278"/>
    </row>
    <row r="134" spans="1:43" x14ac:dyDescent="0.25">
      <c r="A134" s="118">
        <f t="shared" si="73"/>
        <v>0</v>
      </c>
      <c r="B134" s="118" t="str">
        <f t="shared" si="75"/>
        <v/>
      </c>
      <c r="C134" s="118" t="str">
        <f>IF(J134&gt;0,INDEX('M04-S06'!$AY$16:$AY$198,2*(ROWS($C$132:C134)-1)+1),"")</f>
        <v/>
      </c>
      <c r="D134" s="63" t="s">
        <v>215</v>
      </c>
      <c r="E134" s="301" t="str">
        <f>IFERROR(INDEX('M04-S06'!$AW$16:$AW$198,2*(ROWS($E$132:E134)-1)+1),"")</f>
        <v/>
      </c>
      <c r="F134" s="278"/>
      <c r="G134" s="254"/>
      <c r="H134" s="107">
        <f>INDEX('M04-S06'!$AD$16:$AD$198,2*(ROWS($H$132:H134)-1)+1)</f>
        <v>0</v>
      </c>
      <c r="I134" s="107">
        <f>INDEX('M04-S06'!$AF$16:$AF$198,2*(ROWS($I$132:I134)-1)+1)</f>
        <v>0</v>
      </c>
      <c r="J134" s="107" t="str">
        <f>INDEX('M04-S06'!$AH$16:$AH$198,2*(ROWS($J$132:J134)-1)+1)</f>
        <v/>
      </c>
      <c r="K134" s="63" t="str">
        <f>IFERROR(INDEX(CMEREFRI[Cost Basis],MATCH(INDEX('M04-S06'!$F$16:$F$198,2*(ROWS($K$132:K134)-1)+1),CMEREFRI[Proj Desc 1],0)),"")</f>
        <v/>
      </c>
      <c r="L134" s="277">
        <f>IF(ISNUMBER(INDEX('M04-S06'!$AK$16:$AK$198,2*(ROWS($O$132:O134)-1)+1)),INDEX('M04-S06'!$Z$16:$Z$198,2*(ROWS($L$132:L134)-1)+1),0)</f>
        <v>0</v>
      </c>
      <c r="M134" s="277">
        <f>IFERROR(IF(ISNUMBER(INDEX('M04-S06'!$AK$16:$AK$198,2*(ROWS($O$132:O134)-1)+1)),INDEX('M04-S06'!$AO$16:$AO$198,2*(ROWS($M$132:M134)-1)+1),0),"")</f>
        <v>0</v>
      </c>
      <c r="N134" s="335">
        <f>IFERROR(IF(ISNUMBER(INDEX('M04-S06'!$AK$16:$AK$198,2*(ROWS($O$132:O134)-1)+1)),INDEX('M04-S06'!$AV$16:$AV$198,2*(ROWS($N$132:N134)-1)+1),0),"")</f>
        <v>0</v>
      </c>
      <c r="O134" s="107">
        <f>IF(ISNUMBER(INDEX('M04-S06'!$AK$16:$AK$198,2*(ROWS($O$132:O134)-1)+1)),INDEX('M04-S06'!$AK$16:$AK$198,2*(ROWS($O$132:O134)-1)+1),0)</f>
        <v>0</v>
      </c>
      <c r="P134" s="277" t="str">
        <f>IFERROR(IF(NOT(ISNUMBER(INDEX('M04-S06'!$AK$16:$AK$198,2*(ROWS($O$132:O134)-1)+1))),INDEX('M04-S06'!$AO$16:$AO$198,2*(ROWS($O$132:O134)-1)+1),0),"")</f>
        <v/>
      </c>
      <c r="Q134" s="335" t="str">
        <f>IFERROR(IF(NOT(ISNUMBER(INDEX('M04-S06'!$AK$16:$AK$198,2*(ROWS($O$132:O134)-1)+1))),INDEX('M04-S06'!$AV$16:$AV$198,2*(ROWS($O$132:O134)-1)+1),0),"")</f>
        <v/>
      </c>
      <c r="R134" s="63" t="str">
        <f>IFERROR(IF(NOT(ISNUMBER(INDEX('M04-S06'!$AK$16:$AK$198,2*(ROWS($O$132:O134)-1)+1))),INDEX(SPILLOVER[Spillover Reason],MATCH(INDEX('M04-S06'!$BC$16:$BC$198,2*(ROWS($O$132:O134)-1)+1),SPILLOVER[Spillover Text],0)),""),"")</f>
        <v>Not Eligible</v>
      </c>
      <c r="S134" s="283"/>
      <c r="T134" s="283"/>
      <c r="U134" s="277">
        <f>INDEX('M04-S06'!$B$16:$B$198,2*(ROWS($U$132:U134)-1)+1)</f>
        <v>3</v>
      </c>
      <c r="V134" s="254"/>
      <c r="W134" s="104">
        <f>INDEX('M04-S06'!$F$16:$F$198,2*(ROWS($W$132:W134)-1)+1)</f>
        <v>0</v>
      </c>
      <c r="X134" s="63">
        <f>INDEX('M04-S06'!$L$16:$L$198,2*(ROWS($X$132:X134)-1)+1)</f>
        <v>0</v>
      </c>
      <c r="Y134" s="63">
        <f>INDEX('M04-S06'!$U$16:$U$198,2*(ROWS($Y$132:Y134)-1)+1)</f>
        <v>0</v>
      </c>
      <c r="Z134" s="254"/>
      <c r="AA134" s="254"/>
      <c r="AB134" s="254"/>
      <c r="AC134" s="254"/>
      <c r="AD134" s="254"/>
      <c r="AE134" s="277">
        <f>IF(NOT(ISNUMBER(INDEX('M04-S06'!$AK$16:$AK$198,2*(ROWS($O$132:O134)-1)+1))),INDEX('M04-S06'!$Z$16:$Z$198,2*(ROWS($L$132:L134)-1)+1),0)</f>
        <v>0</v>
      </c>
      <c r="AF134" s="277">
        <f>INDEX('M04-S06'!$S$16:$S$198,2*(ROWS($AF$132:AF134)-1)+1)</f>
        <v>0</v>
      </c>
      <c r="AG134" s="277">
        <f>INDEX('M04-S06'!$AB$16:$AB$198,2*(ROWS($AG$132:AG134)-1)+1)</f>
        <v>0</v>
      </c>
      <c r="AH134" s="277" t="str">
        <f t="shared" si="76"/>
        <v/>
      </c>
      <c r="AI134" s="277" t="str">
        <f t="shared" si="77"/>
        <v/>
      </c>
      <c r="AJ134" s="107" t="str">
        <f t="shared" si="78"/>
        <v/>
      </c>
      <c r="AK134" s="107" t="str">
        <f t="shared" si="79"/>
        <v/>
      </c>
      <c r="AL134" s="107" t="str">
        <f t="shared" si="80"/>
        <v/>
      </c>
      <c r="AM134" s="107" t="str">
        <f>INDEX('M04-S06'!$AU$16:$AU$198,2*(ROWS($AM$132:AM134)-1)+1)</f>
        <v/>
      </c>
      <c r="AN134" s="107" t="str">
        <f>INDEX('M04-S06'!$BB$16:$BB$198,2*(ROWS($AN$132:AN134)-1)+1)</f>
        <v/>
      </c>
      <c r="AO134" s="277">
        <f>INDEX('M04-S06'!$Q$16:$Q$198,2*(ROWS($AO$132:AO134)-1)+1)</f>
        <v>0</v>
      </c>
      <c r="AP134" s="278"/>
      <c r="AQ134" s="278"/>
    </row>
    <row r="135" spans="1:43" x14ac:dyDescent="0.25">
      <c r="A135" s="118">
        <f t="shared" si="73"/>
        <v>0</v>
      </c>
      <c r="B135" s="118" t="str">
        <f t="shared" si="75"/>
        <v/>
      </c>
      <c r="C135" s="118" t="str">
        <f>IF(J135&gt;0,INDEX('M04-S06'!$AY$16:$AY$198,2*(ROWS($C$132:C135)-1)+1),"")</f>
        <v/>
      </c>
      <c r="D135" s="63" t="s">
        <v>215</v>
      </c>
      <c r="E135" s="301" t="str">
        <f>IFERROR(INDEX('M04-S06'!$AW$16:$AW$198,2*(ROWS($E$132:E135)-1)+1),"")</f>
        <v/>
      </c>
      <c r="F135" s="278"/>
      <c r="G135" s="254"/>
      <c r="H135" s="107">
        <f>INDEX('M04-S06'!$AD$16:$AD$198,2*(ROWS($H$132:H135)-1)+1)</f>
        <v>0</v>
      </c>
      <c r="I135" s="107">
        <f>INDEX('M04-S06'!$AF$16:$AF$198,2*(ROWS($I$132:I135)-1)+1)</f>
        <v>0</v>
      </c>
      <c r="J135" s="107" t="str">
        <f>INDEX('M04-S06'!$AH$16:$AH$198,2*(ROWS($J$132:J135)-1)+1)</f>
        <v/>
      </c>
      <c r="K135" s="63" t="str">
        <f>IFERROR(INDEX(CMEREFRI[Cost Basis],MATCH(INDEX('M04-S06'!$F$16:$F$198,2*(ROWS($K$132:K135)-1)+1),CMEREFRI[Proj Desc 1],0)),"")</f>
        <v/>
      </c>
      <c r="L135" s="277">
        <f>IF(ISNUMBER(INDEX('M04-S06'!$AK$16:$AK$198,2*(ROWS($O$132:O135)-1)+1)),INDEX('M04-S06'!$Z$16:$Z$198,2*(ROWS($L$132:L135)-1)+1),0)</f>
        <v>0</v>
      </c>
      <c r="M135" s="277">
        <f>IFERROR(IF(ISNUMBER(INDEX('M04-S06'!$AK$16:$AK$198,2*(ROWS($O$132:O135)-1)+1)),INDEX('M04-S06'!$AO$16:$AO$198,2*(ROWS($M$132:M135)-1)+1),0),"")</f>
        <v>0</v>
      </c>
      <c r="N135" s="335">
        <f>IFERROR(IF(ISNUMBER(INDEX('M04-S06'!$AK$16:$AK$198,2*(ROWS($O$132:O135)-1)+1)),INDEX('M04-S06'!$AV$16:$AV$198,2*(ROWS($N$132:N135)-1)+1),0),"")</f>
        <v>0</v>
      </c>
      <c r="O135" s="107">
        <f>IF(ISNUMBER(INDEX('M04-S06'!$AK$16:$AK$198,2*(ROWS($O$132:O135)-1)+1)),INDEX('M04-S06'!$AK$16:$AK$198,2*(ROWS($O$132:O135)-1)+1),0)</f>
        <v>0</v>
      </c>
      <c r="P135" s="277" t="str">
        <f>IFERROR(IF(NOT(ISNUMBER(INDEX('M04-S06'!$AK$16:$AK$198,2*(ROWS($O$132:O135)-1)+1))),INDEX('M04-S06'!$AO$16:$AO$198,2*(ROWS($O$132:O135)-1)+1),0),"")</f>
        <v/>
      </c>
      <c r="Q135" s="335" t="str">
        <f>IFERROR(IF(NOT(ISNUMBER(INDEX('M04-S06'!$AK$16:$AK$198,2*(ROWS($O$132:O135)-1)+1))),INDEX('M04-S06'!$AV$16:$AV$198,2*(ROWS($O$132:O135)-1)+1),0),"")</f>
        <v/>
      </c>
      <c r="R135" s="63" t="str">
        <f>IFERROR(IF(NOT(ISNUMBER(INDEX('M04-S06'!$AK$16:$AK$198,2*(ROWS($O$132:O135)-1)+1))),INDEX(SPILLOVER[Spillover Reason],MATCH(INDEX('M04-S06'!$BC$16:$BC$198,2*(ROWS($O$132:O135)-1)+1),SPILLOVER[Spillover Text],0)),""),"")</f>
        <v>Not Eligible</v>
      </c>
      <c r="S135" s="283"/>
      <c r="T135" s="283"/>
      <c r="U135" s="277">
        <f>INDEX('M04-S06'!$B$16:$B$198,2*(ROWS($U$132:U135)-1)+1)</f>
        <v>4</v>
      </c>
      <c r="V135" s="254"/>
      <c r="W135" s="104">
        <f>INDEX('M04-S06'!$F$16:$F$198,2*(ROWS($W$132:W135)-1)+1)</f>
        <v>0</v>
      </c>
      <c r="X135" s="63">
        <f>INDEX('M04-S06'!$L$16:$L$198,2*(ROWS($X$132:X135)-1)+1)</f>
        <v>0</v>
      </c>
      <c r="Y135" s="63">
        <f>INDEX('M04-S06'!$U$16:$U$198,2*(ROWS($Y$132:Y135)-1)+1)</f>
        <v>0</v>
      </c>
      <c r="Z135" s="254"/>
      <c r="AA135" s="254"/>
      <c r="AB135" s="254"/>
      <c r="AC135" s="254"/>
      <c r="AD135" s="254"/>
      <c r="AE135" s="277">
        <f>IF(NOT(ISNUMBER(INDEX('M04-S06'!$AK$16:$AK$198,2*(ROWS($O$132:O135)-1)+1))),INDEX('M04-S06'!$Z$16:$Z$198,2*(ROWS($L$132:L135)-1)+1),0)</f>
        <v>0</v>
      </c>
      <c r="AF135" s="277">
        <f>INDEX('M04-S06'!$S$16:$S$198,2*(ROWS($AF$132:AF135)-1)+1)</f>
        <v>0</v>
      </c>
      <c r="AG135" s="277">
        <f>INDEX('M04-S06'!$AB$16:$AB$198,2*(ROWS($AG$132:AG135)-1)+1)</f>
        <v>0</v>
      </c>
      <c r="AH135" s="277" t="str">
        <f t="shared" si="76"/>
        <v/>
      </c>
      <c r="AI135" s="277" t="str">
        <f t="shared" si="77"/>
        <v/>
      </c>
      <c r="AJ135" s="107" t="str">
        <f t="shared" si="78"/>
        <v/>
      </c>
      <c r="AK135" s="107" t="str">
        <f t="shared" si="79"/>
        <v/>
      </c>
      <c r="AL135" s="107" t="str">
        <f t="shared" si="80"/>
        <v/>
      </c>
      <c r="AM135" s="107" t="str">
        <f>INDEX('M04-S06'!$AU$16:$AU$198,2*(ROWS($AM$132:AM135)-1)+1)</f>
        <v/>
      </c>
      <c r="AN135" s="107" t="str">
        <f>INDEX('M04-S06'!$BB$16:$BB$198,2*(ROWS($AN$132:AN135)-1)+1)</f>
        <v/>
      </c>
      <c r="AO135" s="277">
        <f>INDEX('M04-S06'!$Q$16:$Q$198,2*(ROWS($AO$132:AO135)-1)+1)</f>
        <v>0</v>
      </c>
      <c r="AP135" s="278"/>
      <c r="AQ135" s="278"/>
    </row>
    <row r="136" spans="1:43" x14ac:dyDescent="0.25">
      <c r="A136" s="118">
        <f t="shared" si="73"/>
        <v>0</v>
      </c>
      <c r="B136" s="118" t="str">
        <f t="shared" si="75"/>
        <v/>
      </c>
      <c r="C136" s="118" t="str">
        <f>IF(J136&gt;0,INDEX('M04-S06'!$AY$16:$AY$198,2*(ROWS($C$132:C136)-1)+1),"")</f>
        <v/>
      </c>
      <c r="D136" s="63" t="s">
        <v>215</v>
      </c>
      <c r="E136" s="301" t="str">
        <f>IFERROR(INDEX('M04-S06'!$AW$16:$AW$198,2*(ROWS($E$132:E136)-1)+1),"")</f>
        <v/>
      </c>
      <c r="F136" s="278"/>
      <c r="G136" s="254"/>
      <c r="H136" s="107">
        <f>INDEX('M04-S06'!$AD$16:$AD$198,2*(ROWS($H$132:H136)-1)+1)</f>
        <v>0</v>
      </c>
      <c r="I136" s="107">
        <f>INDEX('M04-S06'!$AF$16:$AF$198,2*(ROWS($I$132:I136)-1)+1)</f>
        <v>0</v>
      </c>
      <c r="J136" s="107" t="str">
        <f>INDEX('M04-S06'!$AH$16:$AH$198,2*(ROWS($J$132:J136)-1)+1)</f>
        <v/>
      </c>
      <c r="K136" s="63" t="str">
        <f>IFERROR(INDEX(CMEREFRI[Cost Basis],MATCH(INDEX('M04-S06'!$F$16:$F$198,2*(ROWS($K$132:K136)-1)+1),CMEREFRI[Proj Desc 1],0)),"")</f>
        <v/>
      </c>
      <c r="L136" s="277">
        <f>IF(ISNUMBER(INDEX('M04-S06'!$AK$16:$AK$198,2*(ROWS($O$132:O136)-1)+1)),INDEX('M04-S06'!$Z$16:$Z$198,2*(ROWS($L$132:L136)-1)+1),0)</f>
        <v>0</v>
      </c>
      <c r="M136" s="277">
        <f>IFERROR(IF(ISNUMBER(INDEX('M04-S06'!$AK$16:$AK$198,2*(ROWS($O$132:O136)-1)+1)),INDEX('M04-S06'!$AO$16:$AO$198,2*(ROWS($M$132:M136)-1)+1),0),"")</f>
        <v>0</v>
      </c>
      <c r="N136" s="335">
        <f>IFERROR(IF(ISNUMBER(INDEX('M04-S06'!$AK$16:$AK$198,2*(ROWS($O$132:O136)-1)+1)),INDEX('M04-S06'!$AV$16:$AV$198,2*(ROWS($N$132:N136)-1)+1),0),"")</f>
        <v>0</v>
      </c>
      <c r="O136" s="107">
        <f>IF(ISNUMBER(INDEX('M04-S06'!$AK$16:$AK$198,2*(ROWS($O$132:O136)-1)+1)),INDEX('M04-S06'!$AK$16:$AK$198,2*(ROWS($O$132:O136)-1)+1),0)</f>
        <v>0</v>
      </c>
      <c r="P136" s="277" t="str">
        <f>IFERROR(IF(NOT(ISNUMBER(INDEX('M04-S06'!$AK$16:$AK$198,2*(ROWS($O$132:O136)-1)+1))),INDEX('M04-S06'!$AO$16:$AO$198,2*(ROWS($O$132:O136)-1)+1),0),"")</f>
        <v/>
      </c>
      <c r="Q136" s="335" t="str">
        <f>IFERROR(IF(NOT(ISNUMBER(INDEX('M04-S06'!$AK$16:$AK$198,2*(ROWS($O$132:O136)-1)+1))),INDEX('M04-S06'!$AV$16:$AV$198,2*(ROWS($O$132:O136)-1)+1),0),"")</f>
        <v/>
      </c>
      <c r="R136" s="63" t="str">
        <f>IFERROR(IF(NOT(ISNUMBER(INDEX('M04-S06'!$AK$16:$AK$198,2*(ROWS($O$132:O136)-1)+1))),INDEX(SPILLOVER[Spillover Reason],MATCH(INDEX('M04-S06'!$BC$16:$BC$198,2*(ROWS($O$132:O136)-1)+1),SPILLOVER[Spillover Text],0)),""),"")</f>
        <v>Not Eligible</v>
      </c>
      <c r="S136" s="283"/>
      <c r="T136" s="283"/>
      <c r="U136" s="277">
        <f>INDEX('M04-S06'!$B$16:$B$198,2*(ROWS($U$132:U136)-1)+1)</f>
        <v>5</v>
      </c>
      <c r="V136" s="254"/>
      <c r="W136" s="104">
        <f>INDEX('M04-S06'!$F$16:$F$198,2*(ROWS($W$132:W136)-1)+1)</f>
        <v>0</v>
      </c>
      <c r="X136" s="63">
        <f>INDEX('M04-S06'!$L$16:$L$198,2*(ROWS($X$132:X136)-1)+1)</f>
        <v>0</v>
      </c>
      <c r="Y136" s="63">
        <f>INDEX('M04-S06'!$U$16:$U$198,2*(ROWS($Y$132:Y136)-1)+1)</f>
        <v>0</v>
      </c>
      <c r="Z136" s="254"/>
      <c r="AA136" s="254"/>
      <c r="AB136" s="254"/>
      <c r="AC136" s="254"/>
      <c r="AD136" s="254"/>
      <c r="AE136" s="277">
        <f>IF(NOT(ISNUMBER(INDEX('M04-S06'!$AK$16:$AK$198,2*(ROWS($O$132:O136)-1)+1))),INDEX('M04-S06'!$Z$16:$Z$198,2*(ROWS($L$132:L136)-1)+1),0)</f>
        <v>0</v>
      </c>
      <c r="AF136" s="277">
        <f>INDEX('M04-S06'!$S$16:$S$198,2*(ROWS($AF$132:AF136)-1)+1)</f>
        <v>0</v>
      </c>
      <c r="AG136" s="277">
        <f>INDEX('M04-S06'!$AB$16:$AB$198,2*(ROWS($AG$132:AG136)-1)+1)</f>
        <v>0</v>
      </c>
      <c r="AH136" s="277" t="str">
        <f t="shared" si="76"/>
        <v/>
      </c>
      <c r="AI136" s="277" t="str">
        <f t="shared" si="77"/>
        <v/>
      </c>
      <c r="AJ136" s="107" t="str">
        <f t="shared" si="78"/>
        <v/>
      </c>
      <c r="AK136" s="107" t="str">
        <f t="shared" si="79"/>
        <v/>
      </c>
      <c r="AL136" s="107" t="str">
        <f t="shared" si="80"/>
        <v/>
      </c>
      <c r="AM136" s="107" t="str">
        <f>INDEX('M04-S06'!$AU$16:$AU$198,2*(ROWS($AM$132:AM136)-1)+1)</f>
        <v/>
      </c>
      <c r="AN136" s="107" t="str">
        <f>INDEX('M04-S06'!$BB$16:$BB$198,2*(ROWS($AN$132:AN136)-1)+1)</f>
        <v/>
      </c>
      <c r="AO136" s="277">
        <f>INDEX('M04-S06'!$Q$16:$Q$198,2*(ROWS($AO$132:AO136)-1)+1)</f>
        <v>0</v>
      </c>
      <c r="AP136" s="278"/>
      <c r="AQ136" s="278"/>
    </row>
    <row r="137" spans="1:43" x14ac:dyDescent="0.25">
      <c r="A137" s="118">
        <f t="shared" si="73"/>
        <v>0</v>
      </c>
      <c r="B137" s="118" t="str">
        <f t="shared" si="75"/>
        <v/>
      </c>
      <c r="C137" s="118" t="str">
        <f>IF(J137&gt;0,INDEX('M04-S06'!$AY$16:$AY$198,2*(ROWS($C$132:C137)-1)+1),"")</f>
        <v/>
      </c>
      <c r="D137" s="63" t="s">
        <v>215</v>
      </c>
      <c r="E137" s="301" t="str">
        <f>IFERROR(INDEX('M04-S06'!$AW$16:$AW$198,2*(ROWS($E$132:E137)-1)+1),"")</f>
        <v/>
      </c>
      <c r="F137" s="278"/>
      <c r="G137" s="254"/>
      <c r="H137" s="107">
        <f>INDEX('M04-S06'!$AD$16:$AD$198,2*(ROWS($H$132:H137)-1)+1)</f>
        <v>0</v>
      </c>
      <c r="I137" s="107">
        <f>INDEX('M04-S06'!$AF$16:$AF$198,2*(ROWS($I$132:I137)-1)+1)</f>
        <v>0</v>
      </c>
      <c r="J137" s="107" t="str">
        <f>INDEX('M04-S06'!$AH$16:$AH$198,2*(ROWS($J$132:J137)-1)+1)</f>
        <v/>
      </c>
      <c r="K137" s="63" t="str">
        <f>IFERROR(INDEX(CMEREFRI[Cost Basis],MATCH(INDEX('M04-S06'!$F$16:$F$198,2*(ROWS($K$132:K137)-1)+1),CMEREFRI[Proj Desc 1],0)),"")</f>
        <v/>
      </c>
      <c r="L137" s="277">
        <f>IF(ISNUMBER(INDEX('M04-S06'!$AK$16:$AK$198,2*(ROWS($O$132:O137)-1)+1)),INDEX('M04-S06'!$Z$16:$Z$198,2*(ROWS($L$132:L137)-1)+1),0)</f>
        <v>0</v>
      </c>
      <c r="M137" s="277">
        <f>IFERROR(IF(ISNUMBER(INDEX('M04-S06'!$AK$16:$AK$198,2*(ROWS($O$132:O137)-1)+1)),INDEX('M04-S06'!$AO$16:$AO$198,2*(ROWS($M$132:M137)-1)+1),0),"")</f>
        <v>0</v>
      </c>
      <c r="N137" s="335">
        <f>IFERROR(IF(ISNUMBER(INDEX('M04-S06'!$AK$16:$AK$198,2*(ROWS($O$132:O137)-1)+1)),INDEX('M04-S06'!$AV$16:$AV$198,2*(ROWS($N$132:N137)-1)+1),0),"")</f>
        <v>0</v>
      </c>
      <c r="O137" s="107">
        <f>IF(ISNUMBER(INDEX('M04-S06'!$AK$16:$AK$198,2*(ROWS($O$132:O137)-1)+1)),INDEX('M04-S06'!$AK$16:$AK$198,2*(ROWS($O$132:O137)-1)+1),0)</f>
        <v>0</v>
      </c>
      <c r="P137" s="277" t="str">
        <f>IFERROR(IF(NOT(ISNUMBER(INDEX('M04-S06'!$AK$16:$AK$198,2*(ROWS($O$132:O137)-1)+1))),INDEX('M04-S06'!$AO$16:$AO$198,2*(ROWS($O$132:O137)-1)+1),0),"")</f>
        <v/>
      </c>
      <c r="Q137" s="335" t="str">
        <f>IFERROR(IF(NOT(ISNUMBER(INDEX('M04-S06'!$AK$16:$AK$198,2*(ROWS($O$132:O137)-1)+1))),INDEX('M04-S06'!$AV$16:$AV$198,2*(ROWS($O$132:O137)-1)+1),0),"")</f>
        <v/>
      </c>
      <c r="R137" s="63" t="str">
        <f>IFERROR(IF(NOT(ISNUMBER(INDEX('M04-S06'!$AK$16:$AK$198,2*(ROWS($O$132:O137)-1)+1))),INDEX(SPILLOVER[Spillover Reason],MATCH(INDEX('M04-S06'!$BC$16:$BC$198,2*(ROWS($O$132:O137)-1)+1),SPILLOVER[Spillover Text],0)),""),"")</f>
        <v>Not Eligible</v>
      </c>
      <c r="S137" s="283"/>
      <c r="T137" s="283"/>
      <c r="U137" s="277">
        <f>INDEX('M04-S06'!$B$16:$B$198,2*(ROWS($U$132:U137)-1)+1)</f>
        <v>6</v>
      </c>
      <c r="V137" s="254"/>
      <c r="W137" s="104">
        <f>INDEX('M04-S06'!$F$16:$F$198,2*(ROWS($W$132:W137)-1)+1)</f>
        <v>0</v>
      </c>
      <c r="X137" s="63">
        <f>INDEX('M04-S06'!$L$16:$L$198,2*(ROWS($X$132:X137)-1)+1)</f>
        <v>0</v>
      </c>
      <c r="Y137" s="63">
        <f>INDEX('M04-S06'!$U$16:$U$198,2*(ROWS($Y$132:Y137)-1)+1)</f>
        <v>0</v>
      </c>
      <c r="Z137" s="254"/>
      <c r="AA137" s="254"/>
      <c r="AB137" s="254"/>
      <c r="AC137" s="254"/>
      <c r="AD137" s="254"/>
      <c r="AE137" s="277">
        <f>IF(NOT(ISNUMBER(INDEX('M04-S06'!$AK$16:$AK$198,2*(ROWS($O$132:O137)-1)+1))),INDEX('M04-S06'!$Z$16:$Z$198,2*(ROWS($L$132:L137)-1)+1),0)</f>
        <v>0</v>
      </c>
      <c r="AF137" s="277">
        <f>INDEX('M04-S06'!$S$16:$S$198,2*(ROWS($AF$132:AF137)-1)+1)</f>
        <v>0</v>
      </c>
      <c r="AG137" s="277">
        <f>INDEX('M04-S06'!$AB$16:$AB$198,2*(ROWS($AG$132:AG137)-1)+1)</f>
        <v>0</v>
      </c>
      <c r="AH137" s="277" t="str">
        <f t="shared" si="76"/>
        <v/>
      </c>
      <c r="AI137" s="277" t="str">
        <f t="shared" si="77"/>
        <v/>
      </c>
      <c r="AJ137" s="107" t="str">
        <f t="shared" si="78"/>
        <v/>
      </c>
      <c r="AK137" s="107" t="str">
        <f t="shared" si="79"/>
        <v/>
      </c>
      <c r="AL137" s="107" t="str">
        <f t="shared" si="80"/>
        <v/>
      </c>
      <c r="AM137" s="107" t="str">
        <f>INDEX('M04-S06'!$AU$16:$AU$198,2*(ROWS($AM$132:AM137)-1)+1)</f>
        <v/>
      </c>
      <c r="AN137" s="107" t="str">
        <f>INDEX('M04-S06'!$BB$16:$BB$198,2*(ROWS($AN$132:AN137)-1)+1)</f>
        <v/>
      </c>
      <c r="AO137" s="277">
        <f>INDEX('M04-S06'!$Q$16:$Q$198,2*(ROWS($AO$132:AO137)-1)+1)</f>
        <v>0</v>
      </c>
      <c r="AP137" s="278"/>
      <c r="AQ137" s="278"/>
    </row>
    <row r="138" spans="1:43" x14ac:dyDescent="0.25">
      <c r="A138" s="118">
        <f t="shared" si="73"/>
        <v>0</v>
      </c>
      <c r="B138" s="118" t="str">
        <f t="shared" si="75"/>
        <v/>
      </c>
      <c r="C138" s="118" t="str">
        <f>IF(J138&gt;0,INDEX('M04-S06'!$AY$16:$AY$198,2*(ROWS($C$132:C138)-1)+1),"")</f>
        <v/>
      </c>
      <c r="D138" s="63" t="s">
        <v>215</v>
      </c>
      <c r="E138" s="301" t="str">
        <f>IFERROR(INDEX('M04-S06'!$AW$16:$AW$198,2*(ROWS($E$132:E138)-1)+1),"")</f>
        <v/>
      </c>
      <c r="F138" s="278"/>
      <c r="G138" s="254"/>
      <c r="H138" s="107">
        <f>INDEX('M04-S06'!$AD$16:$AD$198,2*(ROWS($H$132:H138)-1)+1)</f>
        <v>0</v>
      </c>
      <c r="I138" s="107">
        <f>INDEX('M04-S06'!$AF$16:$AF$198,2*(ROWS($I$132:I138)-1)+1)</f>
        <v>0</v>
      </c>
      <c r="J138" s="107" t="str">
        <f>INDEX('M04-S06'!$AH$16:$AH$198,2*(ROWS($J$132:J138)-1)+1)</f>
        <v/>
      </c>
      <c r="K138" s="63" t="str">
        <f>IFERROR(INDEX(CMEREFRI[Cost Basis],MATCH(INDEX('M04-S06'!$F$16:$F$198,2*(ROWS($K$132:K138)-1)+1),CMEREFRI[Proj Desc 1],0)),"")</f>
        <v/>
      </c>
      <c r="L138" s="277">
        <f>IF(ISNUMBER(INDEX('M04-S06'!$AK$16:$AK$198,2*(ROWS($O$132:O138)-1)+1)),INDEX('M04-S06'!$Z$16:$Z$198,2*(ROWS($L$132:L138)-1)+1),0)</f>
        <v>0</v>
      </c>
      <c r="M138" s="277">
        <f>IFERROR(IF(ISNUMBER(INDEX('M04-S06'!$AK$16:$AK$198,2*(ROWS($O$132:O138)-1)+1)),INDEX('M04-S06'!$AO$16:$AO$198,2*(ROWS($M$132:M138)-1)+1),0),"")</f>
        <v>0</v>
      </c>
      <c r="N138" s="335">
        <f>IFERROR(IF(ISNUMBER(INDEX('M04-S06'!$AK$16:$AK$198,2*(ROWS($O$132:O138)-1)+1)),INDEX('M04-S06'!$AV$16:$AV$198,2*(ROWS($N$132:N138)-1)+1),0),"")</f>
        <v>0</v>
      </c>
      <c r="O138" s="107">
        <f>IF(ISNUMBER(INDEX('M04-S06'!$AK$16:$AK$198,2*(ROWS($O$132:O138)-1)+1)),INDEX('M04-S06'!$AK$16:$AK$198,2*(ROWS($O$132:O138)-1)+1),0)</f>
        <v>0</v>
      </c>
      <c r="P138" s="277" t="str">
        <f>IFERROR(IF(NOT(ISNUMBER(INDEX('M04-S06'!$AK$16:$AK$198,2*(ROWS($O$132:O138)-1)+1))),INDEX('M04-S06'!$AO$16:$AO$198,2*(ROWS($O$132:O138)-1)+1),0),"")</f>
        <v/>
      </c>
      <c r="Q138" s="335" t="str">
        <f>IFERROR(IF(NOT(ISNUMBER(INDEX('M04-S06'!$AK$16:$AK$198,2*(ROWS($O$132:O138)-1)+1))),INDEX('M04-S06'!$AV$16:$AV$198,2*(ROWS($O$132:O138)-1)+1),0),"")</f>
        <v/>
      </c>
      <c r="R138" s="63" t="str">
        <f>IFERROR(IF(NOT(ISNUMBER(INDEX('M04-S06'!$AK$16:$AK$198,2*(ROWS($O$132:O138)-1)+1))),INDEX(SPILLOVER[Spillover Reason],MATCH(INDEX('M04-S06'!$BC$16:$BC$198,2*(ROWS($O$132:O138)-1)+1),SPILLOVER[Spillover Text],0)),""),"")</f>
        <v>Not Eligible</v>
      </c>
      <c r="S138" s="283"/>
      <c r="T138" s="283"/>
      <c r="U138" s="277">
        <f>INDEX('M04-S06'!$B$16:$B$198,2*(ROWS($U$132:U138)-1)+1)</f>
        <v>7</v>
      </c>
      <c r="V138" s="254"/>
      <c r="W138" s="104">
        <f>INDEX('M04-S06'!$F$16:$F$198,2*(ROWS($W$132:W138)-1)+1)</f>
        <v>0</v>
      </c>
      <c r="X138" s="63">
        <f>INDEX('M04-S06'!$L$16:$L$198,2*(ROWS($X$132:X138)-1)+1)</f>
        <v>0</v>
      </c>
      <c r="Y138" s="63">
        <f>INDEX('M04-S06'!$U$16:$U$198,2*(ROWS($Y$132:Y138)-1)+1)</f>
        <v>0</v>
      </c>
      <c r="Z138" s="254"/>
      <c r="AA138" s="254"/>
      <c r="AB138" s="254"/>
      <c r="AC138" s="254"/>
      <c r="AD138" s="254"/>
      <c r="AE138" s="277">
        <f>IF(NOT(ISNUMBER(INDEX('M04-S06'!$AK$16:$AK$198,2*(ROWS($O$132:O138)-1)+1))),INDEX('M04-S06'!$Z$16:$Z$198,2*(ROWS($L$132:L138)-1)+1),0)</f>
        <v>0</v>
      </c>
      <c r="AF138" s="277">
        <f>INDEX('M04-S06'!$S$16:$S$198,2*(ROWS($AF$132:AF138)-1)+1)</f>
        <v>0</v>
      </c>
      <c r="AG138" s="277">
        <f>INDEX('M04-S06'!$AB$16:$AB$198,2*(ROWS($AG$132:AG138)-1)+1)</f>
        <v>0</v>
      </c>
      <c r="AH138" s="277" t="str">
        <f t="shared" si="76"/>
        <v/>
      </c>
      <c r="AI138" s="277" t="str">
        <f t="shared" si="77"/>
        <v/>
      </c>
      <c r="AJ138" s="107" t="str">
        <f t="shared" si="78"/>
        <v/>
      </c>
      <c r="AK138" s="107" t="str">
        <f t="shared" si="79"/>
        <v/>
      </c>
      <c r="AL138" s="107" t="str">
        <f t="shared" si="80"/>
        <v/>
      </c>
      <c r="AM138" s="107" t="str">
        <f>INDEX('M04-S06'!$AU$16:$AU$198,2*(ROWS($AM$132:AM138)-1)+1)</f>
        <v/>
      </c>
      <c r="AN138" s="107" t="str">
        <f>INDEX('M04-S06'!$BB$16:$BB$198,2*(ROWS($AN$132:AN138)-1)+1)</f>
        <v/>
      </c>
      <c r="AO138" s="277">
        <f>INDEX('M04-S06'!$Q$16:$Q$198,2*(ROWS($AO$132:AO138)-1)+1)</f>
        <v>0</v>
      </c>
      <c r="AP138" s="278"/>
      <c r="AQ138" s="278"/>
    </row>
    <row r="139" spans="1:43" x14ac:dyDescent="0.25">
      <c r="A139" s="118">
        <f t="shared" si="73"/>
        <v>0</v>
      </c>
      <c r="B139" s="118" t="str">
        <f t="shared" si="75"/>
        <v/>
      </c>
      <c r="C139" s="118" t="str">
        <f>IF(J139&gt;0,INDEX('M04-S06'!$AY$16:$AY$198,2*(ROWS($C$132:C139)-1)+1),"")</f>
        <v/>
      </c>
      <c r="D139" s="63" t="s">
        <v>215</v>
      </c>
      <c r="E139" s="301" t="str">
        <f>IFERROR(INDEX('M04-S06'!$AW$16:$AW$198,2*(ROWS($E$132:E139)-1)+1),"")</f>
        <v/>
      </c>
      <c r="F139" s="278"/>
      <c r="G139" s="254"/>
      <c r="H139" s="107">
        <f>INDEX('M04-S06'!$AD$16:$AD$198,2*(ROWS($H$132:H139)-1)+1)</f>
        <v>0</v>
      </c>
      <c r="I139" s="107">
        <f>INDEX('M04-S06'!$AF$16:$AF$198,2*(ROWS($I$132:I139)-1)+1)</f>
        <v>0</v>
      </c>
      <c r="J139" s="107" t="str">
        <f>INDEX('M04-S06'!$AH$16:$AH$198,2*(ROWS($J$132:J139)-1)+1)</f>
        <v/>
      </c>
      <c r="K139" s="63" t="str">
        <f>IFERROR(INDEX(CMEREFRI[Cost Basis],MATCH(INDEX('M04-S06'!$F$16:$F$198,2*(ROWS($K$132:K139)-1)+1),CMEREFRI[Proj Desc 1],0)),"")</f>
        <v/>
      </c>
      <c r="L139" s="277">
        <f>IF(ISNUMBER(INDEX('M04-S06'!$AK$16:$AK$198,2*(ROWS($O$132:O139)-1)+1)),INDEX('M04-S06'!$Z$16:$Z$198,2*(ROWS($L$132:L139)-1)+1),0)</f>
        <v>0</v>
      </c>
      <c r="M139" s="277">
        <f>IFERROR(IF(ISNUMBER(INDEX('M04-S06'!$AK$16:$AK$198,2*(ROWS($O$132:O139)-1)+1)),INDEX('M04-S06'!$AO$16:$AO$198,2*(ROWS($M$132:M139)-1)+1),0),"")</f>
        <v>0</v>
      </c>
      <c r="N139" s="335">
        <f>IFERROR(IF(ISNUMBER(INDEX('M04-S06'!$AK$16:$AK$198,2*(ROWS($O$132:O139)-1)+1)),INDEX('M04-S06'!$AV$16:$AV$198,2*(ROWS($N$132:N139)-1)+1),0),"")</f>
        <v>0</v>
      </c>
      <c r="O139" s="107">
        <f>IF(ISNUMBER(INDEX('M04-S06'!$AK$16:$AK$198,2*(ROWS($O$132:O139)-1)+1)),INDEX('M04-S06'!$AK$16:$AK$198,2*(ROWS($O$132:O139)-1)+1),0)</f>
        <v>0</v>
      </c>
      <c r="P139" s="277" t="str">
        <f>IFERROR(IF(NOT(ISNUMBER(INDEX('M04-S06'!$AK$16:$AK$198,2*(ROWS($O$132:O139)-1)+1))),INDEX('M04-S06'!$AO$16:$AO$198,2*(ROWS($O$132:O139)-1)+1),0),"")</f>
        <v/>
      </c>
      <c r="Q139" s="335" t="str">
        <f>IFERROR(IF(NOT(ISNUMBER(INDEX('M04-S06'!$AK$16:$AK$198,2*(ROWS($O$132:O139)-1)+1))),INDEX('M04-S06'!$AV$16:$AV$198,2*(ROWS($O$132:O139)-1)+1),0),"")</f>
        <v/>
      </c>
      <c r="R139" s="63" t="str">
        <f>IFERROR(IF(NOT(ISNUMBER(INDEX('M04-S06'!$AK$16:$AK$198,2*(ROWS($O$132:O139)-1)+1))),INDEX(SPILLOVER[Spillover Reason],MATCH(INDEX('M04-S06'!$BC$16:$BC$198,2*(ROWS($O$132:O139)-1)+1),SPILLOVER[Spillover Text],0)),""),"")</f>
        <v>Not Eligible</v>
      </c>
      <c r="S139" s="283"/>
      <c r="T139" s="283"/>
      <c r="U139" s="277">
        <f>INDEX('M04-S06'!$B$16:$B$198,2*(ROWS($U$132:U139)-1)+1)</f>
        <v>8</v>
      </c>
      <c r="V139" s="254"/>
      <c r="W139" s="104">
        <f>INDEX('M04-S06'!$F$16:$F$198,2*(ROWS($W$132:W139)-1)+1)</f>
        <v>0</v>
      </c>
      <c r="X139" s="63">
        <f>INDEX('M04-S06'!$L$16:$L$198,2*(ROWS($X$132:X139)-1)+1)</f>
        <v>0</v>
      </c>
      <c r="Y139" s="63">
        <f>INDEX('M04-S06'!$U$16:$U$198,2*(ROWS($Y$132:Y139)-1)+1)</f>
        <v>0</v>
      </c>
      <c r="Z139" s="254"/>
      <c r="AA139" s="254"/>
      <c r="AB139" s="254"/>
      <c r="AC139" s="254"/>
      <c r="AD139" s="254"/>
      <c r="AE139" s="277">
        <f>IF(NOT(ISNUMBER(INDEX('M04-S06'!$AK$16:$AK$198,2*(ROWS($O$132:O139)-1)+1))),INDEX('M04-S06'!$Z$16:$Z$198,2*(ROWS($L$132:L139)-1)+1),0)</f>
        <v>0</v>
      </c>
      <c r="AF139" s="277">
        <f>INDEX('M04-S06'!$S$16:$S$198,2*(ROWS($AF$132:AF139)-1)+1)</f>
        <v>0</v>
      </c>
      <c r="AG139" s="277">
        <f>INDEX('M04-S06'!$AB$16:$AB$198,2*(ROWS($AG$132:AG139)-1)+1)</f>
        <v>0</v>
      </c>
      <c r="AH139" s="277" t="str">
        <f t="shared" si="76"/>
        <v/>
      </c>
      <c r="AI139" s="277" t="str">
        <f t="shared" si="77"/>
        <v/>
      </c>
      <c r="AJ139" s="107" t="str">
        <f t="shared" si="78"/>
        <v/>
      </c>
      <c r="AK139" s="107" t="str">
        <f t="shared" si="79"/>
        <v/>
      </c>
      <c r="AL139" s="107" t="str">
        <f t="shared" si="80"/>
        <v/>
      </c>
      <c r="AM139" s="107" t="str">
        <f>INDEX('M04-S06'!$AU$16:$AU$198,2*(ROWS($AM$132:AM139)-1)+1)</f>
        <v/>
      </c>
      <c r="AN139" s="107" t="str">
        <f>INDEX('M04-S06'!$BB$16:$BB$198,2*(ROWS($AN$132:AN139)-1)+1)</f>
        <v/>
      </c>
      <c r="AO139" s="277">
        <f>INDEX('M04-S06'!$Q$16:$Q$198,2*(ROWS($AO$132:AO139)-1)+1)</f>
        <v>0</v>
      </c>
      <c r="AP139" s="278"/>
      <c r="AQ139" s="278"/>
    </row>
    <row r="140" spans="1:43" x14ac:dyDescent="0.25">
      <c r="A140" s="118">
        <f t="shared" si="73"/>
        <v>0</v>
      </c>
      <c r="B140" s="118" t="str">
        <f t="shared" si="75"/>
        <v/>
      </c>
      <c r="C140" s="118" t="str">
        <f>IF(J140&gt;0,INDEX('M04-S06'!$AY$16:$AY$198,2*(ROWS($C$132:C140)-1)+1),"")</f>
        <v/>
      </c>
      <c r="D140" s="63" t="s">
        <v>215</v>
      </c>
      <c r="E140" s="301" t="str">
        <f>IFERROR(INDEX('M04-S06'!$AW$16:$AW$198,2*(ROWS($E$132:E140)-1)+1),"")</f>
        <v/>
      </c>
      <c r="F140" s="278"/>
      <c r="G140" s="254"/>
      <c r="H140" s="107">
        <f>INDEX('M04-S06'!$AD$16:$AD$198,2*(ROWS($H$132:H140)-1)+1)</f>
        <v>0</v>
      </c>
      <c r="I140" s="107">
        <f>INDEX('M04-S06'!$AF$16:$AF$198,2*(ROWS($I$132:I140)-1)+1)</f>
        <v>0</v>
      </c>
      <c r="J140" s="107" t="str">
        <f>INDEX('M04-S06'!$AH$16:$AH$198,2*(ROWS($J$132:J140)-1)+1)</f>
        <v/>
      </c>
      <c r="K140" s="63" t="str">
        <f>IFERROR(INDEX(CMEREFRI[Cost Basis],MATCH(INDEX('M04-S06'!$F$16:$F$198,2*(ROWS($K$132:K140)-1)+1),CMEREFRI[Proj Desc 1],0)),"")</f>
        <v/>
      </c>
      <c r="L140" s="277">
        <f>IF(ISNUMBER(INDEX('M04-S06'!$AK$16:$AK$198,2*(ROWS($O$132:O140)-1)+1)),INDEX('M04-S06'!$Z$16:$Z$198,2*(ROWS($L$132:L140)-1)+1),0)</f>
        <v>0</v>
      </c>
      <c r="M140" s="277">
        <f>IFERROR(IF(ISNUMBER(INDEX('M04-S06'!$AK$16:$AK$198,2*(ROWS($O$132:O140)-1)+1)),INDEX('M04-S06'!$AO$16:$AO$198,2*(ROWS($M$132:M140)-1)+1),0),"")</f>
        <v>0</v>
      </c>
      <c r="N140" s="335">
        <f>IFERROR(IF(ISNUMBER(INDEX('M04-S06'!$AK$16:$AK$198,2*(ROWS($O$132:O140)-1)+1)),INDEX('M04-S06'!$AV$16:$AV$198,2*(ROWS($N$132:N140)-1)+1),0),"")</f>
        <v>0</v>
      </c>
      <c r="O140" s="107">
        <f>IF(ISNUMBER(INDEX('M04-S06'!$AK$16:$AK$198,2*(ROWS($O$132:O140)-1)+1)),INDEX('M04-S06'!$AK$16:$AK$198,2*(ROWS($O$132:O140)-1)+1),0)</f>
        <v>0</v>
      </c>
      <c r="P140" s="277" t="str">
        <f>IFERROR(IF(NOT(ISNUMBER(INDEX('M04-S06'!$AK$16:$AK$198,2*(ROWS($O$132:O140)-1)+1))),INDEX('M04-S06'!$AO$16:$AO$198,2*(ROWS($O$132:O140)-1)+1),0),"")</f>
        <v/>
      </c>
      <c r="Q140" s="335" t="str">
        <f>IFERROR(IF(NOT(ISNUMBER(INDEX('M04-S06'!$AK$16:$AK$198,2*(ROWS($O$132:O140)-1)+1))),INDEX('M04-S06'!$AV$16:$AV$198,2*(ROWS($O$132:O140)-1)+1),0),"")</f>
        <v/>
      </c>
      <c r="R140" s="63" t="str">
        <f>IFERROR(IF(NOT(ISNUMBER(INDEX('M04-S06'!$AK$16:$AK$198,2*(ROWS($O$132:O140)-1)+1))),INDEX(SPILLOVER[Spillover Reason],MATCH(INDEX('M04-S06'!$BC$16:$BC$198,2*(ROWS($O$132:O140)-1)+1),SPILLOVER[Spillover Text],0)),""),"")</f>
        <v>Not Eligible</v>
      </c>
      <c r="S140" s="283"/>
      <c r="T140" s="283"/>
      <c r="U140" s="277">
        <f>INDEX('M04-S06'!$B$16:$B$198,2*(ROWS($U$132:U140)-1)+1)</f>
        <v>9</v>
      </c>
      <c r="V140" s="254"/>
      <c r="W140" s="104">
        <f>INDEX('M04-S06'!$F$16:$F$198,2*(ROWS($W$132:W140)-1)+1)</f>
        <v>0</v>
      </c>
      <c r="X140" s="63">
        <f>INDEX('M04-S06'!$L$16:$L$198,2*(ROWS($X$132:X140)-1)+1)</f>
        <v>0</v>
      </c>
      <c r="Y140" s="63">
        <f>INDEX('M04-S06'!$U$16:$U$198,2*(ROWS($Y$132:Y140)-1)+1)</f>
        <v>0</v>
      </c>
      <c r="Z140" s="254"/>
      <c r="AA140" s="254"/>
      <c r="AB140" s="254"/>
      <c r="AC140" s="254"/>
      <c r="AD140" s="254"/>
      <c r="AE140" s="277">
        <f>IF(NOT(ISNUMBER(INDEX('M04-S06'!$AK$16:$AK$198,2*(ROWS($O$132:O140)-1)+1))),INDEX('M04-S06'!$Z$16:$Z$198,2*(ROWS($L$132:L140)-1)+1),0)</f>
        <v>0</v>
      </c>
      <c r="AF140" s="277">
        <f>INDEX('M04-S06'!$S$16:$S$198,2*(ROWS($AF$132:AF140)-1)+1)</f>
        <v>0</v>
      </c>
      <c r="AG140" s="277">
        <f>INDEX('M04-S06'!$AB$16:$AB$198,2*(ROWS($AG$132:AG140)-1)+1)</f>
        <v>0</v>
      </c>
      <c r="AH140" s="277" t="str">
        <f t="shared" si="76"/>
        <v/>
      </c>
      <c r="AI140" s="277" t="str">
        <f t="shared" si="77"/>
        <v/>
      </c>
      <c r="AJ140" s="107" t="str">
        <f t="shared" si="78"/>
        <v/>
      </c>
      <c r="AK140" s="107" t="str">
        <f t="shared" si="79"/>
        <v/>
      </c>
      <c r="AL140" s="107" t="str">
        <f t="shared" si="80"/>
        <v/>
      </c>
      <c r="AM140" s="107" t="str">
        <f>INDEX('M04-S06'!$AU$16:$AU$198,2*(ROWS($AM$132:AM140)-1)+1)</f>
        <v/>
      </c>
      <c r="AN140" s="107" t="str">
        <f>INDEX('M04-S06'!$BB$16:$BB$198,2*(ROWS($AN$132:AN140)-1)+1)</f>
        <v/>
      </c>
      <c r="AO140" s="277">
        <f>INDEX('M04-S06'!$Q$16:$Q$198,2*(ROWS($AO$132:AO140)-1)+1)</f>
        <v>0</v>
      </c>
      <c r="AP140" s="278"/>
      <c r="AQ140" s="278"/>
    </row>
    <row r="141" spans="1:43" x14ac:dyDescent="0.25">
      <c r="A141" s="118">
        <f t="shared" si="73"/>
        <v>0</v>
      </c>
      <c r="B141" s="118" t="str">
        <f t="shared" si="75"/>
        <v/>
      </c>
      <c r="C141" s="118" t="str">
        <f>IF(J141&gt;0,INDEX('M04-S06'!$AY$16:$AY$198,2*(ROWS($C$132:C141)-1)+1),"")</f>
        <v/>
      </c>
      <c r="D141" s="63" t="s">
        <v>215</v>
      </c>
      <c r="E141" s="301" t="str">
        <f>IFERROR(INDEX('M04-S06'!$AW$16:$AW$198,2*(ROWS($E$132:E141)-1)+1),"")</f>
        <v/>
      </c>
      <c r="F141" s="278"/>
      <c r="G141" s="254"/>
      <c r="H141" s="107">
        <f>INDEX('M04-S06'!$AD$16:$AD$198,2*(ROWS($H$132:H141)-1)+1)</f>
        <v>0</v>
      </c>
      <c r="I141" s="107">
        <f>INDEX('M04-S06'!$AF$16:$AF$198,2*(ROWS($I$132:I141)-1)+1)</f>
        <v>0</v>
      </c>
      <c r="J141" s="107" t="str">
        <f>INDEX('M04-S06'!$AH$16:$AH$198,2*(ROWS($J$132:J141)-1)+1)</f>
        <v/>
      </c>
      <c r="K141" s="63" t="str">
        <f>IFERROR(INDEX(CMEREFRI[Cost Basis],MATCH(INDEX('M04-S06'!$F$16:$F$198,2*(ROWS($K$132:K141)-1)+1),CMEREFRI[Proj Desc 1],0)),"")</f>
        <v/>
      </c>
      <c r="L141" s="277">
        <f>IF(ISNUMBER(INDEX('M04-S06'!$AK$16:$AK$198,2*(ROWS($O$132:O141)-1)+1)),INDEX('M04-S06'!$Z$16:$Z$198,2*(ROWS($L$132:L141)-1)+1),0)</f>
        <v>0</v>
      </c>
      <c r="M141" s="277">
        <f>IFERROR(IF(ISNUMBER(INDEX('M04-S06'!$AK$16:$AK$198,2*(ROWS($O$132:O141)-1)+1)),INDEX('M04-S06'!$AO$16:$AO$198,2*(ROWS($M$132:M141)-1)+1),0),"")</f>
        <v>0</v>
      </c>
      <c r="N141" s="335">
        <f>IFERROR(IF(ISNUMBER(INDEX('M04-S06'!$AK$16:$AK$198,2*(ROWS($O$132:O141)-1)+1)),INDEX('M04-S06'!$AV$16:$AV$198,2*(ROWS($N$132:N141)-1)+1),0),"")</f>
        <v>0</v>
      </c>
      <c r="O141" s="107">
        <f>IF(ISNUMBER(INDEX('M04-S06'!$AK$16:$AK$198,2*(ROWS($O$132:O141)-1)+1)),INDEX('M04-S06'!$AK$16:$AK$198,2*(ROWS($O$132:O141)-1)+1),0)</f>
        <v>0</v>
      </c>
      <c r="P141" s="277" t="str">
        <f>IFERROR(IF(NOT(ISNUMBER(INDEX('M04-S06'!$AK$16:$AK$198,2*(ROWS($O$132:O141)-1)+1))),INDEX('M04-S06'!$AO$16:$AO$198,2*(ROWS($O$132:O141)-1)+1),0),"")</f>
        <v/>
      </c>
      <c r="Q141" s="335" t="str">
        <f>IFERROR(IF(NOT(ISNUMBER(INDEX('M04-S06'!$AK$16:$AK$198,2*(ROWS($O$132:O141)-1)+1))),INDEX('M04-S06'!$AV$16:$AV$198,2*(ROWS($O$132:O141)-1)+1),0),"")</f>
        <v/>
      </c>
      <c r="R141" s="63" t="str">
        <f>IFERROR(IF(NOT(ISNUMBER(INDEX('M04-S06'!$AK$16:$AK$198,2*(ROWS($O$132:O141)-1)+1))),INDEX(SPILLOVER[Spillover Reason],MATCH(INDEX('M04-S06'!$BC$16:$BC$198,2*(ROWS($O$132:O141)-1)+1),SPILLOVER[Spillover Text],0)),""),"")</f>
        <v>Not Eligible</v>
      </c>
      <c r="S141" s="283"/>
      <c r="T141" s="283"/>
      <c r="U141" s="277">
        <f>INDEX('M04-S06'!$B$16:$B$198,2*(ROWS($U$132:U141)-1)+1)</f>
        <v>10</v>
      </c>
      <c r="V141" s="254"/>
      <c r="W141" s="104">
        <f>INDEX('M04-S06'!$F$16:$F$198,2*(ROWS($W$132:W141)-1)+1)</f>
        <v>0</v>
      </c>
      <c r="X141" s="63">
        <f>INDEX('M04-S06'!$L$16:$L$198,2*(ROWS($X$132:X141)-1)+1)</f>
        <v>0</v>
      </c>
      <c r="Y141" s="63">
        <f>INDEX('M04-S06'!$U$16:$U$198,2*(ROWS($Y$132:Y141)-1)+1)</f>
        <v>0</v>
      </c>
      <c r="Z141" s="254"/>
      <c r="AA141" s="254"/>
      <c r="AB141" s="254"/>
      <c r="AC141" s="254"/>
      <c r="AD141" s="254"/>
      <c r="AE141" s="277">
        <f>IF(NOT(ISNUMBER(INDEX('M04-S06'!$AK$16:$AK$198,2*(ROWS($O$132:O141)-1)+1))),INDEX('M04-S06'!$Z$16:$Z$198,2*(ROWS($L$132:L141)-1)+1),0)</f>
        <v>0</v>
      </c>
      <c r="AF141" s="277">
        <f>INDEX('M04-S06'!$S$16:$S$198,2*(ROWS($AF$132:AF141)-1)+1)</f>
        <v>0</v>
      </c>
      <c r="AG141" s="277">
        <f>INDEX('M04-S06'!$AB$16:$AB$198,2*(ROWS($AG$132:AG141)-1)+1)</f>
        <v>0</v>
      </c>
      <c r="AH141" s="277" t="str">
        <f t="shared" si="76"/>
        <v/>
      </c>
      <c r="AI141" s="277" t="str">
        <f t="shared" si="77"/>
        <v/>
      </c>
      <c r="AJ141" s="107" t="str">
        <f t="shared" si="78"/>
        <v/>
      </c>
      <c r="AK141" s="107" t="str">
        <f t="shared" si="79"/>
        <v/>
      </c>
      <c r="AL141" s="107" t="str">
        <f t="shared" si="80"/>
        <v/>
      </c>
      <c r="AM141" s="107" t="str">
        <f>INDEX('M04-S06'!$AU$16:$AU$198,2*(ROWS($AM$132:AM141)-1)+1)</f>
        <v/>
      </c>
      <c r="AN141" s="107" t="str">
        <f>INDEX('M04-S06'!$BB$16:$BB$198,2*(ROWS($AN$132:AN141)-1)+1)</f>
        <v/>
      </c>
      <c r="AO141" s="277">
        <f>INDEX('M04-S06'!$Q$16:$Q$198,2*(ROWS($AO$132:AO141)-1)+1)</f>
        <v>0</v>
      </c>
      <c r="AP141" s="278"/>
      <c r="AQ141" s="278"/>
    </row>
    <row r="142" spans="1:43" x14ac:dyDescent="0.25">
      <c r="A142" s="118">
        <f t="shared" si="73"/>
        <v>0</v>
      </c>
      <c r="B142" s="118" t="str">
        <f t="shared" si="75"/>
        <v/>
      </c>
      <c r="C142" s="118" t="str">
        <f>IF(J142&gt;0,INDEX('M04-S06'!$AY$16:$AY$198,2*(ROWS($C$132:C142)-1)+1),"")</f>
        <v/>
      </c>
      <c r="D142" s="63" t="s">
        <v>215</v>
      </c>
      <c r="E142" s="301">
        <f>IFERROR(INDEX('M04-S06'!$AW$16:$AW$198,2*(ROWS($E$132:E142)-1)+1),"")</f>
        <v>0</v>
      </c>
      <c r="F142" s="278"/>
      <c r="G142" s="254"/>
      <c r="H142" s="107">
        <f>INDEX('M04-S06'!$AD$16:$AD$198,2*(ROWS($H$132:H142)-1)+1)</f>
        <v>0</v>
      </c>
      <c r="I142" s="107">
        <f>INDEX('M04-S06'!$AF$16:$AF$198,2*(ROWS($I$132:I142)-1)+1)</f>
        <v>0</v>
      </c>
      <c r="J142" s="107">
        <f>INDEX('M04-S06'!$AH$16:$AH$198,2*(ROWS($J$132:J142)-1)+1)</f>
        <v>0</v>
      </c>
      <c r="K142" s="63" t="str">
        <f>IFERROR(INDEX(CMEREFRI[Cost Basis],MATCH(INDEX('M04-S06'!$F$16:$F$198,2*(ROWS($K$132:K142)-1)+1),CMEREFRI[Proj Desc 1],0)),"")</f>
        <v/>
      </c>
      <c r="L142" s="277">
        <f>IF(ISNUMBER(INDEX('M04-S06'!$AK$16:$AK$198,2*(ROWS($O$132:O142)-1)+1)),INDEX('M04-S06'!$Z$16:$Z$198,2*(ROWS($L$132:L142)-1)+1),0)</f>
        <v>0</v>
      </c>
      <c r="M142" s="277">
        <f>IFERROR(IF(ISNUMBER(INDEX('M04-S06'!$AK$16:$AK$198,2*(ROWS($O$132:O142)-1)+1)),INDEX('M04-S06'!$AO$16:$AO$198,2*(ROWS($M$132:M142)-1)+1),0),"")</f>
        <v>0</v>
      </c>
      <c r="N142" s="335">
        <f>IFERROR(IF(ISNUMBER(INDEX('M04-S06'!$AK$16:$AK$198,2*(ROWS($O$132:O142)-1)+1)),INDEX('M04-S06'!$AV$16:$AV$198,2*(ROWS($N$132:N142)-1)+1),0),"")</f>
        <v>0</v>
      </c>
      <c r="O142" s="107">
        <f>IF(ISNUMBER(INDEX('M04-S06'!$AK$16:$AK$198,2*(ROWS($O$132:O142)-1)+1)),INDEX('M04-S06'!$AK$16:$AK$198,2*(ROWS($O$132:O142)-1)+1),0)</f>
        <v>0</v>
      </c>
      <c r="P142" s="277">
        <f>IFERROR(IF(NOT(ISNUMBER(INDEX('M04-S06'!$AK$16:$AK$198,2*(ROWS($O$132:O142)-1)+1))),INDEX('M04-S06'!$AO$16:$AO$198,2*(ROWS($O$132:O142)-1)+1),0),"")</f>
        <v>0</v>
      </c>
      <c r="Q142" s="335">
        <f>IFERROR(IF(NOT(ISNUMBER(INDEX('M04-S06'!$AK$16:$AK$198,2*(ROWS($O$132:O142)-1)+1))),INDEX('M04-S06'!$AV$16:$AV$198,2*(ROWS($O$132:O142)-1)+1),0),"")</f>
        <v>0</v>
      </c>
      <c r="R142" s="63" t="str">
        <f>IFERROR(IF(NOT(ISNUMBER(INDEX('M04-S06'!$AK$16:$AK$198,2*(ROWS($O$132:O142)-1)+1))),INDEX(SPILLOVER[Spillover Reason],MATCH(INDEX('M04-S06'!$BC$16:$BC$198,2*(ROWS($O$132:O142)-1)+1),SPILLOVER[Spillover Text],0)),""),"")</f>
        <v/>
      </c>
      <c r="S142" s="283"/>
      <c r="T142" s="283"/>
      <c r="U142" s="277">
        <f>INDEX('M04-S06'!$B$16:$B$198,2*(ROWS($U$132:U142)-1)+1)</f>
        <v>11</v>
      </c>
      <c r="V142" s="254"/>
      <c r="W142" s="104">
        <f>INDEX('M04-S06'!$F$16:$F$198,2*(ROWS($W$132:W142)-1)+1)</f>
        <v>0</v>
      </c>
      <c r="X142" s="63">
        <f>INDEX('M04-S06'!$L$16:$L$198,2*(ROWS($X$132:X142)-1)+1)</f>
        <v>0</v>
      </c>
      <c r="Y142" s="63">
        <f>INDEX('M04-S06'!$U$16:$U$198,2*(ROWS($Y$132:Y142)-1)+1)</f>
        <v>0</v>
      </c>
      <c r="Z142" s="254"/>
      <c r="AA142" s="254"/>
      <c r="AB142" s="254"/>
      <c r="AC142" s="254"/>
      <c r="AD142" s="254"/>
      <c r="AE142" s="277">
        <f>IF(NOT(ISNUMBER(INDEX('M04-S06'!$AK$16:$AK$198,2*(ROWS($O$132:O142)-1)+1))),INDEX('M04-S06'!$Z$16:$Z$198,2*(ROWS($L$132:L142)-1)+1),0)</f>
        <v>0</v>
      </c>
      <c r="AF142" s="277">
        <f>INDEX('M04-S06'!$S$16:$S$198,2*(ROWS($AF$132:AF142)-1)+1)</f>
        <v>0</v>
      </c>
      <c r="AG142" s="277">
        <f>INDEX('M04-S06'!$AB$16:$AB$198,2*(ROWS($AG$132:AG142)-1)+1)</f>
        <v>0</v>
      </c>
      <c r="AH142" s="277" t="str">
        <f t="shared" si="76"/>
        <v/>
      </c>
      <c r="AI142" s="277" t="str">
        <f t="shared" si="77"/>
        <v/>
      </c>
      <c r="AJ142" s="107" t="str">
        <f t="shared" si="78"/>
        <v/>
      </c>
      <c r="AK142" s="107" t="str">
        <f t="shared" si="79"/>
        <v/>
      </c>
      <c r="AL142" s="107" t="str">
        <f t="shared" si="80"/>
        <v/>
      </c>
      <c r="AM142" s="107">
        <f>INDEX('M04-S06'!$AU$16:$AU$198,2*(ROWS($AM$132:AM142)-1)+1)</f>
        <v>0</v>
      </c>
      <c r="AN142" s="107">
        <f>INDEX('M04-S06'!$BB$16:$BB$198,2*(ROWS($AN$132:AN142)-1)+1)</f>
        <v>0</v>
      </c>
      <c r="AO142" s="277">
        <f>INDEX('M04-S06'!$Q$16:$Q$198,2*(ROWS($AO$132:AO142)-1)+1)</f>
        <v>0</v>
      </c>
      <c r="AP142" s="278"/>
      <c r="AQ142" s="278"/>
    </row>
    <row r="143" spans="1:43" x14ac:dyDescent="0.25">
      <c r="A143" s="118">
        <f t="shared" si="73"/>
        <v>0</v>
      </c>
      <c r="B143" s="118" t="str">
        <f t="shared" si="75"/>
        <v/>
      </c>
      <c r="C143" s="118" t="str">
        <f>IF(J143&gt;0,INDEX('M04-S06'!$AY$16:$AY$198,2*(ROWS($C$132:C143)-1)+1),"")</f>
        <v/>
      </c>
      <c r="D143" s="63" t="s">
        <v>215</v>
      </c>
      <c r="E143" s="301">
        <f>IFERROR(INDEX('M04-S06'!$AW$16:$AW$198,2*(ROWS($E$132:E143)-1)+1),"")</f>
        <v>0</v>
      </c>
      <c r="F143" s="278"/>
      <c r="G143" s="254"/>
      <c r="H143" s="107">
        <f>INDEX('M04-S06'!$AD$16:$AD$198,2*(ROWS($H$132:H143)-1)+1)</f>
        <v>0</v>
      </c>
      <c r="I143" s="107">
        <f>INDEX('M04-S06'!$AF$16:$AF$198,2*(ROWS($I$132:I143)-1)+1)</f>
        <v>0</v>
      </c>
      <c r="J143" s="107">
        <f>INDEX('M04-S06'!$AH$16:$AH$198,2*(ROWS($J$132:J143)-1)+1)</f>
        <v>0</v>
      </c>
      <c r="K143" s="63" t="str">
        <f>IFERROR(INDEX(CMEREFRI[Cost Basis],MATCH(INDEX('M04-S06'!$F$16:$F$198,2*(ROWS($K$132:K143)-1)+1),CMEREFRI[Proj Desc 1],0)),"")</f>
        <v/>
      </c>
      <c r="L143" s="277">
        <f>IF(ISNUMBER(INDEX('M04-S06'!$AK$16:$AK$198,2*(ROWS($O$132:O143)-1)+1)),INDEX('M04-S06'!$Z$16:$Z$198,2*(ROWS($L$132:L143)-1)+1),0)</f>
        <v>0</v>
      </c>
      <c r="M143" s="277">
        <f>IFERROR(IF(ISNUMBER(INDEX('M04-S06'!$AK$16:$AK$198,2*(ROWS($O$132:O143)-1)+1)),INDEX('M04-S06'!$AO$16:$AO$198,2*(ROWS($M$132:M143)-1)+1),0),"")</f>
        <v>0</v>
      </c>
      <c r="N143" s="335">
        <f>IFERROR(IF(ISNUMBER(INDEX('M04-S06'!$AK$16:$AK$198,2*(ROWS($O$132:O143)-1)+1)),INDEX('M04-S06'!$AV$16:$AV$198,2*(ROWS($N$132:N143)-1)+1),0),"")</f>
        <v>0</v>
      </c>
      <c r="O143" s="107">
        <f>IF(ISNUMBER(INDEX('M04-S06'!$AK$16:$AK$198,2*(ROWS($O$132:O143)-1)+1)),INDEX('M04-S06'!$AK$16:$AK$198,2*(ROWS($O$132:O143)-1)+1),0)</f>
        <v>0</v>
      </c>
      <c r="P143" s="277">
        <f>IFERROR(IF(NOT(ISNUMBER(INDEX('M04-S06'!$AK$16:$AK$198,2*(ROWS($O$132:O143)-1)+1))),INDEX('M04-S06'!$AO$16:$AO$198,2*(ROWS($O$132:O143)-1)+1),0),"")</f>
        <v>0</v>
      </c>
      <c r="Q143" s="335">
        <f>IFERROR(IF(NOT(ISNUMBER(INDEX('M04-S06'!$AK$16:$AK$198,2*(ROWS($O$132:O143)-1)+1))),INDEX('M04-S06'!$AV$16:$AV$198,2*(ROWS($O$132:O143)-1)+1),0),"")</f>
        <v>0</v>
      </c>
      <c r="R143" s="63" t="str">
        <f>IFERROR(IF(NOT(ISNUMBER(INDEX('M04-S06'!$AK$16:$AK$198,2*(ROWS($O$132:O143)-1)+1))),INDEX(SPILLOVER[Spillover Reason],MATCH(INDEX('M04-S06'!$BC$16:$BC$198,2*(ROWS($O$132:O143)-1)+1),SPILLOVER[Spillover Text],0)),""),"")</f>
        <v/>
      </c>
      <c r="S143" s="283"/>
      <c r="T143" s="283"/>
      <c r="U143" s="277">
        <f>INDEX('M04-S06'!$B$16:$B$198,2*(ROWS($U$132:U143)-1)+1)</f>
        <v>12</v>
      </c>
      <c r="V143" s="254"/>
      <c r="W143" s="104">
        <f>INDEX('M04-S06'!$F$16:$F$198,2*(ROWS($W$132:W143)-1)+1)</f>
        <v>0</v>
      </c>
      <c r="X143" s="63">
        <f>INDEX('M04-S06'!$L$16:$L$198,2*(ROWS($X$132:X143)-1)+1)</f>
        <v>0</v>
      </c>
      <c r="Y143" s="63">
        <f>INDEX('M04-S06'!$U$16:$U$198,2*(ROWS($Y$132:Y143)-1)+1)</f>
        <v>0</v>
      </c>
      <c r="Z143" s="254"/>
      <c r="AA143" s="254"/>
      <c r="AB143" s="254"/>
      <c r="AC143" s="254"/>
      <c r="AD143" s="254"/>
      <c r="AE143" s="277">
        <f>IF(NOT(ISNUMBER(INDEX('M04-S06'!$AK$16:$AK$198,2*(ROWS($O$132:O143)-1)+1))),INDEX('M04-S06'!$Z$16:$Z$198,2*(ROWS($L$132:L143)-1)+1),0)</f>
        <v>0</v>
      </c>
      <c r="AF143" s="277">
        <f>INDEX('M04-S06'!$S$16:$S$198,2*(ROWS($AF$132:AF143)-1)+1)</f>
        <v>0</v>
      </c>
      <c r="AG143" s="277">
        <f>INDEX('M04-S06'!$AB$16:$AB$198,2*(ROWS($AG$132:AG143)-1)+1)</f>
        <v>0</v>
      </c>
      <c r="AH143" s="277" t="str">
        <f t="shared" si="76"/>
        <v/>
      </c>
      <c r="AI143" s="277" t="str">
        <f t="shared" si="77"/>
        <v/>
      </c>
      <c r="AJ143" s="107" t="str">
        <f t="shared" si="78"/>
        <v/>
      </c>
      <c r="AK143" s="107" t="str">
        <f t="shared" si="79"/>
        <v/>
      </c>
      <c r="AL143" s="107" t="str">
        <f t="shared" si="80"/>
        <v/>
      </c>
      <c r="AM143" s="107">
        <f>INDEX('M04-S06'!$AU$16:$AU$198,2*(ROWS($AM$132:AM143)-1)+1)</f>
        <v>0</v>
      </c>
      <c r="AN143" s="107">
        <f>INDEX('M04-S06'!$BB$16:$BB$198,2*(ROWS($AN$132:AN143)-1)+1)</f>
        <v>0</v>
      </c>
      <c r="AO143" s="277">
        <f>INDEX('M04-S06'!$Q$16:$Q$198,2*(ROWS($AO$132:AO143)-1)+1)</f>
        <v>0</v>
      </c>
      <c r="AP143" s="278"/>
      <c r="AQ143" s="278"/>
    </row>
    <row r="144" spans="1:43" x14ac:dyDescent="0.25">
      <c r="A144" s="118">
        <f t="shared" si="73"/>
        <v>0</v>
      </c>
      <c r="B144" s="118" t="str">
        <f t="shared" si="75"/>
        <v/>
      </c>
      <c r="C144" s="118" t="str">
        <f>IF(J144&gt;0,INDEX('M04-S06'!$AY$16:$AY$198,2*(ROWS($C$132:C144)-1)+1),"")</f>
        <v/>
      </c>
      <c r="D144" s="63" t="s">
        <v>215</v>
      </c>
      <c r="E144" s="301">
        <f>IFERROR(INDEX('M04-S06'!$AW$16:$AW$198,2*(ROWS($E$132:E144)-1)+1),"")</f>
        <v>0</v>
      </c>
      <c r="F144" s="278"/>
      <c r="G144" s="254"/>
      <c r="H144" s="107">
        <f>INDEX('M04-S06'!$AD$16:$AD$198,2*(ROWS($H$132:H144)-1)+1)</f>
        <v>0</v>
      </c>
      <c r="I144" s="107">
        <f>INDEX('M04-S06'!$AF$16:$AF$198,2*(ROWS($I$132:I144)-1)+1)</f>
        <v>0</v>
      </c>
      <c r="J144" s="107">
        <f>INDEX('M04-S06'!$AH$16:$AH$198,2*(ROWS($J$132:J144)-1)+1)</f>
        <v>0</v>
      </c>
      <c r="K144" s="63" t="str">
        <f>IFERROR(INDEX(CMEREFRI[Cost Basis],MATCH(INDEX('M04-S06'!$F$16:$F$198,2*(ROWS($K$132:K144)-1)+1),CMEREFRI[Proj Desc 1],0)),"")</f>
        <v/>
      </c>
      <c r="L144" s="277">
        <f>IF(ISNUMBER(INDEX('M04-S06'!$AK$16:$AK$198,2*(ROWS($O$132:O144)-1)+1)),INDEX('M04-S06'!$Z$16:$Z$198,2*(ROWS($L$132:L144)-1)+1),0)</f>
        <v>0</v>
      </c>
      <c r="M144" s="277">
        <f>IFERROR(IF(ISNUMBER(INDEX('M04-S06'!$AK$16:$AK$198,2*(ROWS($O$132:O144)-1)+1)),INDEX('M04-S06'!$AO$16:$AO$198,2*(ROWS($M$132:M144)-1)+1),0),"")</f>
        <v>0</v>
      </c>
      <c r="N144" s="335">
        <f>IFERROR(IF(ISNUMBER(INDEX('M04-S06'!$AK$16:$AK$198,2*(ROWS($O$132:O144)-1)+1)),INDEX('M04-S06'!$AV$16:$AV$198,2*(ROWS($N$132:N144)-1)+1),0),"")</f>
        <v>0</v>
      </c>
      <c r="O144" s="107">
        <f>IF(ISNUMBER(INDEX('M04-S06'!$AK$16:$AK$198,2*(ROWS($O$132:O144)-1)+1)),INDEX('M04-S06'!$AK$16:$AK$198,2*(ROWS($O$132:O144)-1)+1),0)</f>
        <v>0</v>
      </c>
      <c r="P144" s="277">
        <f>IFERROR(IF(NOT(ISNUMBER(INDEX('M04-S06'!$AK$16:$AK$198,2*(ROWS($O$132:O144)-1)+1))),INDEX('M04-S06'!$AO$16:$AO$198,2*(ROWS($O$132:O144)-1)+1),0),"")</f>
        <v>0</v>
      </c>
      <c r="Q144" s="335">
        <f>IFERROR(IF(NOT(ISNUMBER(INDEX('M04-S06'!$AK$16:$AK$198,2*(ROWS($O$132:O144)-1)+1))),INDEX('M04-S06'!$AV$16:$AV$198,2*(ROWS($O$132:O144)-1)+1),0),"")</f>
        <v>0</v>
      </c>
      <c r="R144" s="63" t="str">
        <f>IFERROR(IF(NOT(ISNUMBER(INDEX('M04-S06'!$AK$16:$AK$198,2*(ROWS($O$132:O144)-1)+1))),INDEX(SPILLOVER[Spillover Reason],MATCH(INDEX('M04-S06'!$BC$16:$BC$198,2*(ROWS($O$132:O144)-1)+1),SPILLOVER[Spillover Text],0)),""),"")</f>
        <v/>
      </c>
      <c r="S144" s="283"/>
      <c r="T144" s="283"/>
      <c r="U144" s="277">
        <f>INDEX('M04-S06'!$B$16:$B$198,2*(ROWS($U$132:U144)-1)+1)</f>
        <v>13</v>
      </c>
      <c r="V144" s="254"/>
      <c r="W144" s="104">
        <f>INDEX('M04-S06'!$F$16:$F$198,2*(ROWS($W$132:W144)-1)+1)</f>
        <v>0</v>
      </c>
      <c r="X144" s="63">
        <f>INDEX('M04-S06'!$L$16:$L$198,2*(ROWS($X$132:X144)-1)+1)</f>
        <v>0</v>
      </c>
      <c r="Y144" s="63">
        <f>INDEX('M04-S06'!$U$16:$U$198,2*(ROWS($Y$132:Y144)-1)+1)</f>
        <v>0</v>
      </c>
      <c r="Z144" s="254"/>
      <c r="AA144" s="254"/>
      <c r="AB144" s="254"/>
      <c r="AC144" s="254"/>
      <c r="AD144" s="254"/>
      <c r="AE144" s="277">
        <f>IF(NOT(ISNUMBER(INDEX('M04-S06'!$AK$16:$AK$198,2*(ROWS($O$132:O144)-1)+1))),INDEX('M04-S06'!$Z$16:$Z$198,2*(ROWS($L$132:L144)-1)+1),0)</f>
        <v>0</v>
      </c>
      <c r="AF144" s="277">
        <f>INDEX('M04-S06'!$S$16:$S$198,2*(ROWS($AF$132:AF144)-1)+1)</f>
        <v>0</v>
      </c>
      <c r="AG144" s="277">
        <f>INDEX('M04-S06'!$AB$16:$AB$198,2*(ROWS($AG$132:AG144)-1)+1)</f>
        <v>0</v>
      </c>
      <c r="AH144" s="277" t="str">
        <f t="shared" si="76"/>
        <v/>
      </c>
      <c r="AI144" s="277" t="str">
        <f t="shared" si="77"/>
        <v/>
      </c>
      <c r="AJ144" s="107" t="str">
        <f t="shared" si="78"/>
        <v/>
      </c>
      <c r="AK144" s="107" t="str">
        <f t="shared" si="79"/>
        <v/>
      </c>
      <c r="AL144" s="107" t="str">
        <f t="shared" si="80"/>
        <v/>
      </c>
      <c r="AM144" s="107">
        <f>INDEX('M04-S06'!$AU$16:$AU$198,2*(ROWS($AM$132:AM144)-1)+1)</f>
        <v>0</v>
      </c>
      <c r="AN144" s="107">
        <f>INDEX('M04-S06'!$BB$16:$BB$198,2*(ROWS($AN$132:AN144)-1)+1)</f>
        <v>0</v>
      </c>
      <c r="AO144" s="277">
        <f>INDEX('M04-S06'!$Q$16:$Q$198,2*(ROWS($AO$132:AO144)-1)+1)</f>
        <v>0</v>
      </c>
      <c r="AP144" s="278"/>
      <c r="AQ144" s="278"/>
    </row>
    <row r="145" spans="1:43" x14ac:dyDescent="0.25">
      <c r="A145" s="118">
        <f t="shared" si="73"/>
        <v>0</v>
      </c>
      <c r="B145" s="118" t="str">
        <f t="shared" si="75"/>
        <v/>
      </c>
      <c r="C145" s="118" t="str">
        <f>IF(J145&gt;0,INDEX('M04-S06'!$AY$16:$AY$198,2*(ROWS($C$132:C145)-1)+1),"")</f>
        <v/>
      </c>
      <c r="D145" s="63" t="s">
        <v>215</v>
      </c>
      <c r="E145" s="301">
        <f>IFERROR(INDEX('M04-S06'!$AW$16:$AW$198,2*(ROWS($E$132:E145)-1)+1),"")</f>
        <v>0</v>
      </c>
      <c r="F145" s="278"/>
      <c r="G145" s="254"/>
      <c r="H145" s="107">
        <f>INDEX('M04-S06'!$AD$16:$AD$198,2*(ROWS($H$132:H145)-1)+1)</f>
        <v>0</v>
      </c>
      <c r="I145" s="107">
        <f>INDEX('M04-S06'!$AF$16:$AF$198,2*(ROWS($I$132:I145)-1)+1)</f>
        <v>0</v>
      </c>
      <c r="J145" s="107">
        <f>INDEX('M04-S06'!$AH$16:$AH$198,2*(ROWS($J$132:J145)-1)+1)</f>
        <v>0</v>
      </c>
      <c r="K145" s="63" t="str">
        <f>IFERROR(INDEX(CMEREFRI[Cost Basis],MATCH(INDEX('M04-S06'!$F$16:$F$198,2*(ROWS($K$132:K145)-1)+1),CMEREFRI[Proj Desc 1],0)),"")</f>
        <v/>
      </c>
      <c r="L145" s="277">
        <f>IF(ISNUMBER(INDEX('M04-S06'!$AK$16:$AK$198,2*(ROWS($O$132:O145)-1)+1)),INDEX('M04-S06'!$Z$16:$Z$198,2*(ROWS($L$132:L145)-1)+1),0)</f>
        <v>0</v>
      </c>
      <c r="M145" s="277">
        <f>IFERROR(IF(ISNUMBER(INDEX('M04-S06'!$AK$16:$AK$198,2*(ROWS($O$132:O145)-1)+1)),INDEX('M04-S06'!$AO$16:$AO$198,2*(ROWS($M$132:M145)-1)+1),0),"")</f>
        <v>0</v>
      </c>
      <c r="N145" s="335">
        <f>IFERROR(IF(ISNUMBER(INDEX('M04-S06'!$AK$16:$AK$198,2*(ROWS($O$132:O145)-1)+1)),INDEX('M04-S06'!$AV$16:$AV$198,2*(ROWS($N$132:N145)-1)+1),0),"")</f>
        <v>0</v>
      </c>
      <c r="O145" s="107">
        <f>IF(ISNUMBER(INDEX('M04-S06'!$AK$16:$AK$198,2*(ROWS($O$132:O145)-1)+1)),INDEX('M04-S06'!$AK$16:$AK$198,2*(ROWS($O$132:O145)-1)+1),0)</f>
        <v>0</v>
      </c>
      <c r="P145" s="277">
        <f>IFERROR(IF(NOT(ISNUMBER(INDEX('M04-S06'!$AK$16:$AK$198,2*(ROWS($O$132:O145)-1)+1))),INDEX('M04-S06'!$AO$16:$AO$198,2*(ROWS($O$132:O145)-1)+1),0),"")</f>
        <v>0</v>
      </c>
      <c r="Q145" s="335">
        <f>IFERROR(IF(NOT(ISNUMBER(INDEX('M04-S06'!$AK$16:$AK$198,2*(ROWS($O$132:O145)-1)+1))),INDEX('M04-S06'!$AV$16:$AV$198,2*(ROWS($O$132:O145)-1)+1),0),"")</f>
        <v>0</v>
      </c>
      <c r="R145" s="63" t="str">
        <f>IFERROR(IF(NOT(ISNUMBER(INDEX('M04-S06'!$AK$16:$AK$198,2*(ROWS($O$132:O145)-1)+1))),INDEX(SPILLOVER[Spillover Reason],MATCH(INDEX('M04-S06'!$BC$16:$BC$198,2*(ROWS($O$132:O145)-1)+1),SPILLOVER[Spillover Text],0)),""),"")</f>
        <v/>
      </c>
      <c r="S145" s="283"/>
      <c r="T145" s="283"/>
      <c r="U145" s="277">
        <f>INDEX('M04-S06'!$B$16:$B$198,2*(ROWS($U$132:U145)-1)+1)</f>
        <v>14</v>
      </c>
      <c r="V145" s="254"/>
      <c r="W145" s="104">
        <f>INDEX('M04-S06'!$F$16:$F$198,2*(ROWS($W$132:W145)-1)+1)</f>
        <v>0</v>
      </c>
      <c r="X145" s="63">
        <f>INDEX('M04-S06'!$L$16:$L$198,2*(ROWS($X$132:X145)-1)+1)</f>
        <v>0</v>
      </c>
      <c r="Y145" s="63">
        <f>INDEX('M04-S06'!$U$16:$U$198,2*(ROWS($Y$132:Y145)-1)+1)</f>
        <v>0</v>
      </c>
      <c r="Z145" s="254"/>
      <c r="AA145" s="254"/>
      <c r="AB145" s="254"/>
      <c r="AC145" s="254"/>
      <c r="AD145" s="254"/>
      <c r="AE145" s="277">
        <f>IF(NOT(ISNUMBER(INDEX('M04-S06'!$AK$16:$AK$198,2*(ROWS($O$132:O145)-1)+1))),INDEX('M04-S06'!$Z$16:$Z$198,2*(ROWS($L$132:L145)-1)+1),0)</f>
        <v>0</v>
      </c>
      <c r="AF145" s="277">
        <f>INDEX('M04-S06'!$S$16:$S$198,2*(ROWS($AF$132:AF145)-1)+1)</f>
        <v>0</v>
      </c>
      <c r="AG145" s="277">
        <f>INDEX('M04-S06'!$AB$16:$AB$198,2*(ROWS($AG$132:AG145)-1)+1)</f>
        <v>0</v>
      </c>
      <c r="AH145" s="277" t="str">
        <f t="shared" si="76"/>
        <v/>
      </c>
      <c r="AI145" s="277" t="str">
        <f t="shared" si="77"/>
        <v/>
      </c>
      <c r="AJ145" s="107" t="str">
        <f t="shared" si="78"/>
        <v/>
      </c>
      <c r="AK145" s="107" t="str">
        <f t="shared" si="79"/>
        <v/>
      </c>
      <c r="AL145" s="107" t="str">
        <f t="shared" si="80"/>
        <v/>
      </c>
      <c r="AM145" s="107">
        <f>INDEX('M04-S06'!$AU$16:$AU$198,2*(ROWS($AM$132:AM145)-1)+1)</f>
        <v>0</v>
      </c>
      <c r="AN145" s="107">
        <f>INDEX('M04-S06'!$BB$16:$BB$198,2*(ROWS($AN$132:AN145)-1)+1)</f>
        <v>0</v>
      </c>
      <c r="AO145" s="277">
        <f>INDEX('M04-S06'!$Q$16:$Q$198,2*(ROWS($AO$132:AO145)-1)+1)</f>
        <v>0</v>
      </c>
      <c r="AP145" s="278"/>
      <c r="AQ145" s="278"/>
    </row>
    <row r="146" spans="1:43" x14ac:dyDescent="0.25">
      <c r="A146" s="118">
        <f t="shared" si="73"/>
        <v>0</v>
      </c>
      <c r="B146" s="118" t="str">
        <f t="shared" si="75"/>
        <v/>
      </c>
      <c r="C146" s="118" t="str">
        <f>IF(J146&gt;0,INDEX('M04-S06'!$AY$16:$AY$198,2*(ROWS($C$132:C146)-1)+1),"")</f>
        <v/>
      </c>
      <c r="D146" s="63" t="s">
        <v>215</v>
      </c>
      <c r="E146" s="301">
        <f>IFERROR(INDEX('M04-S06'!$AW$16:$AW$198,2*(ROWS($E$132:E146)-1)+1),"")</f>
        <v>0</v>
      </c>
      <c r="F146" s="278"/>
      <c r="G146" s="254"/>
      <c r="H146" s="107">
        <f>INDEX('M04-S06'!$AD$16:$AD$198,2*(ROWS($H$132:H146)-1)+1)</f>
        <v>0</v>
      </c>
      <c r="I146" s="107">
        <f>INDEX('M04-S06'!$AF$16:$AF$198,2*(ROWS($I$132:I146)-1)+1)</f>
        <v>0</v>
      </c>
      <c r="J146" s="107">
        <f>INDEX('M04-S06'!$AH$16:$AH$198,2*(ROWS($J$132:J146)-1)+1)</f>
        <v>0</v>
      </c>
      <c r="K146" s="63" t="str">
        <f>IFERROR(INDEX(CMEREFRI[Cost Basis],MATCH(INDEX('M04-S06'!$F$16:$F$198,2*(ROWS($K$132:K146)-1)+1),CMEREFRI[Proj Desc 1],0)),"")</f>
        <v/>
      </c>
      <c r="L146" s="277">
        <f>IF(ISNUMBER(INDEX('M04-S06'!$AK$16:$AK$198,2*(ROWS($O$132:O146)-1)+1)),INDEX('M04-S06'!$Z$16:$Z$198,2*(ROWS($L$132:L146)-1)+1),0)</f>
        <v>0</v>
      </c>
      <c r="M146" s="277">
        <f>IFERROR(IF(ISNUMBER(INDEX('M04-S06'!$AK$16:$AK$198,2*(ROWS($O$132:O146)-1)+1)),INDEX('M04-S06'!$AO$16:$AO$198,2*(ROWS($M$132:M146)-1)+1),0),"")</f>
        <v>0</v>
      </c>
      <c r="N146" s="335">
        <f>IFERROR(IF(ISNUMBER(INDEX('M04-S06'!$AK$16:$AK$198,2*(ROWS($O$132:O146)-1)+1)),INDEX('M04-S06'!$AV$16:$AV$198,2*(ROWS($N$132:N146)-1)+1),0),"")</f>
        <v>0</v>
      </c>
      <c r="O146" s="107">
        <f>IF(ISNUMBER(INDEX('M04-S06'!$AK$16:$AK$198,2*(ROWS($O$132:O146)-1)+1)),INDEX('M04-S06'!$AK$16:$AK$198,2*(ROWS($O$132:O146)-1)+1),0)</f>
        <v>0</v>
      </c>
      <c r="P146" s="277">
        <f>IFERROR(IF(NOT(ISNUMBER(INDEX('M04-S06'!$AK$16:$AK$198,2*(ROWS($O$132:O146)-1)+1))),INDEX('M04-S06'!$AO$16:$AO$198,2*(ROWS($O$132:O146)-1)+1),0),"")</f>
        <v>0</v>
      </c>
      <c r="Q146" s="335">
        <f>IFERROR(IF(NOT(ISNUMBER(INDEX('M04-S06'!$AK$16:$AK$198,2*(ROWS($O$132:O146)-1)+1))),INDEX('M04-S06'!$AV$16:$AV$198,2*(ROWS($O$132:O146)-1)+1),0),"")</f>
        <v>0</v>
      </c>
      <c r="R146" s="63" t="str">
        <f>IFERROR(IF(NOT(ISNUMBER(INDEX('M04-S06'!$AK$16:$AK$198,2*(ROWS($O$132:O146)-1)+1))),INDEX(SPILLOVER[Spillover Reason],MATCH(INDEX('M04-S06'!$BC$16:$BC$198,2*(ROWS($O$132:O146)-1)+1),SPILLOVER[Spillover Text],0)),""),"")</f>
        <v/>
      </c>
      <c r="S146" s="283"/>
      <c r="T146" s="283"/>
      <c r="U146" s="277">
        <f>INDEX('M04-S06'!$B$16:$B$198,2*(ROWS($U$132:U146)-1)+1)</f>
        <v>15</v>
      </c>
      <c r="V146" s="254"/>
      <c r="W146" s="104">
        <f>INDEX('M04-S06'!$F$16:$F$198,2*(ROWS($W$132:W146)-1)+1)</f>
        <v>0</v>
      </c>
      <c r="X146" s="63">
        <f>INDEX('M04-S06'!$L$16:$L$198,2*(ROWS($X$132:X146)-1)+1)</f>
        <v>0</v>
      </c>
      <c r="Y146" s="63">
        <f>INDEX('M04-S06'!$U$16:$U$198,2*(ROWS($Y$132:Y146)-1)+1)</f>
        <v>0</v>
      </c>
      <c r="Z146" s="254"/>
      <c r="AA146" s="254"/>
      <c r="AB146" s="254"/>
      <c r="AC146" s="254"/>
      <c r="AD146" s="254"/>
      <c r="AE146" s="277">
        <f>IF(NOT(ISNUMBER(INDEX('M04-S06'!$AK$16:$AK$198,2*(ROWS($O$132:O146)-1)+1))),INDEX('M04-S06'!$Z$16:$Z$198,2*(ROWS($L$132:L146)-1)+1),0)</f>
        <v>0</v>
      </c>
      <c r="AF146" s="277">
        <f>INDEX('M04-S06'!$S$16:$S$198,2*(ROWS($AF$132:AF146)-1)+1)</f>
        <v>0</v>
      </c>
      <c r="AG146" s="277">
        <f>INDEX('M04-S06'!$AB$16:$AB$198,2*(ROWS($AG$132:AG146)-1)+1)</f>
        <v>0</v>
      </c>
      <c r="AH146" s="277" t="str">
        <f t="shared" si="76"/>
        <v/>
      </c>
      <c r="AI146" s="277" t="str">
        <f t="shared" si="77"/>
        <v/>
      </c>
      <c r="AJ146" s="107" t="str">
        <f t="shared" si="78"/>
        <v/>
      </c>
      <c r="AK146" s="107" t="str">
        <f t="shared" si="79"/>
        <v/>
      </c>
      <c r="AL146" s="107" t="str">
        <f t="shared" si="80"/>
        <v/>
      </c>
      <c r="AM146" s="107">
        <f>INDEX('M04-S06'!$AU$16:$AU$198,2*(ROWS($AM$132:AM146)-1)+1)</f>
        <v>0</v>
      </c>
      <c r="AN146" s="107">
        <f>INDEX('M04-S06'!$BB$16:$BB$198,2*(ROWS($AN$132:AN146)-1)+1)</f>
        <v>0</v>
      </c>
      <c r="AO146" s="277">
        <f>INDEX('M04-S06'!$Q$16:$Q$198,2*(ROWS($AO$132:AO146)-1)+1)</f>
        <v>0</v>
      </c>
      <c r="AP146" s="278"/>
      <c r="AQ146" s="278"/>
    </row>
    <row r="147" spans="1:43" x14ac:dyDescent="0.25">
      <c r="A147" s="554" t="str">
        <f>CONCATENATE(MAIN4," ",M4S7)</f>
        <v>PRE-APPROVAL MEASURES Miscellaneous</v>
      </c>
      <c r="B147" s="317"/>
      <c r="C147" s="317"/>
      <c r="D147" s="318"/>
      <c r="E147" s="317"/>
      <c r="F147" s="324"/>
      <c r="G147" s="318"/>
      <c r="H147" s="320"/>
      <c r="I147" s="320"/>
      <c r="J147" s="320"/>
      <c r="K147" s="318"/>
      <c r="L147" s="319"/>
      <c r="M147" s="319"/>
      <c r="N147" s="338"/>
      <c r="O147" s="320"/>
      <c r="P147" s="319"/>
      <c r="Q147" s="338"/>
      <c r="R147" s="318"/>
      <c r="S147" s="321"/>
      <c r="T147" s="321"/>
      <c r="U147" s="319"/>
      <c r="V147" s="318"/>
      <c r="W147" s="322"/>
      <c r="X147" s="318"/>
      <c r="Y147" s="318"/>
      <c r="Z147" s="318"/>
      <c r="AA147" s="318"/>
      <c r="AB147" s="318"/>
      <c r="AC147" s="318"/>
      <c r="AD147" s="318"/>
      <c r="AE147" s="319"/>
      <c r="AF147" s="319"/>
      <c r="AG147" s="319"/>
      <c r="AH147" s="319"/>
      <c r="AI147" s="319"/>
      <c r="AJ147" s="320" t="str">
        <f t="shared" si="70"/>
        <v/>
      </c>
      <c r="AK147" s="320" t="str">
        <f t="shared" si="71"/>
        <v/>
      </c>
      <c r="AL147" s="320" t="str">
        <f t="shared" si="72"/>
        <v/>
      </c>
      <c r="AM147" s="320"/>
      <c r="AN147" s="320"/>
      <c r="AO147" s="319"/>
      <c r="AP147" s="319"/>
      <c r="AQ147" s="319"/>
    </row>
    <row r="148" spans="1:43" x14ac:dyDescent="0.25">
      <c r="A148" s="118">
        <f t="shared" ref="A148:A162" si="81">PROJID</f>
        <v>0</v>
      </c>
      <c r="B148" s="118" t="str">
        <f t="shared" ref="B148" si="82">IF(C148="","",CONCATENATE(ROW(),"-",C148))</f>
        <v/>
      </c>
      <c r="C148" s="118" t="str">
        <f>IF(J148&gt;0,INDEX('M04-S07'!$AY$16:$AY$198,2*(ROWS($C$148:C148)-1)+1),"")</f>
        <v/>
      </c>
      <c r="D148" s="63" t="s">
        <v>215</v>
      </c>
      <c r="E148" s="301" t="str">
        <f>IFERROR(INDEX('M04-S07'!$AW$16:$AW$198,2*(ROWS($E$148:E148)-1)+1),"")</f>
        <v/>
      </c>
      <c r="F148" s="278"/>
      <c r="G148" s="254"/>
      <c r="H148" s="107">
        <f>INDEX('M04-S07'!$AD$16:$AD$198,2*(ROWS($H$148:H148)-1)+1)</f>
        <v>0</v>
      </c>
      <c r="I148" s="107">
        <f>INDEX('M04-S07'!$AF$16:$AF$198,2*(ROWS($I$148:I148)-1)+1)</f>
        <v>0</v>
      </c>
      <c r="J148" s="107" t="str">
        <f>INDEX('M04-S07'!$AH$16:$AH$198,2*(ROWS($J$148:J148)-1)+1)</f>
        <v/>
      </c>
      <c r="K148" s="63" t="str">
        <f>IFERROR(INDEX(CMEMISC[Cost Basis],MATCH(INDEX('M04-S07'!$F$16:$F$198,2*(ROWS($K$148:K148)-1)+1),CMEMISC[Proj Desc 1],0)),"")</f>
        <v/>
      </c>
      <c r="L148" s="277">
        <f>IF(ISNUMBER(INDEX('M04-S07'!$AK$16:$AK$198,2*(ROWS($O$148:O148)-1)+1)),INDEX('M04-S07'!$Z$16:$Z$198,2*(ROWS($L$148:L148)-1)+1),0)</f>
        <v>0</v>
      </c>
      <c r="M148" s="277">
        <f>IFERROR(IF(ISNUMBER(INDEX('M04-S07'!$AK$16:$AK$198,2*(ROWS($O$148:O148)-1)+1)),INDEX('M04-S07'!$AO$16:$AO$198,2*(ROWS($M$148:M148)-1)+1),0),"")</f>
        <v>0</v>
      </c>
      <c r="N148" s="335">
        <f>IFERROR(IF(ISNUMBER(INDEX('M04-S07'!$AK$16:$AK$198,2*(ROWS($O$148:O148)-1)+1)),INDEX('M04-S07'!$AV$16:$AV$198,2*(ROWS($N$148:N148)-1)+1),0),"")</f>
        <v>0</v>
      </c>
      <c r="O148" s="107">
        <f>IF(ISNUMBER(INDEX('M04-S07'!$AK$16:$AK$198,2*(ROWS($O$148:O148)-1)+1)),INDEX('M04-S07'!$AK$16:$AK$198,2*(ROWS($O$148:O148)-1)+1),0)</f>
        <v>0</v>
      </c>
      <c r="P148" s="277" t="str">
        <f>IFERROR(IF(NOT(ISNUMBER(INDEX('M04-S07'!$AK$16:$AK$198,2*(ROWS($O$148:O148)-1)+1))),INDEX('M04-S07'!$AO$16:$AO$198,2*(ROWS($O$148:O148)-1)+1),0),"")</f>
        <v/>
      </c>
      <c r="Q148" s="335" t="str">
        <f>IFERROR(IF(NOT(ISNUMBER(INDEX('M04-S07'!$AK$16:$AK$198,2*(ROWS($O$148:O148)-1)+1))),INDEX('M04-S07'!$AV$16:$AV$198,2*(ROWS($O$148:O148)-1)+1),0),"")</f>
        <v/>
      </c>
      <c r="R148" s="63" t="str">
        <f>IFERROR(IF(NOT(ISNUMBER(INDEX('M04-S07'!$AK$16:$AK$198,2*(ROWS($O$148:O148)-1)+1))),INDEX(SPILLOVER[Spillover Reason],MATCH(INDEX('M04-S07'!$BC$16:$BC$198,2*(ROWS($O$148:O148)-1)+1),SPILLOVER[Spillover Text],0)),""),"")</f>
        <v>Not Eligible</v>
      </c>
      <c r="S148" s="283"/>
      <c r="T148" s="283"/>
      <c r="U148" s="277">
        <f>INDEX('M04-S07'!$B$16:$B$198,2*(ROWS($U$148:U148)-1)+1)</f>
        <v>1</v>
      </c>
      <c r="V148" s="254"/>
      <c r="W148" s="104">
        <f>INDEX('M04-S07'!$F$16:$F$198,2*(ROWS($W$148:W148)-1)+1)</f>
        <v>0</v>
      </c>
      <c r="X148" s="63">
        <f>INDEX('M04-S07'!$L$16:$L$198,2*(ROWS($X$148:X148)-1)+1)</f>
        <v>0</v>
      </c>
      <c r="Y148" s="63">
        <f>INDEX('M04-S07'!$U$16:$U$198,2*(ROWS($Y$148:Y148)-1)+1)</f>
        <v>0</v>
      </c>
      <c r="Z148" s="254"/>
      <c r="AA148" s="254"/>
      <c r="AB148" s="254"/>
      <c r="AC148" s="254"/>
      <c r="AD148" s="254"/>
      <c r="AE148" s="277">
        <f>IF(NOT(ISNUMBER(INDEX('M04-S07'!$AK$16:$AK$198,2*(ROWS($O$148:O148)-1)+1))),INDEX('M04-S07'!$Z$16:$Z$198,2*(ROWS($L$148:L148)-1)+1),0)</f>
        <v>0</v>
      </c>
      <c r="AF148" s="277">
        <f>INDEX('M04-S07'!$S$16:$S$198,2*(ROWS($AF$148:AF148)-1)+1)</f>
        <v>0</v>
      </c>
      <c r="AG148" s="277">
        <f>INDEX('M04-S07'!$AB$16:$AB$198,2*(ROWS($AG$148:AG148)-1)+1)</f>
        <v>0</v>
      </c>
      <c r="AH148" s="277" t="str">
        <f>IFERROR(AF148/AO148,"")</f>
        <v/>
      </c>
      <c r="AI148" s="277" t="str">
        <f>IFERROR(AG148/L148,"")</f>
        <v/>
      </c>
      <c r="AJ148" s="107" t="str">
        <f>IFERROR(O148/M148,"")</f>
        <v/>
      </c>
      <c r="AK148" s="107" t="str">
        <f>IFERROR(O148/N148,"")</f>
        <v/>
      </c>
      <c r="AL148" s="107" t="str">
        <f t="shared" si="72"/>
        <v/>
      </c>
      <c r="AM148" s="107" t="str">
        <f>INDEX('M04-S07'!$AU$16:$AU$198,2*(ROWS($AM$148:AM148)-1)+1)</f>
        <v/>
      </c>
      <c r="AN148" s="107" t="str">
        <f>INDEX('M04-S07'!$BB$16:$BB$198,2*(ROWS($AN$148:AN148)-1)+1)</f>
        <v/>
      </c>
      <c r="AO148" s="277">
        <f>INDEX('M04-S07'!$Q$16:$Q$198,2*(ROWS($AO$148:AO148)-1)+1)</f>
        <v>0</v>
      </c>
      <c r="AP148" s="278"/>
      <c r="AQ148" s="278"/>
    </row>
    <row r="149" spans="1:43" x14ac:dyDescent="0.25">
      <c r="A149" s="118">
        <f t="shared" si="81"/>
        <v>0</v>
      </c>
      <c r="B149" s="118" t="str">
        <f t="shared" ref="B149:B162" si="83">IF(C149="","",CONCATENATE(ROW(),"-",C149))</f>
        <v/>
      </c>
      <c r="C149" s="118" t="str">
        <f>IF(J149&gt;0,INDEX('M04-S07'!$AY$16:$AY$198,2*(ROWS($C$148:C149)-1)+1),"")</f>
        <v/>
      </c>
      <c r="D149" s="63" t="s">
        <v>215</v>
      </c>
      <c r="E149" s="301" t="str">
        <f>IFERROR(INDEX('M04-S07'!$AW$16:$AW$198,2*(ROWS($E$148:E149)-1)+1),"")</f>
        <v/>
      </c>
      <c r="F149" s="278"/>
      <c r="G149" s="254"/>
      <c r="H149" s="107">
        <f>INDEX('M04-S07'!$AD$16:$AD$198,2*(ROWS($H$148:H149)-1)+1)</f>
        <v>0</v>
      </c>
      <c r="I149" s="107">
        <f>INDEX('M04-S07'!$AF$16:$AF$198,2*(ROWS($I$148:I149)-1)+1)</f>
        <v>0</v>
      </c>
      <c r="J149" s="107" t="str">
        <f>INDEX('M04-S07'!$AH$16:$AH$198,2*(ROWS($J$148:J149)-1)+1)</f>
        <v/>
      </c>
      <c r="K149" s="63" t="str">
        <f>IFERROR(INDEX(CMEMISC[Cost Basis],MATCH(INDEX('M04-S07'!$F$16:$F$198,2*(ROWS($K$148:K149)-1)+1),CMEMISC[Proj Desc 1],0)),"")</f>
        <v/>
      </c>
      <c r="L149" s="277">
        <f>IF(ISNUMBER(INDEX('M04-S07'!$AK$16:$AK$198,2*(ROWS($O$148:O149)-1)+1)),INDEX('M04-S07'!$Z$16:$Z$198,2*(ROWS($L$148:L149)-1)+1),0)</f>
        <v>0</v>
      </c>
      <c r="M149" s="277">
        <f>IFERROR(IF(ISNUMBER(INDEX('M04-S07'!$AK$16:$AK$198,2*(ROWS($O$148:O149)-1)+1)),INDEX('M04-S07'!$AO$16:$AO$198,2*(ROWS($M$148:M149)-1)+1),0),"")</f>
        <v>0</v>
      </c>
      <c r="N149" s="335">
        <f>IFERROR(IF(ISNUMBER(INDEX('M04-S07'!$AK$16:$AK$198,2*(ROWS($O$148:O149)-1)+1)),INDEX('M04-S07'!$AV$16:$AV$198,2*(ROWS($N$148:N149)-1)+1),0),"")</f>
        <v>0</v>
      </c>
      <c r="O149" s="107">
        <f>IF(ISNUMBER(INDEX('M04-S07'!$AK$16:$AK$198,2*(ROWS($O$148:O149)-1)+1)),INDEX('M04-S07'!$AK$16:$AK$198,2*(ROWS($O$148:O149)-1)+1),0)</f>
        <v>0</v>
      </c>
      <c r="P149" s="277" t="str">
        <f>IFERROR(IF(NOT(ISNUMBER(INDEX('M04-S07'!$AK$16:$AK$198,2*(ROWS($O$148:O149)-1)+1))),INDEX('M04-S07'!$AO$16:$AO$198,2*(ROWS($O$148:O149)-1)+1),0),"")</f>
        <v/>
      </c>
      <c r="Q149" s="335" t="str">
        <f>IFERROR(IF(NOT(ISNUMBER(INDEX('M04-S07'!$AK$16:$AK$198,2*(ROWS($O$148:O149)-1)+1))),INDEX('M04-S07'!$AV$16:$AV$198,2*(ROWS($O$148:O149)-1)+1),0),"")</f>
        <v/>
      </c>
      <c r="R149" s="63" t="str">
        <f>IFERROR(IF(NOT(ISNUMBER(INDEX('M04-S07'!$AK$16:$AK$198,2*(ROWS($O$148:O149)-1)+1))),INDEX(SPILLOVER[Spillover Reason],MATCH(INDEX('M04-S07'!$BC$16:$BC$198,2*(ROWS($O$148:O149)-1)+1),SPILLOVER[Spillover Text],0)),""),"")</f>
        <v>Not Eligible</v>
      </c>
      <c r="S149" s="283"/>
      <c r="T149" s="283"/>
      <c r="U149" s="277">
        <f>INDEX('M04-S07'!$B$16:$B$198,2*(ROWS($U$148:U149)-1)+1)</f>
        <v>2</v>
      </c>
      <c r="V149" s="254"/>
      <c r="W149" s="104">
        <f>INDEX('M04-S07'!$F$16:$F$198,2*(ROWS($W$148:W149)-1)+1)</f>
        <v>0</v>
      </c>
      <c r="X149" s="63">
        <f>INDEX('M04-S07'!$L$16:$L$198,2*(ROWS($X$148:X149)-1)+1)</f>
        <v>0</v>
      </c>
      <c r="Y149" s="63">
        <f>INDEX('M04-S07'!$U$16:$U$198,2*(ROWS($Y$148:Y149)-1)+1)</f>
        <v>0</v>
      </c>
      <c r="Z149" s="254"/>
      <c r="AA149" s="254"/>
      <c r="AB149" s="254"/>
      <c r="AC149" s="254"/>
      <c r="AD149" s="254"/>
      <c r="AE149" s="277">
        <f>IF(NOT(ISNUMBER(INDEX('M04-S07'!$AK$16:$AK$198,2*(ROWS($O$148:O149)-1)+1))),INDEX('M04-S07'!$Z$16:$Z$198,2*(ROWS($L$148:L149)-1)+1),0)</f>
        <v>0</v>
      </c>
      <c r="AF149" s="277">
        <f>INDEX('M04-S07'!$S$16:$S$198,2*(ROWS($AF$148:AF149)-1)+1)</f>
        <v>0</v>
      </c>
      <c r="AG149" s="277">
        <f>INDEX('M04-S07'!$AB$16:$AB$198,2*(ROWS($AG$148:AG149)-1)+1)</f>
        <v>0</v>
      </c>
      <c r="AH149" s="277" t="str">
        <f t="shared" ref="AH149:AH162" si="84">IFERROR(AF149/AO149,"")</f>
        <v/>
      </c>
      <c r="AI149" s="277" t="str">
        <f t="shared" ref="AI149:AI162" si="85">IFERROR(AG149/L149,"")</f>
        <v/>
      </c>
      <c r="AJ149" s="107" t="str">
        <f t="shared" ref="AJ149:AJ162" si="86">IFERROR(O149/M149,"")</f>
        <v/>
      </c>
      <c r="AK149" s="107" t="str">
        <f t="shared" ref="AK149:AK162" si="87">IFERROR(O149/N149,"")</f>
        <v/>
      </c>
      <c r="AL149" s="107" t="str">
        <f t="shared" ref="AL149:AL162" si="88">IFERROR(O149/L149,"")</f>
        <v/>
      </c>
      <c r="AM149" s="107" t="str">
        <f>INDEX('M04-S07'!$AU$16:$AU$198,2*(ROWS($AM$148:AM149)-1)+1)</f>
        <v/>
      </c>
      <c r="AN149" s="107" t="str">
        <f>INDEX('M04-S07'!$BB$16:$BB$198,2*(ROWS($AN$148:AN149)-1)+1)</f>
        <v/>
      </c>
      <c r="AO149" s="277">
        <f>INDEX('M04-S07'!$Q$16:$Q$198,2*(ROWS($AO$148:AO149)-1)+1)</f>
        <v>0</v>
      </c>
      <c r="AP149" s="278"/>
      <c r="AQ149" s="278"/>
    </row>
    <row r="150" spans="1:43" x14ac:dyDescent="0.25">
      <c r="A150" s="118">
        <f t="shared" si="81"/>
        <v>0</v>
      </c>
      <c r="B150" s="118" t="str">
        <f t="shared" si="83"/>
        <v/>
      </c>
      <c r="C150" s="118" t="str">
        <f>IF(J150&gt;0,INDEX('M04-S07'!$AY$16:$AY$198,2*(ROWS($C$148:C150)-1)+1),"")</f>
        <v/>
      </c>
      <c r="D150" s="63" t="s">
        <v>215</v>
      </c>
      <c r="E150" s="301" t="str">
        <f>IFERROR(INDEX('M04-S07'!$AW$16:$AW$198,2*(ROWS($E$148:E150)-1)+1),"")</f>
        <v/>
      </c>
      <c r="F150" s="278"/>
      <c r="G150" s="254"/>
      <c r="H150" s="107">
        <f>INDEX('M04-S07'!$AD$16:$AD$198,2*(ROWS($H$148:H150)-1)+1)</f>
        <v>0</v>
      </c>
      <c r="I150" s="107">
        <f>INDEX('M04-S07'!$AF$16:$AF$198,2*(ROWS($I$148:I150)-1)+1)</f>
        <v>0</v>
      </c>
      <c r="J150" s="107" t="str">
        <f>INDEX('M04-S07'!$AH$16:$AH$198,2*(ROWS($J$148:J150)-1)+1)</f>
        <v/>
      </c>
      <c r="K150" s="63" t="str">
        <f>IFERROR(INDEX(CMEMISC[Cost Basis],MATCH(INDEX('M04-S07'!$F$16:$F$198,2*(ROWS($K$148:K150)-1)+1),CMEMISC[Proj Desc 1],0)),"")</f>
        <v/>
      </c>
      <c r="L150" s="277">
        <f>IF(ISNUMBER(INDEX('M04-S07'!$AK$16:$AK$198,2*(ROWS($O$148:O150)-1)+1)),INDEX('M04-S07'!$Z$16:$Z$198,2*(ROWS($L$148:L150)-1)+1),0)</f>
        <v>0</v>
      </c>
      <c r="M150" s="277">
        <f>IFERROR(IF(ISNUMBER(INDEX('M04-S07'!$AK$16:$AK$198,2*(ROWS($O$148:O150)-1)+1)),INDEX('M04-S07'!$AO$16:$AO$198,2*(ROWS($M$148:M150)-1)+1),0),"")</f>
        <v>0</v>
      </c>
      <c r="N150" s="335">
        <f>IFERROR(IF(ISNUMBER(INDEX('M04-S07'!$AK$16:$AK$198,2*(ROWS($O$148:O150)-1)+1)),INDEX('M04-S07'!$AV$16:$AV$198,2*(ROWS($N$148:N150)-1)+1),0),"")</f>
        <v>0</v>
      </c>
      <c r="O150" s="107">
        <f>IF(ISNUMBER(INDEX('M04-S07'!$AK$16:$AK$198,2*(ROWS($O$148:O150)-1)+1)),INDEX('M04-S07'!$AK$16:$AK$198,2*(ROWS($O$148:O150)-1)+1),0)</f>
        <v>0</v>
      </c>
      <c r="P150" s="277" t="str">
        <f>IFERROR(IF(NOT(ISNUMBER(INDEX('M04-S07'!$AK$16:$AK$198,2*(ROWS($O$148:O150)-1)+1))),INDEX('M04-S07'!$AO$16:$AO$198,2*(ROWS($O$148:O150)-1)+1),0),"")</f>
        <v/>
      </c>
      <c r="Q150" s="335" t="str">
        <f>IFERROR(IF(NOT(ISNUMBER(INDEX('M04-S07'!$AK$16:$AK$198,2*(ROWS($O$148:O150)-1)+1))),INDEX('M04-S07'!$AV$16:$AV$198,2*(ROWS($O$148:O150)-1)+1),0),"")</f>
        <v/>
      </c>
      <c r="R150" s="63" t="str">
        <f>IFERROR(IF(NOT(ISNUMBER(INDEX('M04-S07'!$AK$16:$AK$198,2*(ROWS($O$148:O150)-1)+1))),INDEX(SPILLOVER[Spillover Reason],MATCH(INDEX('M04-S07'!$BC$16:$BC$198,2*(ROWS($O$148:O150)-1)+1),SPILLOVER[Spillover Text],0)),""),"")</f>
        <v>Not Eligible</v>
      </c>
      <c r="S150" s="283"/>
      <c r="T150" s="283"/>
      <c r="U150" s="277">
        <f>INDEX('M04-S07'!$B$16:$B$198,2*(ROWS($U$148:U150)-1)+1)</f>
        <v>3</v>
      </c>
      <c r="V150" s="254"/>
      <c r="W150" s="104">
        <f>INDEX('M04-S07'!$F$16:$F$198,2*(ROWS($W$148:W150)-1)+1)</f>
        <v>0</v>
      </c>
      <c r="X150" s="63">
        <f>INDEX('M04-S07'!$L$16:$L$198,2*(ROWS($X$148:X150)-1)+1)</f>
        <v>0</v>
      </c>
      <c r="Y150" s="63">
        <f>INDEX('M04-S07'!$U$16:$U$198,2*(ROWS($Y$148:Y150)-1)+1)</f>
        <v>0</v>
      </c>
      <c r="Z150" s="254"/>
      <c r="AA150" s="254"/>
      <c r="AB150" s="254"/>
      <c r="AC150" s="254"/>
      <c r="AD150" s="254"/>
      <c r="AE150" s="277">
        <f>IF(NOT(ISNUMBER(INDEX('M04-S07'!$AK$16:$AK$198,2*(ROWS($O$148:O150)-1)+1))),INDEX('M04-S07'!$Z$16:$Z$198,2*(ROWS($L$148:L150)-1)+1),0)</f>
        <v>0</v>
      </c>
      <c r="AF150" s="277">
        <f>INDEX('M04-S07'!$S$16:$S$198,2*(ROWS($AF$148:AF150)-1)+1)</f>
        <v>0</v>
      </c>
      <c r="AG150" s="277">
        <f>INDEX('M04-S07'!$AB$16:$AB$198,2*(ROWS($AG$148:AG150)-1)+1)</f>
        <v>0</v>
      </c>
      <c r="AH150" s="277" t="str">
        <f t="shared" si="84"/>
        <v/>
      </c>
      <c r="AI150" s="277" t="str">
        <f t="shared" si="85"/>
        <v/>
      </c>
      <c r="AJ150" s="107" t="str">
        <f t="shared" si="86"/>
        <v/>
      </c>
      <c r="AK150" s="107" t="str">
        <f t="shared" si="87"/>
        <v/>
      </c>
      <c r="AL150" s="107" t="str">
        <f t="shared" si="88"/>
        <v/>
      </c>
      <c r="AM150" s="107" t="str">
        <f>INDEX('M04-S07'!$AU$16:$AU$198,2*(ROWS($AM$148:AM150)-1)+1)</f>
        <v/>
      </c>
      <c r="AN150" s="107" t="str">
        <f>INDEX('M04-S07'!$BB$16:$BB$198,2*(ROWS($AN$148:AN150)-1)+1)</f>
        <v/>
      </c>
      <c r="AO150" s="277">
        <f>INDEX('M04-S07'!$Q$16:$Q$198,2*(ROWS($AO$148:AO150)-1)+1)</f>
        <v>0</v>
      </c>
      <c r="AP150" s="278"/>
      <c r="AQ150" s="278"/>
    </row>
    <row r="151" spans="1:43" x14ac:dyDescent="0.25">
      <c r="A151" s="118">
        <f t="shared" si="81"/>
        <v>0</v>
      </c>
      <c r="B151" s="118" t="str">
        <f t="shared" si="83"/>
        <v/>
      </c>
      <c r="C151" s="118" t="str">
        <f>IF(J151&gt;0,INDEX('M04-S07'!$AY$16:$AY$198,2*(ROWS($C$148:C151)-1)+1),"")</f>
        <v/>
      </c>
      <c r="D151" s="63" t="s">
        <v>215</v>
      </c>
      <c r="E151" s="301" t="str">
        <f>IFERROR(INDEX('M04-S07'!$AW$16:$AW$198,2*(ROWS($E$148:E151)-1)+1),"")</f>
        <v/>
      </c>
      <c r="F151" s="278"/>
      <c r="G151" s="254"/>
      <c r="H151" s="107">
        <f>INDEX('M04-S07'!$AD$16:$AD$198,2*(ROWS($H$148:H151)-1)+1)</f>
        <v>0</v>
      </c>
      <c r="I151" s="107">
        <f>INDEX('M04-S07'!$AF$16:$AF$198,2*(ROWS($I$148:I151)-1)+1)</f>
        <v>0</v>
      </c>
      <c r="J151" s="107" t="str">
        <f>INDEX('M04-S07'!$AH$16:$AH$198,2*(ROWS($J$148:J151)-1)+1)</f>
        <v/>
      </c>
      <c r="K151" s="63" t="str">
        <f>IFERROR(INDEX(CMEMISC[Cost Basis],MATCH(INDEX('M04-S07'!$F$16:$F$198,2*(ROWS($K$148:K151)-1)+1),CMEMISC[Proj Desc 1],0)),"")</f>
        <v/>
      </c>
      <c r="L151" s="277">
        <f>IF(ISNUMBER(INDEX('M04-S07'!$AK$16:$AK$198,2*(ROWS($O$148:O151)-1)+1)),INDEX('M04-S07'!$Z$16:$Z$198,2*(ROWS($L$148:L151)-1)+1),0)</f>
        <v>0</v>
      </c>
      <c r="M151" s="277">
        <f>IFERROR(IF(ISNUMBER(INDEX('M04-S07'!$AK$16:$AK$198,2*(ROWS($O$148:O151)-1)+1)),INDEX('M04-S07'!$AO$16:$AO$198,2*(ROWS($M$148:M151)-1)+1),0),"")</f>
        <v>0</v>
      </c>
      <c r="N151" s="335">
        <f>IFERROR(IF(ISNUMBER(INDEX('M04-S07'!$AK$16:$AK$198,2*(ROWS($O$148:O151)-1)+1)),INDEX('M04-S07'!$AV$16:$AV$198,2*(ROWS($N$148:N151)-1)+1),0),"")</f>
        <v>0</v>
      </c>
      <c r="O151" s="107">
        <f>IF(ISNUMBER(INDEX('M04-S07'!$AK$16:$AK$198,2*(ROWS($O$148:O151)-1)+1)),INDEX('M04-S07'!$AK$16:$AK$198,2*(ROWS($O$148:O151)-1)+1),0)</f>
        <v>0</v>
      </c>
      <c r="P151" s="277" t="str">
        <f>IFERROR(IF(NOT(ISNUMBER(INDEX('M04-S07'!$AK$16:$AK$198,2*(ROWS($O$148:O151)-1)+1))),INDEX('M04-S07'!$AO$16:$AO$198,2*(ROWS($O$148:O151)-1)+1),0),"")</f>
        <v/>
      </c>
      <c r="Q151" s="335" t="str">
        <f>IFERROR(IF(NOT(ISNUMBER(INDEX('M04-S07'!$AK$16:$AK$198,2*(ROWS($O$148:O151)-1)+1))),INDEX('M04-S07'!$AV$16:$AV$198,2*(ROWS($O$148:O151)-1)+1),0),"")</f>
        <v/>
      </c>
      <c r="R151" s="63" t="str">
        <f>IFERROR(IF(NOT(ISNUMBER(INDEX('M04-S07'!$AK$16:$AK$198,2*(ROWS($O$148:O151)-1)+1))),INDEX(SPILLOVER[Spillover Reason],MATCH(INDEX('M04-S07'!$BC$16:$BC$198,2*(ROWS($O$148:O151)-1)+1),SPILLOVER[Spillover Text],0)),""),"")</f>
        <v>Not Eligible</v>
      </c>
      <c r="S151" s="283"/>
      <c r="T151" s="283"/>
      <c r="U151" s="277">
        <f>INDEX('M04-S07'!$B$16:$B$198,2*(ROWS($U$148:U151)-1)+1)</f>
        <v>4</v>
      </c>
      <c r="V151" s="254"/>
      <c r="W151" s="104">
        <f>INDEX('M04-S07'!$F$16:$F$198,2*(ROWS($W$148:W151)-1)+1)</f>
        <v>0</v>
      </c>
      <c r="X151" s="63">
        <f>INDEX('M04-S07'!$L$16:$L$198,2*(ROWS($X$148:X151)-1)+1)</f>
        <v>0</v>
      </c>
      <c r="Y151" s="63">
        <f>INDEX('M04-S07'!$U$16:$U$198,2*(ROWS($Y$148:Y151)-1)+1)</f>
        <v>0</v>
      </c>
      <c r="Z151" s="254"/>
      <c r="AA151" s="254"/>
      <c r="AB151" s="254"/>
      <c r="AC151" s="254"/>
      <c r="AD151" s="254"/>
      <c r="AE151" s="277">
        <f>IF(NOT(ISNUMBER(INDEX('M04-S07'!$AK$16:$AK$198,2*(ROWS($O$148:O151)-1)+1))),INDEX('M04-S07'!$Z$16:$Z$198,2*(ROWS($L$148:L151)-1)+1),0)</f>
        <v>0</v>
      </c>
      <c r="AF151" s="277">
        <f>INDEX('M04-S07'!$S$16:$S$198,2*(ROWS($AF$148:AF151)-1)+1)</f>
        <v>0</v>
      </c>
      <c r="AG151" s="277">
        <f>INDEX('M04-S07'!$AB$16:$AB$198,2*(ROWS($AG$148:AG151)-1)+1)</f>
        <v>0</v>
      </c>
      <c r="AH151" s="277" t="str">
        <f t="shared" si="84"/>
        <v/>
      </c>
      <c r="AI151" s="277" t="str">
        <f t="shared" si="85"/>
        <v/>
      </c>
      <c r="AJ151" s="107" t="str">
        <f t="shared" si="86"/>
        <v/>
      </c>
      <c r="AK151" s="107" t="str">
        <f t="shared" si="87"/>
        <v/>
      </c>
      <c r="AL151" s="107" t="str">
        <f t="shared" si="88"/>
        <v/>
      </c>
      <c r="AM151" s="107" t="str">
        <f>INDEX('M04-S07'!$AU$16:$AU$198,2*(ROWS($AM$148:AM151)-1)+1)</f>
        <v/>
      </c>
      <c r="AN151" s="107" t="str">
        <f>INDEX('M04-S07'!$BB$16:$BB$198,2*(ROWS($AN$148:AN151)-1)+1)</f>
        <v/>
      </c>
      <c r="AO151" s="277">
        <f>INDEX('M04-S07'!$Q$16:$Q$198,2*(ROWS($AO$148:AO151)-1)+1)</f>
        <v>0</v>
      </c>
      <c r="AP151" s="278"/>
      <c r="AQ151" s="278"/>
    </row>
    <row r="152" spans="1:43" x14ac:dyDescent="0.25">
      <c r="A152" s="118">
        <f t="shared" si="81"/>
        <v>0</v>
      </c>
      <c r="B152" s="118" t="str">
        <f t="shared" si="83"/>
        <v/>
      </c>
      <c r="C152" s="118" t="str">
        <f>IF(J152&gt;0,INDEX('M04-S07'!$AY$16:$AY$198,2*(ROWS($C$148:C152)-1)+1),"")</f>
        <v/>
      </c>
      <c r="D152" s="63" t="s">
        <v>215</v>
      </c>
      <c r="E152" s="301" t="str">
        <f>IFERROR(INDEX('M04-S07'!$AW$16:$AW$198,2*(ROWS($E$148:E152)-1)+1),"")</f>
        <v/>
      </c>
      <c r="F152" s="278"/>
      <c r="G152" s="254"/>
      <c r="H152" s="107">
        <f>INDEX('M04-S07'!$AD$16:$AD$198,2*(ROWS($H$148:H152)-1)+1)</f>
        <v>0</v>
      </c>
      <c r="I152" s="107">
        <f>INDEX('M04-S07'!$AF$16:$AF$198,2*(ROWS($I$148:I152)-1)+1)</f>
        <v>0</v>
      </c>
      <c r="J152" s="107" t="str">
        <f>INDEX('M04-S07'!$AH$16:$AH$198,2*(ROWS($J$148:J152)-1)+1)</f>
        <v/>
      </c>
      <c r="K152" s="63" t="str">
        <f>IFERROR(INDEX(CMEMISC[Cost Basis],MATCH(INDEX('M04-S07'!$F$16:$F$198,2*(ROWS($K$148:K152)-1)+1),CMEMISC[Proj Desc 1],0)),"")</f>
        <v/>
      </c>
      <c r="L152" s="277">
        <f>IF(ISNUMBER(INDEX('M04-S07'!$AK$16:$AK$198,2*(ROWS($O$148:O152)-1)+1)),INDEX('M04-S07'!$Z$16:$Z$198,2*(ROWS($L$148:L152)-1)+1),0)</f>
        <v>0</v>
      </c>
      <c r="M152" s="277">
        <f>IFERROR(IF(ISNUMBER(INDEX('M04-S07'!$AK$16:$AK$198,2*(ROWS($O$148:O152)-1)+1)),INDEX('M04-S07'!$AO$16:$AO$198,2*(ROWS($M$148:M152)-1)+1),0),"")</f>
        <v>0</v>
      </c>
      <c r="N152" s="335">
        <f>IFERROR(IF(ISNUMBER(INDEX('M04-S07'!$AK$16:$AK$198,2*(ROWS($O$148:O152)-1)+1)),INDEX('M04-S07'!$AV$16:$AV$198,2*(ROWS($N$148:N152)-1)+1),0),"")</f>
        <v>0</v>
      </c>
      <c r="O152" s="107">
        <f>IF(ISNUMBER(INDEX('M04-S07'!$AK$16:$AK$198,2*(ROWS($O$148:O152)-1)+1)),INDEX('M04-S07'!$AK$16:$AK$198,2*(ROWS($O$148:O152)-1)+1),0)</f>
        <v>0</v>
      </c>
      <c r="P152" s="277" t="str">
        <f>IFERROR(IF(NOT(ISNUMBER(INDEX('M04-S07'!$AK$16:$AK$198,2*(ROWS($O$148:O152)-1)+1))),INDEX('M04-S07'!$AO$16:$AO$198,2*(ROWS($O$148:O152)-1)+1),0),"")</f>
        <v/>
      </c>
      <c r="Q152" s="335" t="str">
        <f>IFERROR(IF(NOT(ISNUMBER(INDEX('M04-S07'!$AK$16:$AK$198,2*(ROWS($O$148:O152)-1)+1))),INDEX('M04-S07'!$AV$16:$AV$198,2*(ROWS($O$148:O152)-1)+1),0),"")</f>
        <v/>
      </c>
      <c r="R152" s="63" t="str">
        <f>IFERROR(IF(NOT(ISNUMBER(INDEX('M04-S07'!$AK$16:$AK$198,2*(ROWS($O$148:O152)-1)+1))),INDEX(SPILLOVER[Spillover Reason],MATCH(INDEX('M04-S07'!$BC$16:$BC$198,2*(ROWS($O$148:O152)-1)+1),SPILLOVER[Spillover Text],0)),""),"")</f>
        <v>Not Eligible</v>
      </c>
      <c r="S152" s="283"/>
      <c r="T152" s="283"/>
      <c r="U152" s="277">
        <f>INDEX('M04-S07'!$B$16:$B$198,2*(ROWS($U$148:U152)-1)+1)</f>
        <v>5</v>
      </c>
      <c r="V152" s="254"/>
      <c r="W152" s="104">
        <f>INDEX('M04-S07'!$F$16:$F$198,2*(ROWS($W$148:W152)-1)+1)</f>
        <v>0</v>
      </c>
      <c r="X152" s="63">
        <f>INDEX('M04-S07'!$L$16:$L$198,2*(ROWS($X$148:X152)-1)+1)</f>
        <v>0</v>
      </c>
      <c r="Y152" s="63">
        <f>INDEX('M04-S07'!$U$16:$U$198,2*(ROWS($Y$148:Y152)-1)+1)</f>
        <v>0</v>
      </c>
      <c r="Z152" s="254"/>
      <c r="AA152" s="254"/>
      <c r="AB152" s="254"/>
      <c r="AC152" s="254"/>
      <c r="AD152" s="254"/>
      <c r="AE152" s="277">
        <f>IF(NOT(ISNUMBER(INDEX('M04-S07'!$AK$16:$AK$198,2*(ROWS($O$148:O152)-1)+1))),INDEX('M04-S07'!$Z$16:$Z$198,2*(ROWS($L$148:L152)-1)+1),0)</f>
        <v>0</v>
      </c>
      <c r="AF152" s="277">
        <f>INDEX('M04-S07'!$S$16:$S$198,2*(ROWS($AF$148:AF152)-1)+1)</f>
        <v>0</v>
      </c>
      <c r="AG152" s="277">
        <f>INDEX('M04-S07'!$AB$16:$AB$198,2*(ROWS($AG$148:AG152)-1)+1)</f>
        <v>0</v>
      </c>
      <c r="AH152" s="277" t="str">
        <f t="shared" si="84"/>
        <v/>
      </c>
      <c r="AI152" s="277" t="str">
        <f t="shared" si="85"/>
        <v/>
      </c>
      <c r="AJ152" s="107" t="str">
        <f t="shared" si="86"/>
        <v/>
      </c>
      <c r="AK152" s="107" t="str">
        <f t="shared" si="87"/>
        <v/>
      </c>
      <c r="AL152" s="107" t="str">
        <f t="shared" si="88"/>
        <v/>
      </c>
      <c r="AM152" s="107" t="str">
        <f>INDEX('M04-S07'!$AU$16:$AU$198,2*(ROWS($AM$148:AM152)-1)+1)</f>
        <v/>
      </c>
      <c r="AN152" s="107" t="str">
        <f>INDEX('M04-S07'!$BB$16:$BB$198,2*(ROWS($AN$148:AN152)-1)+1)</f>
        <v/>
      </c>
      <c r="AO152" s="277">
        <f>INDEX('M04-S07'!$Q$16:$Q$198,2*(ROWS($AO$148:AO152)-1)+1)</f>
        <v>0</v>
      </c>
      <c r="AP152" s="278"/>
      <c r="AQ152" s="278"/>
    </row>
    <row r="153" spans="1:43" x14ac:dyDescent="0.25">
      <c r="A153" s="118">
        <f t="shared" si="81"/>
        <v>0</v>
      </c>
      <c r="B153" s="118" t="str">
        <f t="shared" si="83"/>
        <v/>
      </c>
      <c r="C153" s="118" t="str">
        <f>IF(J153&gt;0,INDEX('M04-S07'!$AY$16:$AY$198,2*(ROWS($C$148:C153)-1)+1),"")</f>
        <v/>
      </c>
      <c r="D153" s="63" t="s">
        <v>215</v>
      </c>
      <c r="E153" s="301" t="str">
        <f>IFERROR(INDEX('M04-S07'!$AW$16:$AW$198,2*(ROWS($E$148:E153)-1)+1),"")</f>
        <v/>
      </c>
      <c r="F153" s="278"/>
      <c r="G153" s="254"/>
      <c r="H153" s="107">
        <f>INDEX('M04-S07'!$AD$16:$AD$198,2*(ROWS($H$148:H153)-1)+1)</f>
        <v>0</v>
      </c>
      <c r="I153" s="107">
        <f>INDEX('M04-S07'!$AF$16:$AF$198,2*(ROWS($I$148:I153)-1)+1)</f>
        <v>0</v>
      </c>
      <c r="J153" s="107" t="str">
        <f>INDEX('M04-S07'!$AH$16:$AH$198,2*(ROWS($J$148:J153)-1)+1)</f>
        <v/>
      </c>
      <c r="K153" s="63" t="str">
        <f>IFERROR(INDEX(CMEMISC[Cost Basis],MATCH(INDEX('M04-S07'!$F$16:$F$198,2*(ROWS($K$148:K153)-1)+1),CMEMISC[Proj Desc 1],0)),"")</f>
        <v/>
      </c>
      <c r="L153" s="277">
        <f>IF(ISNUMBER(INDEX('M04-S07'!$AK$16:$AK$198,2*(ROWS($O$148:O153)-1)+1)),INDEX('M04-S07'!$Z$16:$Z$198,2*(ROWS($L$148:L153)-1)+1),0)</f>
        <v>0</v>
      </c>
      <c r="M153" s="277">
        <f>IFERROR(IF(ISNUMBER(INDEX('M04-S07'!$AK$16:$AK$198,2*(ROWS($O$148:O153)-1)+1)),INDEX('M04-S07'!$AO$16:$AO$198,2*(ROWS($M$148:M153)-1)+1),0),"")</f>
        <v>0</v>
      </c>
      <c r="N153" s="335">
        <f>IFERROR(IF(ISNUMBER(INDEX('M04-S07'!$AK$16:$AK$198,2*(ROWS($O$148:O153)-1)+1)),INDEX('M04-S07'!$AV$16:$AV$198,2*(ROWS($N$148:N153)-1)+1),0),"")</f>
        <v>0</v>
      </c>
      <c r="O153" s="107">
        <f>IF(ISNUMBER(INDEX('M04-S07'!$AK$16:$AK$198,2*(ROWS($O$148:O153)-1)+1)),INDEX('M04-S07'!$AK$16:$AK$198,2*(ROWS($O$148:O153)-1)+1),0)</f>
        <v>0</v>
      </c>
      <c r="P153" s="277" t="str">
        <f>IFERROR(IF(NOT(ISNUMBER(INDEX('M04-S07'!$AK$16:$AK$198,2*(ROWS($O$148:O153)-1)+1))),INDEX('M04-S07'!$AO$16:$AO$198,2*(ROWS($O$148:O153)-1)+1),0),"")</f>
        <v/>
      </c>
      <c r="Q153" s="335" t="str">
        <f>IFERROR(IF(NOT(ISNUMBER(INDEX('M04-S07'!$AK$16:$AK$198,2*(ROWS($O$148:O153)-1)+1))),INDEX('M04-S07'!$AV$16:$AV$198,2*(ROWS($O$148:O153)-1)+1),0),"")</f>
        <v/>
      </c>
      <c r="R153" s="63" t="str">
        <f>IFERROR(IF(NOT(ISNUMBER(INDEX('M04-S07'!$AK$16:$AK$198,2*(ROWS($O$148:O153)-1)+1))),INDEX(SPILLOVER[Spillover Reason],MATCH(INDEX('M04-S07'!$BC$16:$BC$198,2*(ROWS($O$148:O153)-1)+1),SPILLOVER[Spillover Text],0)),""),"")</f>
        <v>Not Eligible</v>
      </c>
      <c r="S153" s="283"/>
      <c r="T153" s="283"/>
      <c r="U153" s="277">
        <f>INDEX('M04-S07'!$B$16:$B$198,2*(ROWS($U$148:U153)-1)+1)</f>
        <v>6</v>
      </c>
      <c r="V153" s="254"/>
      <c r="W153" s="104">
        <f>INDEX('M04-S07'!$F$16:$F$198,2*(ROWS($W$148:W153)-1)+1)</f>
        <v>0</v>
      </c>
      <c r="X153" s="63">
        <f>INDEX('M04-S07'!$L$16:$L$198,2*(ROWS($X$148:X153)-1)+1)</f>
        <v>0</v>
      </c>
      <c r="Y153" s="63">
        <f>INDEX('M04-S07'!$U$16:$U$198,2*(ROWS($Y$148:Y153)-1)+1)</f>
        <v>0</v>
      </c>
      <c r="Z153" s="254"/>
      <c r="AA153" s="254"/>
      <c r="AB153" s="254"/>
      <c r="AC153" s="254"/>
      <c r="AD153" s="254"/>
      <c r="AE153" s="277">
        <f>IF(NOT(ISNUMBER(INDEX('M04-S07'!$AK$16:$AK$198,2*(ROWS($O$148:O153)-1)+1))),INDEX('M04-S07'!$Z$16:$Z$198,2*(ROWS($L$148:L153)-1)+1),0)</f>
        <v>0</v>
      </c>
      <c r="AF153" s="277">
        <f>INDEX('M04-S07'!$S$16:$S$198,2*(ROWS($AF$148:AF153)-1)+1)</f>
        <v>0</v>
      </c>
      <c r="AG153" s="277">
        <f>INDEX('M04-S07'!$AB$16:$AB$198,2*(ROWS($AG$148:AG153)-1)+1)</f>
        <v>0</v>
      </c>
      <c r="AH153" s="277" t="str">
        <f t="shared" si="84"/>
        <v/>
      </c>
      <c r="AI153" s="277" t="str">
        <f t="shared" si="85"/>
        <v/>
      </c>
      <c r="AJ153" s="107" t="str">
        <f t="shared" si="86"/>
        <v/>
      </c>
      <c r="AK153" s="107" t="str">
        <f t="shared" si="87"/>
        <v/>
      </c>
      <c r="AL153" s="107" t="str">
        <f t="shared" si="88"/>
        <v/>
      </c>
      <c r="AM153" s="107" t="str">
        <f>INDEX('M04-S07'!$AU$16:$AU$198,2*(ROWS($AM$148:AM153)-1)+1)</f>
        <v/>
      </c>
      <c r="AN153" s="107" t="str">
        <f>INDEX('M04-S07'!$BB$16:$BB$198,2*(ROWS($AN$148:AN153)-1)+1)</f>
        <v/>
      </c>
      <c r="AO153" s="277">
        <f>INDEX('M04-S07'!$Q$16:$Q$198,2*(ROWS($AO$148:AO153)-1)+1)</f>
        <v>0</v>
      </c>
      <c r="AP153" s="278"/>
      <c r="AQ153" s="278"/>
    </row>
    <row r="154" spans="1:43" x14ac:dyDescent="0.25">
      <c r="A154" s="118">
        <f t="shared" si="81"/>
        <v>0</v>
      </c>
      <c r="B154" s="118" t="str">
        <f t="shared" si="83"/>
        <v/>
      </c>
      <c r="C154" s="118" t="str">
        <f>IF(J154&gt;0,INDEX('M04-S07'!$AY$16:$AY$198,2*(ROWS($C$148:C154)-1)+1),"")</f>
        <v/>
      </c>
      <c r="D154" s="63" t="s">
        <v>215</v>
      </c>
      <c r="E154" s="301" t="str">
        <f>IFERROR(INDEX('M04-S07'!$AW$16:$AW$198,2*(ROWS($E$148:E154)-1)+1),"")</f>
        <v/>
      </c>
      <c r="F154" s="278"/>
      <c r="G154" s="254"/>
      <c r="H154" s="107">
        <f>INDEX('M04-S07'!$AD$16:$AD$198,2*(ROWS($H$148:H154)-1)+1)</f>
        <v>0</v>
      </c>
      <c r="I154" s="107">
        <f>INDEX('M04-S07'!$AF$16:$AF$198,2*(ROWS($I$148:I154)-1)+1)</f>
        <v>0</v>
      </c>
      <c r="J154" s="107" t="str">
        <f>INDEX('M04-S07'!$AH$16:$AH$198,2*(ROWS($J$148:J154)-1)+1)</f>
        <v/>
      </c>
      <c r="K154" s="63" t="str">
        <f>IFERROR(INDEX(CMEMISC[Cost Basis],MATCH(INDEX('M04-S07'!$F$16:$F$198,2*(ROWS($K$148:K154)-1)+1),CMEMISC[Proj Desc 1],0)),"")</f>
        <v/>
      </c>
      <c r="L154" s="277">
        <f>IF(ISNUMBER(INDEX('M04-S07'!$AK$16:$AK$198,2*(ROWS($O$148:O154)-1)+1)),INDEX('M04-S07'!$Z$16:$Z$198,2*(ROWS($L$148:L154)-1)+1),0)</f>
        <v>0</v>
      </c>
      <c r="M154" s="277">
        <f>IFERROR(IF(ISNUMBER(INDEX('M04-S07'!$AK$16:$AK$198,2*(ROWS($O$148:O154)-1)+1)),INDEX('M04-S07'!$AO$16:$AO$198,2*(ROWS($M$148:M154)-1)+1),0),"")</f>
        <v>0</v>
      </c>
      <c r="N154" s="335">
        <f>IFERROR(IF(ISNUMBER(INDEX('M04-S07'!$AK$16:$AK$198,2*(ROWS($O$148:O154)-1)+1)),INDEX('M04-S07'!$AV$16:$AV$198,2*(ROWS($N$148:N154)-1)+1),0),"")</f>
        <v>0</v>
      </c>
      <c r="O154" s="107">
        <f>IF(ISNUMBER(INDEX('M04-S07'!$AK$16:$AK$198,2*(ROWS($O$148:O154)-1)+1)),INDEX('M04-S07'!$AK$16:$AK$198,2*(ROWS($O$148:O154)-1)+1),0)</f>
        <v>0</v>
      </c>
      <c r="P154" s="277" t="str">
        <f>IFERROR(IF(NOT(ISNUMBER(INDEX('M04-S07'!$AK$16:$AK$198,2*(ROWS($O$148:O154)-1)+1))),INDEX('M04-S07'!$AO$16:$AO$198,2*(ROWS($O$148:O154)-1)+1),0),"")</f>
        <v/>
      </c>
      <c r="Q154" s="335" t="str">
        <f>IFERROR(IF(NOT(ISNUMBER(INDEX('M04-S07'!$AK$16:$AK$198,2*(ROWS($O$148:O154)-1)+1))),INDEX('M04-S07'!$AV$16:$AV$198,2*(ROWS($O$148:O154)-1)+1),0),"")</f>
        <v/>
      </c>
      <c r="R154" s="63" t="str">
        <f>IFERROR(IF(NOT(ISNUMBER(INDEX('M04-S07'!$AK$16:$AK$198,2*(ROWS($O$148:O154)-1)+1))),INDEX(SPILLOVER[Spillover Reason],MATCH(INDEX('M04-S07'!$BC$16:$BC$198,2*(ROWS($O$148:O154)-1)+1),SPILLOVER[Spillover Text],0)),""),"")</f>
        <v>Not Eligible</v>
      </c>
      <c r="S154" s="283"/>
      <c r="T154" s="283"/>
      <c r="U154" s="277">
        <f>INDEX('M04-S07'!$B$16:$B$198,2*(ROWS($U$148:U154)-1)+1)</f>
        <v>7</v>
      </c>
      <c r="V154" s="254"/>
      <c r="W154" s="104">
        <f>INDEX('M04-S07'!$F$16:$F$198,2*(ROWS($W$148:W154)-1)+1)</f>
        <v>0</v>
      </c>
      <c r="X154" s="63">
        <f>INDEX('M04-S07'!$L$16:$L$198,2*(ROWS($X$148:X154)-1)+1)</f>
        <v>0</v>
      </c>
      <c r="Y154" s="63">
        <f>INDEX('M04-S07'!$U$16:$U$198,2*(ROWS($Y$148:Y154)-1)+1)</f>
        <v>0</v>
      </c>
      <c r="Z154" s="254"/>
      <c r="AA154" s="254"/>
      <c r="AB154" s="254"/>
      <c r="AC154" s="254"/>
      <c r="AD154" s="254"/>
      <c r="AE154" s="277">
        <f>IF(NOT(ISNUMBER(INDEX('M04-S07'!$AK$16:$AK$198,2*(ROWS($O$148:O154)-1)+1))),INDEX('M04-S07'!$Z$16:$Z$198,2*(ROWS($L$148:L154)-1)+1),0)</f>
        <v>0</v>
      </c>
      <c r="AF154" s="277">
        <f>INDEX('M04-S07'!$S$16:$S$198,2*(ROWS($AF$148:AF154)-1)+1)</f>
        <v>0</v>
      </c>
      <c r="AG154" s="277">
        <f>INDEX('M04-S07'!$AB$16:$AB$198,2*(ROWS($AG$148:AG154)-1)+1)</f>
        <v>0</v>
      </c>
      <c r="AH154" s="277" t="str">
        <f t="shared" si="84"/>
        <v/>
      </c>
      <c r="AI154" s="277" t="str">
        <f t="shared" si="85"/>
        <v/>
      </c>
      <c r="AJ154" s="107" t="str">
        <f t="shared" si="86"/>
        <v/>
      </c>
      <c r="AK154" s="107" t="str">
        <f t="shared" si="87"/>
        <v/>
      </c>
      <c r="AL154" s="107" t="str">
        <f t="shared" si="88"/>
        <v/>
      </c>
      <c r="AM154" s="107" t="str">
        <f>INDEX('M04-S07'!$AU$16:$AU$198,2*(ROWS($AM$148:AM154)-1)+1)</f>
        <v/>
      </c>
      <c r="AN154" s="107" t="str">
        <f>INDEX('M04-S07'!$BB$16:$BB$198,2*(ROWS($AN$148:AN154)-1)+1)</f>
        <v/>
      </c>
      <c r="AO154" s="277">
        <f>INDEX('M04-S07'!$Q$16:$Q$198,2*(ROWS($AO$148:AO154)-1)+1)</f>
        <v>0</v>
      </c>
      <c r="AP154" s="278"/>
      <c r="AQ154" s="278"/>
    </row>
    <row r="155" spans="1:43" x14ac:dyDescent="0.25">
      <c r="A155" s="118">
        <f t="shared" si="81"/>
        <v>0</v>
      </c>
      <c r="B155" s="118" t="str">
        <f t="shared" si="83"/>
        <v/>
      </c>
      <c r="C155" s="118" t="str">
        <f>IF(J155&gt;0,INDEX('M04-S07'!$AY$16:$AY$198,2*(ROWS($C$148:C155)-1)+1),"")</f>
        <v/>
      </c>
      <c r="D155" s="63" t="s">
        <v>215</v>
      </c>
      <c r="E155" s="301" t="str">
        <f>IFERROR(INDEX('M04-S07'!$AW$16:$AW$198,2*(ROWS($E$148:E155)-1)+1),"")</f>
        <v/>
      </c>
      <c r="F155" s="278"/>
      <c r="G155" s="254"/>
      <c r="H155" s="107">
        <f>INDEX('M04-S07'!$AD$16:$AD$198,2*(ROWS($H$148:H155)-1)+1)</f>
        <v>0</v>
      </c>
      <c r="I155" s="107">
        <f>INDEX('M04-S07'!$AF$16:$AF$198,2*(ROWS($I$148:I155)-1)+1)</f>
        <v>0</v>
      </c>
      <c r="J155" s="107" t="str">
        <f>INDEX('M04-S07'!$AH$16:$AH$198,2*(ROWS($J$148:J155)-1)+1)</f>
        <v/>
      </c>
      <c r="K155" s="63" t="str">
        <f>IFERROR(INDEX(CMEMISC[Cost Basis],MATCH(INDEX('M04-S07'!$F$16:$F$198,2*(ROWS($K$148:K155)-1)+1),CMEMISC[Proj Desc 1],0)),"")</f>
        <v/>
      </c>
      <c r="L155" s="277">
        <f>IF(ISNUMBER(INDEX('M04-S07'!$AK$16:$AK$198,2*(ROWS($O$148:O155)-1)+1)),INDEX('M04-S07'!$Z$16:$Z$198,2*(ROWS($L$148:L155)-1)+1),0)</f>
        <v>0</v>
      </c>
      <c r="M155" s="277">
        <f>IFERROR(IF(ISNUMBER(INDEX('M04-S07'!$AK$16:$AK$198,2*(ROWS($O$148:O155)-1)+1)),INDEX('M04-S07'!$AO$16:$AO$198,2*(ROWS($M$148:M155)-1)+1),0),"")</f>
        <v>0</v>
      </c>
      <c r="N155" s="335">
        <f>IFERROR(IF(ISNUMBER(INDEX('M04-S07'!$AK$16:$AK$198,2*(ROWS($O$148:O155)-1)+1)),INDEX('M04-S07'!$AV$16:$AV$198,2*(ROWS($N$148:N155)-1)+1),0),"")</f>
        <v>0</v>
      </c>
      <c r="O155" s="107">
        <f>IF(ISNUMBER(INDEX('M04-S07'!$AK$16:$AK$198,2*(ROWS($O$148:O155)-1)+1)),INDEX('M04-S07'!$AK$16:$AK$198,2*(ROWS($O$148:O155)-1)+1),0)</f>
        <v>0</v>
      </c>
      <c r="P155" s="277" t="str">
        <f>IFERROR(IF(NOT(ISNUMBER(INDEX('M04-S07'!$AK$16:$AK$198,2*(ROWS($O$148:O155)-1)+1))),INDEX('M04-S07'!$AO$16:$AO$198,2*(ROWS($O$148:O155)-1)+1),0),"")</f>
        <v/>
      </c>
      <c r="Q155" s="335" t="str">
        <f>IFERROR(IF(NOT(ISNUMBER(INDEX('M04-S07'!$AK$16:$AK$198,2*(ROWS($O$148:O155)-1)+1))),INDEX('M04-S07'!$AV$16:$AV$198,2*(ROWS($O$148:O155)-1)+1),0),"")</f>
        <v/>
      </c>
      <c r="R155" s="63" t="str">
        <f>IFERROR(IF(NOT(ISNUMBER(INDEX('M04-S07'!$AK$16:$AK$198,2*(ROWS($O$148:O155)-1)+1))),INDEX(SPILLOVER[Spillover Reason],MATCH(INDEX('M04-S07'!$BC$16:$BC$198,2*(ROWS($O$148:O155)-1)+1),SPILLOVER[Spillover Text],0)),""),"")</f>
        <v>Not Eligible</v>
      </c>
      <c r="S155" s="283"/>
      <c r="T155" s="283"/>
      <c r="U155" s="277">
        <f>INDEX('M04-S07'!$B$16:$B$198,2*(ROWS($U$148:U155)-1)+1)</f>
        <v>8</v>
      </c>
      <c r="V155" s="254"/>
      <c r="W155" s="104">
        <f>INDEX('M04-S07'!$F$16:$F$198,2*(ROWS($W$148:W155)-1)+1)</f>
        <v>0</v>
      </c>
      <c r="X155" s="63">
        <f>INDEX('M04-S07'!$L$16:$L$198,2*(ROWS($X$148:X155)-1)+1)</f>
        <v>0</v>
      </c>
      <c r="Y155" s="63">
        <f>INDEX('M04-S07'!$U$16:$U$198,2*(ROWS($Y$148:Y155)-1)+1)</f>
        <v>0</v>
      </c>
      <c r="Z155" s="254"/>
      <c r="AA155" s="254"/>
      <c r="AB155" s="254"/>
      <c r="AC155" s="254"/>
      <c r="AD155" s="254"/>
      <c r="AE155" s="277">
        <f>IF(NOT(ISNUMBER(INDEX('M04-S07'!$AK$16:$AK$198,2*(ROWS($O$148:O155)-1)+1))),INDEX('M04-S07'!$Z$16:$Z$198,2*(ROWS($L$148:L155)-1)+1),0)</f>
        <v>0</v>
      </c>
      <c r="AF155" s="277">
        <f>INDEX('M04-S07'!$S$16:$S$198,2*(ROWS($AF$148:AF155)-1)+1)</f>
        <v>0</v>
      </c>
      <c r="AG155" s="277">
        <f>INDEX('M04-S07'!$AB$16:$AB$198,2*(ROWS($AG$148:AG155)-1)+1)</f>
        <v>0</v>
      </c>
      <c r="AH155" s="277" t="str">
        <f t="shared" si="84"/>
        <v/>
      </c>
      <c r="AI155" s="277" t="str">
        <f t="shared" si="85"/>
        <v/>
      </c>
      <c r="AJ155" s="107" t="str">
        <f t="shared" si="86"/>
        <v/>
      </c>
      <c r="AK155" s="107" t="str">
        <f t="shared" si="87"/>
        <v/>
      </c>
      <c r="AL155" s="107" t="str">
        <f t="shared" si="88"/>
        <v/>
      </c>
      <c r="AM155" s="107" t="str">
        <f>INDEX('M04-S07'!$AU$16:$AU$198,2*(ROWS($AM$148:AM155)-1)+1)</f>
        <v/>
      </c>
      <c r="AN155" s="107" t="str">
        <f>INDEX('M04-S07'!$BB$16:$BB$198,2*(ROWS($AN$148:AN155)-1)+1)</f>
        <v/>
      </c>
      <c r="AO155" s="277">
        <f>INDEX('M04-S07'!$Q$16:$Q$198,2*(ROWS($AO$148:AO155)-1)+1)</f>
        <v>0</v>
      </c>
      <c r="AP155" s="278"/>
      <c r="AQ155" s="278"/>
    </row>
    <row r="156" spans="1:43" x14ac:dyDescent="0.25">
      <c r="A156" s="118">
        <f t="shared" si="81"/>
        <v>0</v>
      </c>
      <c r="B156" s="118" t="str">
        <f t="shared" si="83"/>
        <v/>
      </c>
      <c r="C156" s="118" t="str">
        <f>IF(J156&gt;0,INDEX('M04-S07'!$AY$16:$AY$198,2*(ROWS($C$148:C156)-1)+1),"")</f>
        <v/>
      </c>
      <c r="D156" s="63" t="s">
        <v>215</v>
      </c>
      <c r="E156" s="301" t="str">
        <f>IFERROR(INDEX('M04-S07'!$AW$16:$AW$198,2*(ROWS($E$148:E156)-1)+1),"")</f>
        <v/>
      </c>
      <c r="F156" s="278"/>
      <c r="G156" s="254"/>
      <c r="H156" s="107">
        <f>INDEX('M04-S07'!$AD$16:$AD$198,2*(ROWS($H$148:H156)-1)+1)</f>
        <v>0</v>
      </c>
      <c r="I156" s="107">
        <f>INDEX('M04-S07'!$AF$16:$AF$198,2*(ROWS($I$148:I156)-1)+1)</f>
        <v>0</v>
      </c>
      <c r="J156" s="107" t="str">
        <f>INDEX('M04-S07'!$AH$16:$AH$198,2*(ROWS($J$148:J156)-1)+1)</f>
        <v/>
      </c>
      <c r="K156" s="63" t="str">
        <f>IFERROR(INDEX(CMEMISC[Cost Basis],MATCH(INDEX('M04-S07'!$F$16:$F$198,2*(ROWS($K$148:K156)-1)+1),CMEMISC[Proj Desc 1],0)),"")</f>
        <v/>
      </c>
      <c r="L156" s="277">
        <f>IF(ISNUMBER(INDEX('M04-S07'!$AK$16:$AK$198,2*(ROWS($O$148:O156)-1)+1)),INDEX('M04-S07'!$Z$16:$Z$198,2*(ROWS($L$148:L156)-1)+1),0)</f>
        <v>0</v>
      </c>
      <c r="M156" s="277">
        <f>IFERROR(IF(ISNUMBER(INDEX('M04-S07'!$AK$16:$AK$198,2*(ROWS($O$148:O156)-1)+1)),INDEX('M04-S07'!$AO$16:$AO$198,2*(ROWS($M$148:M156)-1)+1),0),"")</f>
        <v>0</v>
      </c>
      <c r="N156" s="335">
        <f>IFERROR(IF(ISNUMBER(INDEX('M04-S07'!$AK$16:$AK$198,2*(ROWS($O$148:O156)-1)+1)),INDEX('M04-S07'!$AV$16:$AV$198,2*(ROWS($N$148:N156)-1)+1),0),"")</f>
        <v>0</v>
      </c>
      <c r="O156" s="107">
        <f>IF(ISNUMBER(INDEX('M04-S07'!$AK$16:$AK$198,2*(ROWS($O$148:O156)-1)+1)),INDEX('M04-S07'!$AK$16:$AK$198,2*(ROWS($O$148:O156)-1)+1),0)</f>
        <v>0</v>
      </c>
      <c r="P156" s="277" t="str">
        <f>IFERROR(IF(NOT(ISNUMBER(INDEX('M04-S07'!$AK$16:$AK$198,2*(ROWS($O$148:O156)-1)+1))),INDEX('M04-S07'!$AO$16:$AO$198,2*(ROWS($O$148:O156)-1)+1),0),"")</f>
        <v/>
      </c>
      <c r="Q156" s="335" t="str">
        <f>IFERROR(IF(NOT(ISNUMBER(INDEX('M04-S07'!$AK$16:$AK$198,2*(ROWS($O$148:O156)-1)+1))),INDEX('M04-S07'!$AV$16:$AV$198,2*(ROWS($O$148:O156)-1)+1),0),"")</f>
        <v/>
      </c>
      <c r="R156" s="63" t="str">
        <f>IFERROR(IF(NOT(ISNUMBER(INDEX('M04-S07'!$AK$16:$AK$198,2*(ROWS($O$148:O156)-1)+1))),INDEX(SPILLOVER[Spillover Reason],MATCH(INDEX('M04-S07'!$BC$16:$BC$198,2*(ROWS($O$148:O156)-1)+1),SPILLOVER[Spillover Text],0)),""),"")</f>
        <v>Not Eligible</v>
      </c>
      <c r="S156" s="283"/>
      <c r="T156" s="283"/>
      <c r="U156" s="277">
        <f>INDEX('M04-S07'!$B$16:$B$198,2*(ROWS($U$148:U156)-1)+1)</f>
        <v>9</v>
      </c>
      <c r="V156" s="254"/>
      <c r="W156" s="104">
        <f>INDEX('M04-S07'!$F$16:$F$198,2*(ROWS($W$148:W156)-1)+1)</f>
        <v>0</v>
      </c>
      <c r="X156" s="63">
        <f>INDEX('M04-S07'!$L$16:$L$198,2*(ROWS($X$148:X156)-1)+1)</f>
        <v>0</v>
      </c>
      <c r="Y156" s="63">
        <f>INDEX('M04-S07'!$U$16:$U$198,2*(ROWS($Y$148:Y156)-1)+1)</f>
        <v>0</v>
      </c>
      <c r="Z156" s="254"/>
      <c r="AA156" s="254"/>
      <c r="AB156" s="254"/>
      <c r="AC156" s="254"/>
      <c r="AD156" s="254"/>
      <c r="AE156" s="277">
        <f>IF(NOT(ISNUMBER(INDEX('M04-S07'!$AK$16:$AK$198,2*(ROWS($O$148:O156)-1)+1))),INDEX('M04-S07'!$Z$16:$Z$198,2*(ROWS($L$148:L156)-1)+1),0)</f>
        <v>0</v>
      </c>
      <c r="AF156" s="277">
        <f>INDEX('M04-S07'!$S$16:$S$198,2*(ROWS($AF$148:AF156)-1)+1)</f>
        <v>0</v>
      </c>
      <c r="AG156" s="277">
        <f>INDEX('M04-S07'!$AB$16:$AB$198,2*(ROWS($AG$148:AG156)-1)+1)</f>
        <v>0</v>
      </c>
      <c r="AH156" s="277" t="str">
        <f t="shared" si="84"/>
        <v/>
      </c>
      <c r="AI156" s="277" t="str">
        <f t="shared" si="85"/>
        <v/>
      </c>
      <c r="AJ156" s="107" t="str">
        <f t="shared" si="86"/>
        <v/>
      </c>
      <c r="AK156" s="107" t="str">
        <f t="shared" si="87"/>
        <v/>
      </c>
      <c r="AL156" s="107" t="str">
        <f t="shared" si="88"/>
        <v/>
      </c>
      <c r="AM156" s="107" t="str">
        <f>INDEX('M04-S07'!$AU$16:$AU$198,2*(ROWS($AM$148:AM156)-1)+1)</f>
        <v/>
      </c>
      <c r="AN156" s="107" t="str">
        <f>INDEX('M04-S07'!$BB$16:$BB$198,2*(ROWS($AN$148:AN156)-1)+1)</f>
        <v/>
      </c>
      <c r="AO156" s="277">
        <f>INDEX('M04-S07'!$Q$16:$Q$198,2*(ROWS($AO$148:AO156)-1)+1)</f>
        <v>0</v>
      </c>
      <c r="AP156" s="278"/>
      <c r="AQ156" s="278"/>
    </row>
    <row r="157" spans="1:43" x14ac:dyDescent="0.25">
      <c r="A157" s="118">
        <f t="shared" si="81"/>
        <v>0</v>
      </c>
      <c r="B157" s="118" t="str">
        <f t="shared" si="83"/>
        <v/>
      </c>
      <c r="C157" s="118" t="str">
        <f>IF(J157&gt;0,INDEX('M04-S07'!$AY$16:$AY$198,2*(ROWS($C$148:C157)-1)+1),"")</f>
        <v/>
      </c>
      <c r="D157" s="63" t="s">
        <v>215</v>
      </c>
      <c r="E157" s="301" t="str">
        <f>IFERROR(INDEX('M04-S07'!$AW$16:$AW$198,2*(ROWS($E$148:E157)-1)+1),"")</f>
        <v/>
      </c>
      <c r="F157" s="278"/>
      <c r="G157" s="254"/>
      <c r="H157" s="107">
        <f>INDEX('M04-S07'!$AD$16:$AD$198,2*(ROWS($H$148:H157)-1)+1)</f>
        <v>0</v>
      </c>
      <c r="I157" s="107">
        <f>INDEX('M04-S07'!$AF$16:$AF$198,2*(ROWS($I$148:I157)-1)+1)</f>
        <v>0</v>
      </c>
      <c r="J157" s="107" t="str">
        <f>INDEX('M04-S07'!$AH$16:$AH$198,2*(ROWS($J$148:J157)-1)+1)</f>
        <v/>
      </c>
      <c r="K157" s="63" t="str">
        <f>IFERROR(INDEX(CMEMISC[Cost Basis],MATCH(INDEX('M04-S07'!$F$16:$F$198,2*(ROWS($K$148:K157)-1)+1),CMEMISC[Proj Desc 1],0)),"")</f>
        <v/>
      </c>
      <c r="L157" s="277">
        <f>IF(ISNUMBER(INDEX('M04-S07'!$AK$16:$AK$198,2*(ROWS($O$148:O157)-1)+1)),INDEX('M04-S07'!$Z$16:$Z$198,2*(ROWS($L$148:L157)-1)+1),0)</f>
        <v>0</v>
      </c>
      <c r="M157" s="277">
        <f>IFERROR(IF(ISNUMBER(INDEX('M04-S07'!$AK$16:$AK$198,2*(ROWS($O$148:O157)-1)+1)),INDEX('M04-S07'!$AO$16:$AO$198,2*(ROWS($M$148:M157)-1)+1),0),"")</f>
        <v>0</v>
      </c>
      <c r="N157" s="335">
        <f>IFERROR(IF(ISNUMBER(INDEX('M04-S07'!$AK$16:$AK$198,2*(ROWS($O$148:O157)-1)+1)),INDEX('M04-S07'!$AV$16:$AV$198,2*(ROWS($N$148:N157)-1)+1),0),"")</f>
        <v>0</v>
      </c>
      <c r="O157" s="107">
        <f>IF(ISNUMBER(INDEX('M04-S07'!$AK$16:$AK$198,2*(ROWS($O$148:O157)-1)+1)),INDEX('M04-S07'!$AK$16:$AK$198,2*(ROWS($O$148:O157)-1)+1),0)</f>
        <v>0</v>
      </c>
      <c r="P157" s="277" t="str">
        <f>IFERROR(IF(NOT(ISNUMBER(INDEX('M04-S07'!$AK$16:$AK$198,2*(ROWS($O$148:O157)-1)+1))),INDEX('M04-S07'!$AO$16:$AO$198,2*(ROWS($O$148:O157)-1)+1),0),"")</f>
        <v/>
      </c>
      <c r="Q157" s="335" t="str">
        <f>IFERROR(IF(NOT(ISNUMBER(INDEX('M04-S07'!$AK$16:$AK$198,2*(ROWS($O$148:O157)-1)+1))),INDEX('M04-S07'!$AV$16:$AV$198,2*(ROWS($O$148:O157)-1)+1),0),"")</f>
        <v/>
      </c>
      <c r="R157" s="63" t="str">
        <f>IFERROR(IF(NOT(ISNUMBER(INDEX('M04-S07'!$AK$16:$AK$198,2*(ROWS($O$148:O157)-1)+1))),INDEX(SPILLOVER[Spillover Reason],MATCH(INDEX('M04-S07'!$BC$16:$BC$198,2*(ROWS($O$148:O157)-1)+1),SPILLOVER[Spillover Text],0)),""),"")</f>
        <v>Not Eligible</v>
      </c>
      <c r="S157" s="283"/>
      <c r="T157" s="283"/>
      <c r="U157" s="277">
        <f>INDEX('M04-S07'!$B$16:$B$198,2*(ROWS($U$148:U157)-1)+1)</f>
        <v>10</v>
      </c>
      <c r="V157" s="254"/>
      <c r="W157" s="104">
        <f>INDEX('M04-S07'!$F$16:$F$198,2*(ROWS($W$148:W157)-1)+1)</f>
        <v>0</v>
      </c>
      <c r="X157" s="63">
        <f>INDEX('M04-S07'!$L$16:$L$198,2*(ROWS($X$148:X157)-1)+1)</f>
        <v>0</v>
      </c>
      <c r="Y157" s="63">
        <f>INDEX('M04-S07'!$U$16:$U$198,2*(ROWS($Y$148:Y157)-1)+1)</f>
        <v>0</v>
      </c>
      <c r="Z157" s="254"/>
      <c r="AA157" s="254"/>
      <c r="AB157" s="254"/>
      <c r="AC157" s="254"/>
      <c r="AD157" s="254"/>
      <c r="AE157" s="277">
        <f>IF(NOT(ISNUMBER(INDEX('M04-S07'!$AK$16:$AK$198,2*(ROWS($O$148:O157)-1)+1))),INDEX('M04-S07'!$Z$16:$Z$198,2*(ROWS($L$148:L157)-1)+1),0)</f>
        <v>0</v>
      </c>
      <c r="AF157" s="277">
        <f>INDEX('M04-S07'!$S$16:$S$198,2*(ROWS($AF$148:AF157)-1)+1)</f>
        <v>0</v>
      </c>
      <c r="AG157" s="277">
        <f>INDEX('M04-S07'!$AB$16:$AB$198,2*(ROWS($AG$148:AG157)-1)+1)</f>
        <v>0</v>
      </c>
      <c r="AH157" s="277" t="str">
        <f t="shared" si="84"/>
        <v/>
      </c>
      <c r="AI157" s="277" t="str">
        <f t="shared" si="85"/>
        <v/>
      </c>
      <c r="AJ157" s="107" t="str">
        <f t="shared" si="86"/>
        <v/>
      </c>
      <c r="AK157" s="107" t="str">
        <f t="shared" si="87"/>
        <v/>
      </c>
      <c r="AL157" s="107" t="str">
        <f t="shared" si="88"/>
        <v/>
      </c>
      <c r="AM157" s="107" t="str">
        <f>INDEX('M04-S07'!$AU$16:$AU$198,2*(ROWS($AM$148:AM157)-1)+1)</f>
        <v/>
      </c>
      <c r="AN157" s="107" t="str">
        <f>INDEX('M04-S07'!$BB$16:$BB$198,2*(ROWS($AN$148:AN157)-1)+1)</f>
        <v/>
      </c>
      <c r="AO157" s="277">
        <f>INDEX('M04-S07'!$Q$16:$Q$198,2*(ROWS($AO$148:AO157)-1)+1)</f>
        <v>0</v>
      </c>
      <c r="AP157" s="278"/>
      <c r="AQ157" s="278"/>
    </row>
    <row r="158" spans="1:43" x14ac:dyDescent="0.25">
      <c r="A158" s="118">
        <f t="shared" si="81"/>
        <v>0</v>
      </c>
      <c r="B158" s="118" t="str">
        <f t="shared" si="83"/>
        <v/>
      </c>
      <c r="C158" s="118" t="str">
        <f>IF(J158&gt;0,INDEX('M04-S07'!$AY$16:$AY$198,2*(ROWS($C$148:C158)-1)+1),"")</f>
        <v/>
      </c>
      <c r="D158" s="63" t="s">
        <v>215</v>
      </c>
      <c r="E158" s="301">
        <f>IFERROR(INDEX('M04-S07'!$AW$16:$AW$198,2*(ROWS($E$148:E158)-1)+1),"")</f>
        <v>0</v>
      </c>
      <c r="F158" s="278"/>
      <c r="G158" s="254"/>
      <c r="H158" s="107">
        <f>INDEX('M04-S07'!$AD$16:$AD$198,2*(ROWS($H$148:H158)-1)+1)</f>
        <v>0</v>
      </c>
      <c r="I158" s="107">
        <f>INDEX('M04-S07'!$AF$16:$AF$198,2*(ROWS($I$148:I158)-1)+1)</f>
        <v>0</v>
      </c>
      <c r="J158" s="107">
        <f>INDEX('M04-S07'!$AH$16:$AH$198,2*(ROWS($J$148:J158)-1)+1)</f>
        <v>0</v>
      </c>
      <c r="K158" s="63" t="str">
        <f>IFERROR(INDEX(CMEMISC[Cost Basis],MATCH(INDEX('M04-S07'!$F$16:$F$198,2*(ROWS($K$148:K158)-1)+1),CMEMISC[Proj Desc 1],0)),"")</f>
        <v/>
      </c>
      <c r="L158" s="277">
        <f>IF(ISNUMBER(INDEX('M04-S07'!$AK$16:$AK$198,2*(ROWS($O$148:O158)-1)+1)),INDEX('M04-S07'!$Z$16:$Z$198,2*(ROWS($L$148:L158)-1)+1),0)</f>
        <v>0</v>
      </c>
      <c r="M158" s="277">
        <f>IFERROR(IF(ISNUMBER(INDEX('M04-S07'!$AK$16:$AK$198,2*(ROWS($O$148:O158)-1)+1)),INDEX('M04-S07'!$AO$16:$AO$198,2*(ROWS($M$148:M158)-1)+1),0),"")</f>
        <v>0</v>
      </c>
      <c r="N158" s="335">
        <f>IFERROR(IF(ISNUMBER(INDEX('M04-S07'!$AK$16:$AK$198,2*(ROWS($O$148:O158)-1)+1)),INDEX('M04-S07'!$AV$16:$AV$198,2*(ROWS($N$148:N158)-1)+1),0),"")</f>
        <v>0</v>
      </c>
      <c r="O158" s="107">
        <f>IF(ISNUMBER(INDEX('M04-S07'!$AK$16:$AK$198,2*(ROWS($O$148:O158)-1)+1)),INDEX('M04-S07'!$AK$16:$AK$198,2*(ROWS($O$148:O158)-1)+1),0)</f>
        <v>0</v>
      </c>
      <c r="P158" s="277">
        <f>IFERROR(IF(NOT(ISNUMBER(INDEX('M04-S07'!$AK$16:$AK$198,2*(ROWS($O$148:O158)-1)+1))),INDEX('M04-S07'!$AO$16:$AO$198,2*(ROWS($O$148:O158)-1)+1),0),"")</f>
        <v>0</v>
      </c>
      <c r="Q158" s="335">
        <f>IFERROR(IF(NOT(ISNUMBER(INDEX('M04-S07'!$AK$16:$AK$198,2*(ROWS($O$148:O158)-1)+1))),INDEX('M04-S07'!$AV$16:$AV$198,2*(ROWS($O$148:O158)-1)+1),0),"")</f>
        <v>0</v>
      </c>
      <c r="R158" s="63" t="str">
        <f>IFERROR(IF(NOT(ISNUMBER(INDEX('M04-S07'!$AK$16:$AK$198,2*(ROWS($O$148:O158)-1)+1))),INDEX(SPILLOVER[Spillover Reason],MATCH(INDEX('M04-S07'!$BC$16:$BC$198,2*(ROWS($O$148:O158)-1)+1),SPILLOVER[Spillover Text],0)),""),"")</f>
        <v/>
      </c>
      <c r="S158" s="283"/>
      <c r="T158" s="283"/>
      <c r="U158" s="277">
        <f>INDEX('M04-S07'!$B$16:$B$198,2*(ROWS($U$148:U158)-1)+1)</f>
        <v>11</v>
      </c>
      <c r="V158" s="254"/>
      <c r="W158" s="104">
        <f>INDEX('M04-S07'!$F$16:$F$198,2*(ROWS($W$148:W158)-1)+1)</f>
        <v>0</v>
      </c>
      <c r="X158" s="63">
        <f>INDEX('M04-S07'!$L$16:$L$198,2*(ROWS($X$148:X158)-1)+1)</f>
        <v>0</v>
      </c>
      <c r="Y158" s="63">
        <f>INDEX('M04-S07'!$U$16:$U$198,2*(ROWS($Y$148:Y158)-1)+1)</f>
        <v>0</v>
      </c>
      <c r="Z158" s="254"/>
      <c r="AA158" s="254"/>
      <c r="AB158" s="254"/>
      <c r="AC158" s="254"/>
      <c r="AD158" s="254"/>
      <c r="AE158" s="277">
        <f>IF(NOT(ISNUMBER(INDEX('M04-S07'!$AK$16:$AK$198,2*(ROWS($O$148:O158)-1)+1))),INDEX('M04-S07'!$Z$16:$Z$198,2*(ROWS($L$148:L158)-1)+1),0)</f>
        <v>0</v>
      </c>
      <c r="AF158" s="277">
        <f>INDEX('M04-S07'!$S$16:$S$198,2*(ROWS($AF$148:AF158)-1)+1)</f>
        <v>0</v>
      </c>
      <c r="AG158" s="277">
        <f>INDEX('M04-S07'!$AB$16:$AB$198,2*(ROWS($AG$148:AG158)-1)+1)</f>
        <v>0</v>
      </c>
      <c r="AH158" s="277" t="str">
        <f t="shared" si="84"/>
        <v/>
      </c>
      <c r="AI158" s="277" t="str">
        <f t="shared" si="85"/>
        <v/>
      </c>
      <c r="AJ158" s="107" t="str">
        <f t="shared" si="86"/>
        <v/>
      </c>
      <c r="AK158" s="107" t="str">
        <f t="shared" si="87"/>
        <v/>
      </c>
      <c r="AL158" s="107" t="str">
        <f t="shared" si="88"/>
        <v/>
      </c>
      <c r="AM158" s="107">
        <f>INDEX('M04-S07'!$AU$16:$AU$198,2*(ROWS($AM$148:AM158)-1)+1)</f>
        <v>0</v>
      </c>
      <c r="AN158" s="107">
        <f>INDEX('M04-S07'!$BB$16:$BB$198,2*(ROWS($AN$148:AN158)-1)+1)</f>
        <v>0</v>
      </c>
      <c r="AO158" s="277">
        <f>INDEX('M04-S07'!$Q$16:$Q$198,2*(ROWS($AO$148:AO158)-1)+1)</f>
        <v>0</v>
      </c>
      <c r="AP158" s="278"/>
      <c r="AQ158" s="278"/>
    </row>
    <row r="159" spans="1:43" x14ac:dyDescent="0.25">
      <c r="A159" s="118">
        <f t="shared" si="81"/>
        <v>0</v>
      </c>
      <c r="B159" s="118" t="str">
        <f t="shared" si="83"/>
        <v/>
      </c>
      <c r="C159" s="118" t="str">
        <f>IF(J159&gt;0,INDEX('M04-S07'!$AY$16:$AY$198,2*(ROWS($C$148:C159)-1)+1),"")</f>
        <v/>
      </c>
      <c r="D159" s="63" t="s">
        <v>215</v>
      </c>
      <c r="E159" s="301">
        <f>IFERROR(INDEX('M04-S07'!$AW$16:$AW$198,2*(ROWS($E$148:E159)-1)+1),"")</f>
        <v>0</v>
      </c>
      <c r="F159" s="278"/>
      <c r="G159" s="254"/>
      <c r="H159" s="107">
        <f>INDEX('M04-S07'!$AD$16:$AD$198,2*(ROWS($H$148:H159)-1)+1)</f>
        <v>0</v>
      </c>
      <c r="I159" s="107">
        <f>INDEX('M04-S07'!$AF$16:$AF$198,2*(ROWS($I$148:I159)-1)+1)</f>
        <v>0</v>
      </c>
      <c r="J159" s="107">
        <f>INDEX('M04-S07'!$AH$16:$AH$198,2*(ROWS($J$148:J159)-1)+1)</f>
        <v>0</v>
      </c>
      <c r="K159" s="63" t="str">
        <f>IFERROR(INDEX(CMEMISC[Cost Basis],MATCH(INDEX('M04-S07'!$F$16:$F$198,2*(ROWS($K$148:K159)-1)+1),CMEMISC[Proj Desc 1],0)),"")</f>
        <v/>
      </c>
      <c r="L159" s="277">
        <f>IF(ISNUMBER(INDEX('M04-S07'!$AK$16:$AK$198,2*(ROWS($O$148:O159)-1)+1)),INDEX('M04-S07'!$Z$16:$Z$198,2*(ROWS($L$148:L159)-1)+1),0)</f>
        <v>0</v>
      </c>
      <c r="M159" s="277">
        <f>IFERROR(IF(ISNUMBER(INDEX('M04-S07'!$AK$16:$AK$198,2*(ROWS($O$148:O159)-1)+1)),INDEX('M04-S07'!$AO$16:$AO$198,2*(ROWS($M$148:M159)-1)+1),0),"")</f>
        <v>0</v>
      </c>
      <c r="N159" s="335">
        <f>IFERROR(IF(ISNUMBER(INDEX('M04-S07'!$AK$16:$AK$198,2*(ROWS($O$148:O159)-1)+1)),INDEX('M04-S07'!$AV$16:$AV$198,2*(ROWS($N$148:N159)-1)+1),0),"")</f>
        <v>0</v>
      </c>
      <c r="O159" s="107">
        <f>IF(ISNUMBER(INDEX('M04-S07'!$AK$16:$AK$198,2*(ROWS($O$148:O159)-1)+1)),INDEX('M04-S07'!$AK$16:$AK$198,2*(ROWS($O$148:O159)-1)+1),0)</f>
        <v>0</v>
      </c>
      <c r="P159" s="277">
        <f>IFERROR(IF(NOT(ISNUMBER(INDEX('M04-S07'!$AK$16:$AK$198,2*(ROWS($O$148:O159)-1)+1))),INDEX('M04-S07'!$AO$16:$AO$198,2*(ROWS($O$148:O159)-1)+1),0),"")</f>
        <v>0</v>
      </c>
      <c r="Q159" s="335">
        <f>IFERROR(IF(NOT(ISNUMBER(INDEX('M04-S07'!$AK$16:$AK$198,2*(ROWS($O$148:O159)-1)+1))),INDEX('M04-S07'!$AV$16:$AV$198,2*(ROWS($O$148:O159)-1)+1),0),"")</f>
        <v>0</v>
      </c>
      <c r="R159" s="63" t="str">
        <f>IFERROR(IF(NOT(ISNUMBER(INDEX('M04-S07'!$AK$16:$AK$198,2*(ROWS($O$148:O159)-1)+1))),INDEX(SPILLOVER[Spillover Reason],MATCH(INDEX('M04-S07'!$BC$16:$BC$198,2*(ROWS($O$148:O159)-1)+1),SPILLOVER[Spillover Text],0)),""),"")</f>
        <v/>
      </c>
      <c r="S159" s="283"/>
      <c r="T159" s="283"/>
      <c r="U159" s="277">
        <f>INDEX('M04-S07'!$B$16:$B$198,2*(ROWS($U$148:U159)-1)+1)</f>
        <v>12</v>
      </c>
      <c r="V159" s="254"/>
      <c r="W159" s="104">
        <f>INDEX('M04-S07'!$F$16:$F$198,2*(ROWS($W$148:W159)-1)+1)</f>
        <v>0</v>
      </c>
      <c r="X159" s="63">
        <f>INDEX('M04-S07'!$L$16:$L$198,2*(ROWS($X$148:X159)-1)+1)</f>
        <v>0</v>
      </c>
      <c r="Y159" s="63">
        <f>INDEX('M04-S07'!$U$16:$U$198,2*(ROWS($Y$148:Y159)-1)+1)</f>
        <v>0</v>
      </c>
      <c r="Z159" s="254"/>
      <c r="AA159" s="254"/>
      <c r="AB159" s="254"/>
      <c r="AC159" s="254"/>
      <c r="AD159" s="254"/>
      <c r="AE159" s="277">
        <f>IF(NOT(ISNUMBER(INDEX('M04-S07'!$AK$16:$AK$198,2*(ROWS($O$148:O159)-1)+1))),INDEX('M04-S07'!$Z$16:$Z$198,2*(ROWS($L$148:L159)-1)+1),0)</f>
        <v>0</v>
      </c>
      <c r="AF159" s="277">
        <f>INDEX('M04-S07'!$S$16:$S$198,2*(ROWS($AF$148:AF159)-1)+1)</f>
        <v>0</v>
      </c>
      <c r="AG159" s="277">
        <f>INDEX('M04-S07'!$AB$16:$AB$198,2*(ROWS($AG$148:AG159)-1)+1)</f>
        <v>0</v>
      </c>
      <c r="AH159" s="277" t="str">
        <f t="shared" si="84"/>
        <v/>
      </c>
      <c r="AI159" s="277" t="str">
        <f t="shared" si="85"/>
        <v/>
      </c>
      <c r="AJ159" s="107" t="str">
        <f t="shared" si="86"/>
        <v/>
      </c>
      <c r="AK159" s="107" t="str">
        <f t="shared" si="87"/>
        <v/>
      </c>
      <c r="AL159" s="107" t="str">
        <f t="shared" si="88"/>
        <v/>
      </c>
      <c r="AM159" s="107">
        <f>INDEX('M04-S07'!$AU$16:$AU$198,2*(ROWS($AM$148:AM159)-1)+1)</f>
        <v>0</v>
      </c>
      <c r="AN159" s="107">
        <f>INDEX('M04-S07'!$BB$16:$BB$198,2*(ROWS($AN$148:AN159)-1)+1)</f>
        <v>0</v>
      </c>
      <c r="AO159" s="277">
        <f>INDEX('M04-S07'!$Q$16:$Q$198,2*(ROWS($AO$148:AO159)-1)+1)</f>
        <v>0</v>
      </c>
      <c r="AP159" s="278"/>
      <c r="AQ159" s="278"/>
    </row>
    <row r="160" spans="1:43" x14ac:dyDescent="0.25">
      <c r="A160" s="118">
        <f t="shared" si="81"/>
        <v>0</v>
      </c>
      <c r="B160" s="118" t="str">
        <f t="shared" si="83"/>
        <v/>
      </c>
      <c r="C160" s="118" t="str">
        <f>IF(J160&gt;0,INDEX('M04-S07'!$AY$16:$AY$198,2*(ROWS($C$148:C160)-1)+1),"")</f>
        <v/>
      </c>
      <c r="D160" s="63" t="s">
        <v>215</v>
      </c>
      <c r="E160" s="301">
        <f>IFERROR(INDEX('M04-S07'!$AW$16:$AW$198,2*(ROWS($E$148:E160)-1)+1),"")</f>
        <v>0</v>
      </c>
      <c r="F160" s="278"/>
      <c r="G160" s="254"/>
      <c r="H160" s="107">
        <f>INDEX('M04-S07'!$AD$16:$AD$198,2*(ROWS($H$148:H160)-1)+1)</f>
        <v>0</v>
      </c>
      <c r="I160" s="107">
        <f>INDEX('M04-S07'!$AF$16:$AF$198,2*(ROWS($I$148:I160)-1)+1)</f>
        <v>0</v>
      </c>
      <c r="J160" s="107">
        <f>INDEX('M04-S07'!$AH$16:$AH$198,2*(ROWS($J$148:J160)-1)+1)</f>
        <v>0</v>
      </c>
      <c r="K160" s="63" t="str">
        <f>IFERROR(INDEX(CMEMISC[Cost Basis],MATCH(INDEX('M04-S07'!$F$16:$F$198,2*(ROWS($K$148:K160)-1)+1),CMEMISC[Proj Desc 1],0)),"")</f>
        <v/>
      </c>
      <c r="L160" s="277">
        <f>IF(ISNUMBER(INDEX('M04-S07'!$AK$16:$AK$198,2*(ROWS($O$148:O160)-1)+1)),INDEX('M04-S07'!$Z$16:$Z$198,2*(ROWS($L$148:L160)-1)+1),0)</f>
        <v>0</v>
      </c>
      <c r="M160" s="277">
        <f>IFERROR(IF(ISNUMBER(INDEX('M04-S07'!$AK$16:$AK$198,2*(ROWS($O$148:O160)-1)+1)),INDEX('M04-S07'!$AO$16:$AO$198,2*(ROWS($M$148:M160)-1)+1),0),"")</f>
        <v>0</v>
      </c>
      <c r="N160" s="335">
        <f>IFERROR(IF(ISNUMBER(INDEX('M04-S07'!$AK$16:$AK$198,2*(ROWS($O$148:O160)-1)+1)),INDEX('M04-S07'!$AV$16:$AV$198,2*(ROWS($N$148:N160)-1)+1),0),"")</f>
        <v>0</v>
      </c>
      <c r="O160" s="107">
        <f>IF(ISNUMBER(INDEX('M04-S07'!$AK$16:$AK$198,2*(ROWS($O$148:O160)-1)+1)),INDEX('M04-S07'!$AK$16:$AK$198,2*(ROWS($O$148:O160)-1)+1),0)</f>
        <v>0</v>
      </c>
      <c r="P160" s="277">
        <f>IFERROR(IF(NOT(ISNUMBER(INDEX('M04-S07'!$AK$16:$AK$198,2*(ROWS($O$148:O160)-1)+1))),INDEX('M04-S07'!$AO$16:$AO$198,2*(ROWS($O$148:O160)-1)+1),0),"")</f>
        <v>0</v>
      </c>
      <c r="Q160" s="335">
        <f>IFERROR(IF(NOT(ISNUMBER(INDEX('M04-S07'!$AK$16:$AK$198,2*(ROWS($O$148:O160)-1)+1))),INDEX('M04-S07'!$AV$16:$AV$198,2*(ROWS($O$148:O160)-1)+1),0),"")</f>
        <v>0</v>
      </c>
      <c r="R160" s="63" t="str">
        <f>IFERROR(IF(NOT(ISNUMBER(INDEX('M04-S07'!$AK$16:$AK$198,2*(ROWS($O$148:O160)-1)+1))),INDEX(SPILLOVER[Spillover Reason],MATCH(INDEX('M04-S07'!$BC$16:$BC$198,2*(ROWS($O$148:O160)-1)+1),SPILLOVER[Spillover Text],0)),""),"")</f>
        <v/>
      </c>
      <c r="S160" s="283"/>
      <c r="T160" s="283"/>
      <c r="U160" s="277">
        <f>INDEX('M04-S07'!$B$16:$B$198,2*(ROWS($U$148:U160)-1)+1)</f>
        <v>13</v>
      </c>
      <c r="V160" s="254"/>
      <c r="W160" s="104">
        <f>INDEX('M04-S07'!$F$16:$F$198,2*(ROWS($W$148:W160)-1)+1)</f>
        <v>0</v>
      </c>
      <c r="X160" s="63">
        <f>INDEX('M04-S07'!$L$16:$L$198,2*(ROWS($X$148:X160)-1)+1)</f>
        <v>0</v>
      </c>
      <c r="Y160" s="63">
        <f>INDEX('M04-S07'!$U$16:$U$198,2*(ROWS($Y$148:Y160)-1)+1)</f>
        <v>0</v>
      </c>
      <c r="Z160" s="254"/>
      <c r="AA160" s="254"/>
      <c r="AB160" s="254"/>
      <c r="AC160" s="254"/>
      <c r="AD160" s="254"/>
      <c r="AE160" s="277">
        <f>IF(NOT(ISNUMBER(INDEX('M04-S07'!$AK$16:$AK$198,2*(ROWS($O$148:O160)-1)+1))),INDEX('M04-S07'!$Z$16:$Z$198,2*(ROWS($L$148:L160)-1)+1),0)</f>
        <v>0</v>
      </c>
      <c r="AF160" s="277">
        <f>INDEX('M04-S07'!$S$16:$S$198,2*(ROWS($AF$148:AF160)-1)+1)</f>
        <v>0</v>
      </c>
      <c r="AG160" s="277">
        <f>INDEX('M04-S07'!$AB$16:$AB$198,2*(ROWS($AG$148:AG160)-1)+1)</f>
        <v>0</v>
      </c>
      <c r="AH160" s="277" t="str">
        <f t="shared" si="84"/>
        <v/>
      </c>
      <c r="AI160" s="277" t="str">
        <f t="shared" si="85"/>
        <v/>
      </c>
      <c r="AJ160" s="107" t="str">
        <f t="shared" si="86"/>
        <v/>
      </c>
      <c r="AK160" s="107" t="str">
        <f t="shared" si="87"/>
        <v/>
      </c>
      <c r="AL160" s="107" t="str">
        <f t="shared" si="88"/>
        <v/>
      </c>
      <c r="AM160" s="107">
        <f>INDEX('M04-S07'!$AU$16:$AU$198,2*(ROWS($AM$148:AM160)-1)+1)</f>
        <v>0</v>
      </c>
      <c r="AN160" s="107">
        <f>INDEX('M04-S07'!$BB$16:$BB$198,2*(ROWS($AN$148:AN160)-1)+1)</f>
        <v>0</v>
      </c>
      <c r="AO160" s="277">
        <f>INDEX('M04-S07'!$Q$16:$Q$198,2*(ROWS($AO$148:AO160)-1)+1)</f>
        <v>0</v>
      </c>
      <c r="AP160" s="278"/>
      <c r="AQ160" s="278"/>
    </row>
    <row r="161" spans="1:44" x14ac:dyDescent="0.25">
      <c r="A161" s="118">
        <f t="shared" si="81"/>
        <v>0</v>
      </c>
      <c r="B161" s="118" t="str">
        <f t="shared" si="83"/>
        <v/>
      </c>
      <c r="C161" s="118" t="str">
        <f>IF(J161&gt;0,INDEX('M04-S07'!$AY$16:$AY$198,2*(ROWS($C$148:C161)-1)+1),"")</f>
        <v/>
      </c>
      <c r="D161" s="63" t="s">
        <v>215</v>
      </c>
      <c r="E161" s="301">
        <f>IFERROR(INDEX('M04-S07'!$AW$16:$AW$198,2*(ROWS($E$148:E161)-1)+1),"")</f>
        <v>0</v>
      </c>
      <c r="F161" s="278"/>
      <c r="G161" s="254"/>
      <c r="H161" s="107">
        <f>INDEX('M04-S07'!$AD$16:$AD$198,2*(ROWS($H$148:H161)-1)+1)</f>
        <v>0</v>
      </c>
      <c r="I161" s="107">
        <f>INDEX('M04-S07'!$AF$16:$AF$198,2*(ROWS($I$148:I161)-1)+1)</f>
        <v>0</v>
      </c>
      <c r="J161" s="107">
        <f>INDEX('M04-S07'!$AH$16:$AH$198,2*(ROWS($J$148:J161)-1)+1)</f>
        <v>0</v>
      </c>
      <c r="K161" s="63" t="str">
        <f>IFERROR(INDEX(CMEMISC[Cost Basis],MATCH(INDEX('M04-S07'!$F$16:$F$198,2*(ROWS($K$148:K161)-1)+1),CMEMISC[Proj Desc 1],0)),"")</f>
        <v/>
      </c>
      <c r="L161" s="277">
        <f>IF(ISNUMBER(INDEX('M04-S07'!$AK$16:$AK$198,2*(ROWS($O$148:O161)-1)+1)),INDEX('M04-S07'!$Z$16:$Z$198,2*(ROWS($L$148:L161)-1)+1),0)</f>
        <v>0</v>
      </c>
      <c r="M161" s="277">
        <f>IFERROR(IF(ISNUMBER(INDEX('M04-S07'!$AK$16:$AK$198,2*(ROWS($O$148:O161)-1)+1)),INDEX('M04-S07'!$AO$16:$AO$198,2*(ROWS($M$148:M161)-1)+1),0),"")</f>
        <v>0</v>
      </c>
      <c r="N161" s="335">
        <f>IFERROR(IF(ISNUMBER(INDEX('M04-S07'!$AK$16:$AK$198,2*(ROWS($O$148:O161)-1)+1)),INDEX('M04-S07'!$AV$16:$AV$198,2*(ROWS($N$148:N161)-1)+1),0),"")</f>
        <v>0</v>
      </c>
      <c r="O161" s="107">
        <f>IF(ISNUMBER(INDEX('M04-S07'!$AK$16:$AK$198,2*(ROWS($O$148:O161)-1)+1)),INDEX('M04-S07'!$AK$16:$AK$198,2*(ROWS($O$148:O161)-1)+1),0)</f>
        <v>0</v>
      </c>
      <c r="P161" s="277">
        <f>IFERROR(IF(NOT(ISNUMBER(INDEX('M04-S07'!$AK$16:$AK$198,2*(ROWS($O$148:O161)-1)+1))),INDEX('M04-S07'!$AO$16:$AO$198,2*(ROWS($O$148:O161)-1)+1),0),"")</f>
        <v>0</v>
      </c>
      <c r="Q161" s="335">
        <f>IFERROR(IF(NOT(ISNUMBER(INDEX('M04-S07'!$AK$16:$AK$198,2*(ROWS($O$148:O161)-1)+1))),INDEX('M04-S07'!$AV$16:$AV$198,2*(ROWS($O$148:O161)-1)+1),0),"")</f>
        <v>0</v>
      </c>
      <c r="R161" s="63" t="str">
        <f>IFERROR(IF(NOT(ISNUMBER(INDEX('M04-S07'!$AK$16:$AK$198,2*(ROWS($O$148:O161)-1)+1))),INDEX(SPILLOVER[Spillover Reason],MATCH(INDEX('M04-S07'!$BC$16:$BC$198,2*(ROWS($O$148:O161)-1)+1),SPILLOVER[Spillover Text],0)),""),"")</f>
        <v/>
      </c>
      <c r="S161" s="283"/>
      <c r="T161" s="283"/>
      <c r="U161" s="277">
        <f>INDEX('M04-S07'!$B$16:$B$198,2*(ROWS($U$148:U161)-1)+1)</f>
        <v>14</v>
      </c>
      <c r="V161" s="254"/>
      <c r="W161" s="104">
        <f>INDEX('M04-S07'!$F$16:$F$198,2*(ROWS($W$148:W161)-1)+1)</f>
        <v>0</v>
      </c>
      <c r="X161" s="63">
        <f>INDEX('M04-S07'!$L$16:$L$198,2*(ROWS($X$148:X161)-1)+1)</f>
        <v>0</v>
      </c>
      <c r="Y161" s="63">
        <f>INDEX('M04-S07'!$U$16:$U$198,2*(ROWS($Y$148:Y161)-1)+1)</f>
        <v>0</v>
      </c>
      <c r="Z161" s="254"/>
      <c r="AA161" s="254"/>
      <c r="AB161" s="254"/>
      <c r="AC161" s="254"/>
      <c r="AD161" s="254"/>
      <c r="AE161" s="277">
        <f>IF(NOT(ISNUMBER(INDEX('M04-S07'!$AK$16:$AK$198,2*(ROWS($O$148:O161)-1)+1))),INDEX('M04-S07'!$Z$16:$Z$198,2*(ROWS($L$148:L161)-1)+1),0)</f>
        <v>0</v>
      </c>
      <c r="AF161" s="277">
        <f>INDEX('M04-S07'!$S$16:$S$198,2*(ROWS($AF$148:AF161)-1)+1)</f>
        <v>0</v>
      </c>
      <c r="AG161" s="277">
        <f>INDEX('M04-S07'!$AB$16:$AB$198,2*(ROWS($AG$148:AG161)-1)+1)</f>
        <v>0</v>
      </c>
      <c r="AH161" s="277" t="str">
        <f t="shared" si="84"/>
        <v/>
      </c>
      <c r="AI161" s="277" t="str">
        <f t="shared" si="85"/>
        <v/>
      </c>
      <c r="AJ161" s="107" t="str">
        <f t="shared" si="86"/>
        <v/>
      </c>
      <c r="AK161" s="107" t="str">
        <f t="shared" si="87"/>
        <v/>
      </c>
      <c r="AL161" s="107" t="str">
        <f t="shared" si="88"/>
        <v/>
      </c>
      <c r="AM161" s="107">
        <f>INDEX('M04-S07'!$AU$16:$AU$198,2*(ROWS($AM$148:AM161)-1)+1)</f>
        <v>0</v>
      </c>
      <c r="AN161" s="107">
        <f>INDEX('M04-S07'!$BB$16:$BB$198,2*(ROWS($AN$148:AN161)-1)+1)</f>
        <v>0</v>
      </c>
      <c r="AO161" s="277">
        <f>INDEX('M04-S07'!$Q$16:$Q$198,2*(ROWS($AO$148:AO161)-1)+1)</f>
        <v>0</v>
      </c>
      <c r="AP161" s="278"/>
      <c r="AQ161" s="278"/>
    </row>
    <row r="162" spans="1:44" x14ac:dyDescent="0.25">
      <c r="A162" s="118">
        <f t="shared" si="81"/>
        <v>0</v>
      </c>
      <c r="B162" s="118" t="str">
        <f t="shared" si="83"/>
        <v/>
      </c>
      <c r="C162" s="118" t="str">
        <f>IF(J162&gt;0,INDEX('M04-S07'!$AY$16:$AY$198,2*(ROWS($C$148:C162)-1)+1),"")</f>
        <v/>
      </c>
      <c r="D162" s="63" t="s">
        <v>215</v>
      </c>
      <c r="E162" s="301">
        <f>IFERROR(INDEX('M04-S07'!$AW$16:$AW$198,2*(ROWS($E$148:E162)-1)+1),"")</f>
        <v>0</v>
      </c>
      <c r="F162" s="278"/>
      <c r="G162" s="254"/>
      <c r="H162" s="107">
        <f>INDEX('M04-S07'!$AD$16:$AD$198,2*(ROWS($H$148:H162)-1)+1)</f>
        <v>0</v>
      </c>
      <c r="I162" s="107">
        <f>INDEX('M04-S07'!$AF$16:$AF$198,2*(ROWS($I$148:I162)-1)+1)</f>
        <v>0</v>
      </c>
      <c r="J162" s="107">
        <f>INDEX('M04-S07'!$AH$16:$AH$198,2*(ROWS($J$148:J162)-1)+1)</f>
        <v>0</v>
      </c>
      <c r="K162" s="63" t="str">
        <f>IFERROR(INDEX(CMEMISC[Cost Basis],MATCH(INDEX('M04-S07'!$F$16:$F$198,2*(ROWS($K$148:K162)-1)+1),CMEMISC[Proj Desc 1],0)),"")</f>
        <v/>
      </c>
      <c r="L162" s="277">
        <f>IF(ISNUMBER(INDEX('M04-S07'!$AK$16:$AK$198,2*(ROWS($O$148:O162)-1)+1)),INDEX('M04-S07'!$Z$16:$Z$198,2*(ROWS($L$148:L162)-1)+1),0)</f>
        <v>0</v>
      </c>
      <c r="M162" s="277">
        <f>IFERROR(IF(ISNUMBER(INDEX('M04-S07'!$AK$16:$AK$198,2*(ROWS($O$148:O162)-1)+1)),INDEX('M04-S07'!$AO$16:$AO$198,2*(ROWS($M$148:M162)-1)+1),0),"")</f>
        <v>0</v>
      </c>
      <c r="N162" s="335">
        <f>IFERROR(IF(ISNUMBER(INDEX('M04-S07'!$AK$16:$AK$198,2*(ROWS($O$148:O162)-1)+1)),INDEX('M04-S07'!$AV$16:$AV$198,2*(ROWS($N$148:N162)-1)+1),0),"")</f>
        <v>0</v>
      </c>
      <c r="O162" s="107">
        <f>IF(ISNUMBER(INDEX('M04-S07'!$AK$16:$AK$198,2*(ROWS($O$148:O162)-1)+1)),INDEX('M04-S07'!$AK$16:$AK$198,2*(ROWS($O$148:O162)-1)+1),0)</f>
        <v>0</v>
      </c>
      <c r="P162" s="277">
        <f>IFERROR(IF(NOT(ISNUMBER(INDEX('M04-S07'!$AK$16:$AK$198,2*(ROWS($O$148:O162)-1)+1))),INDEX('M04-S07'!$AO$16:$AO$198,2*(ROWS($O$148:O162)-1)+1),0),"")</f>
        <v>0</v>
      </c>
      <c r="Q162" s="335">
        <f>IFERROR(IF(NOT(ISNUMBER(INDEX('M04-S07'!$AK$16:$AK$198,2*(ROWS($O$148:O162)-1)+1))),INDEX('M04-S07'!$AV$16:$AV$198,2*(ROWS($O$148:O162)-1)+1),0),"")</f>
        <v>0</v>
      </c>
      <c r="R162" s="63" t="str">
        <f>IFERROR(IF(NOT(ISNUMBER(INDEX('M04-S07'!$AK$16:$AK$198,2*(ROWS($O$148:O162)-1)+1))),INDEX(SPILLOVER[Spillover Reason],MATCH(INDEX('M04-S07'!$BC$16:$BC$198,2*(ROWS($O$148:O162)-1)+1),SPILLOVER[Spillover Text],0)),""),"")</f>
        <v/>
      </c>
      <c r="S162" s="283"/>
      <c r="T162" s="283"/>
      <c r="U162" s="277">
        <f>INDEX('M04-S07'!$B$16:$B$198,2*(ROWS($U$148:U162)-1)+1)</f>
        <v>15</v>
      </c>
      <c r="V162" s="254"/>
      <c r="W162" s="104">
        <f>INDEX('M04-S07'!$F$16:$F$198,2*(ROWS($W$148:W162)-1)+1)</f>
        <v>0</v>
      </c>
      <c r="X162" s="63">
        <f>INDEX('M04-S07'!$L$16:$L$198,2*(ROWS($X$148:X162)-1)+1)</f>
        <v>0</v>
      </c>
      <c r="Y162" s="63">
        <f>INDEX('M04-S07'!$U$16:$U$198,2*(ROWS($Y$148:Y162)-1)+1)</f>
        <v>0</v>
      </c>
      <c r="Z162" s="254"/>
      <c r="AA162" s="254"/>
      <c r="AB162" s="254"/>
      <c r="AC162" s="254"/>
      <c r="AD162" s="254"/>
      <c r="AE162" s="277">
        <f>IF(NOT(ISNUMBER(INDEX('M04-S07'!$AK$16:$AK$198,2*(ROWS($O$148:O162)-1)+1))),INDEX('M04-S07'!$Z$16:$Z$198,2*(ROWS($L$148:L162)-1)+1),0)</f>
        <v>0</v>
      </c>
      <c r="AF162" s="277">
        <f>INDEX('M04-S07'!$S$16:$S$198,2*(ROWS($AF$148:AF162)-1)+1)</f>
        <v>0</v>
      </c>
      <c r="AG162" s="277">
        <f>INDEX('M04-S07'!$AB$16:$AB$198,2*(ROWS($AG$148:AG162)-1)+1)</f>
        <v>0</v>
      </c>
      <c r="AH162" s="277" t="str">
        <f t="shared" si="84"/>
        <v/>
      </c>
      <c r="AI162" s="277" t="str">
        <f t="shared" si="85"/>
        <v/>
      </c>
      <c r="AJ162" s="107" t="str">
        <f t="shared" si="86"/>
        <v/>
      </c>
      <c r="AK162" s="107" t="str">
        <f t="shared" si="87"/>
        <v/>
      </c>
      <c r="AL162" s="107" t="str">
        <f t="shared" si="88"/>
        <v/>
      </c>
      <c r="AM162" s="107">
        <f>INDEX('M04-S07'!$AU$16:$AU$198,2*(ROWS($AM$148:AM162)-1)+1)</f>
        <v>0</v>
      </c>
      <c r="AN162" s="107">
        <f>INDEX('M04-S07'!$BB$16:$BB$198,2*(ROWS($AN$148:AN162)-1)+1)</f>
        <v>0</v>
      </c>
      <c r="AO162" s="277">
        <f>INDEX('M04-S07'!$Q$16:$Q$198,2*(ROWS($AO$148:AO162)-1)+1)</f>
        <v>0</v>
      </c>
      <c r="AP162" s="278"/>
      <c r="AQ162" s="278"/>
    </row>
    <row r="163" spans="1:44" x14ac:dyDescent="0.25">
      <c r="A163" s="555" t="str">
        <f>CONCATENATE(MAIN4," ",M4S8)</f>
        <v>PRE-APPROVAL MEASURES Exterior Lighting</v>
      </c>
      <c r="B163" s="325"/>
      <c r="C163" s="325"/>
      <c r="D163" s="326"/>
      <c r="E163" s="325"/>
      <c r="F163" s="324"/>
      <c r="G163" s="326"/>
      <c r="H163" s="327"/>
      <c r="I163" s="327"/>
      <c r="J163" s="327"/>
      <c r="K163" s="326"/>
      <c r="L163" s="328"/>
      <c r="M163" s="328"/>
      <c r="N163" s="339"/>
      <c r="O163" s="327"/>
      <c r="P163" s="328"/>
      <c r="Q163" s="339"/>
      <c r="R163" s="326"/>
      <c r="S163" s="329"/>
      <c r="T163" s="329"/>
      <c r="U163" s="328"/>
      <c r="V163" s="326"/>
      <c r="W163" s="330"/>
      <c r="X163" s="326"/>
      <c r="Y163" s="326"/>
      <c r="Z163" s="326"/>
      <c r="AA163" s="326"/>
      <c r="AB163" s="326"/>
      <c r="AC163" s="326"/>
      <c r="AD163" s="326"/>
      <c r="AE163" s="328"/>
      <c r="AF163" s="328"/>
      <c r="AG163" s="328"/>
      <c r="AH163" s="328"/>
      <c r="AI163" s="328"/>
      <c r="AJ163" s="327" t="str">
        <f t="shared" si="70"/>
        <v/>
      </c>
      <c r="AK163" s="327" t="str">
        <f t="shared" si="71"/>
        <v/>
      </c>
      <c r="AL163" s="327" t="str">
        <f t="shared" si="72"/>
        <v/>
      </c>
      <c r="AM163" s="327"/>
      <c r="AN163" s="327"/>
      <c r="AO163" s="328"/>
      <c r="AP163" s="328"/>
      <c r="AQ163" s="328"/>
      <c r="AR163" s="257"/>
    </row>
    <row r="164" spans="1:44" x14ac:dyDescent="0.25">
      <c r="A164" s="118">
        <f t="shared" ref="A164:A178" si="89">PROJID</f>
        <v>0</v>
      </c>
      <c r="B164" s="118" t="str">
        <f>IF(C164="","",CONCATENATE(ROW(),"-",C164))</f>
        <v/>
      </c>
      <c r="C164" s="118" t="str">
        <f>IF(J164&gt;0,INDEX('M04-S08'!$AY$16:$AY$198,2*(ROWS($C$164:C164)-1)+1),"")</f>
        <v/>
      </c>
      <c r="D164" s="63" t="str">
        <f>IF(E164="Ext Lighting", "Custom Ext Lighting", "New Construction")</f>
        <v>Custom Ext Lighting</v>
      </c>
      <c r="E164" s="301" t="s">
        <v>592</v>
      </c>
      <c r="F164" s="277" t="str">
        <f>IF(J164&lt;&gt;"",INDEX('M04-S08'!$T$16:$T$198,2*(ROWS($F$164:F164)-1)+1),"")</f>
        <v/>
      </c>
      <c r="G164" s="63">
        <f>INDEX('M04-S08'!$C$16:$C$198,2*(ROWS($G$164:G164)-1)+1)</f>
        <v>0</v>
      </c>
      <c r="H164" s="107">
        <f>INDEX('M04-S08'!$AC$16:$AC$198,2*(ROWS($H$164:H164)-1)+1)*INDEX('M04-S08'!$AG$16:$AG$198,2*(ROWS($H$164:H164)-1)+1)</f>
        <v>0</v>
      </c>
      <c r="I164" s="107">
        <f>INDEX('M04-S08'!$AC$16:$AC$198,2*(ROWS($I$164:I164)-1)+1)*INDEX('M04-S08'!$AI$16:$AI$198,2*(ROWS($I$164:I164)-1)+1)</f>
        <v>0</v>
      </c>
      <c r="J164" s="107" t="str">
        <f>INDEX('M04-S08'!$AK$16:$AK$198,2*(ROWS($J$164:J164)-1)+1)</f>
        <v/>
      </c>
      <c r="K164" s="63" t="str">
        <f>IFERROR(IF(J164&lt;&gt;"",INDEX(CMELIGHT[Cost Basis],MATCH("Ext Lighting",CMELIGHT[End Use Category],0)),""),"")</f>
        <v/>
      </c>
      <c r="L164" s="277">
        <f>IF(ISNUMBER(INDEX('M04-S08'!$AN$16:$AN$198,2*(ROWS($O$164:O164)-1)+1)),INDEX('M04-S08'!$AC$16:$AC$198,2*(ROWS($L$164:L164)-1)+1),0)</f>
        <v>0</v>
      </c>
      <c r="M164" s="277">
        <f>IF(ISNUMBER(INDEX('M04-S08'!$AN$16:$AN$198,2*(ROWS($O$164:O164)-1)+1)),INDEX('M04-S08'!$AZ$16:$AZ$198,2*(ROWS($M$164:M164)-1)+1),0)</f>
        <v>0</v>
      </c>
      <c r="N164" s="335">
        <f>IF(ISNUMBER(INDEX('M04-S08'!$AN$16:$AN$198,2*(ROWS($O$164:O164)-1)+1)),INDEX('M04-S08'!$AV$16:$AV$198,2*(ROWS($N$164:N164)-1)+1),0)</f>
        <v>0</v>
      </c>
      <c r="O164" s="107">
        <f>IF(ISNUMBER(INDEX('M04-S08'!$AN$16:$AN$198,2*(ROWS($O$164:O164)-1)+1)),INDEX('M04-S08'!$AN$16:$AN$198,2*(ROWS($O$164:O164)-1)+1),0)</f>
        <v>0</v>
      </c>
      <c r="P164" s="277" t="str">
        <f>IFERROR(IF(NOT(ISNUMBER(INDEX('M04-S08'!$AN$16:$AN$198,2*(ROWS($O$164:O164)-1)+1))),INDEX('M04-S08'!$AZ$16:$AZ$198,2*(ROWS($O$164:O164)-1)+1),0),"")</f>
        <v/>
      </c>
      <c r="Q164" s="335" t="str">
        <f>IFERROR(IF(NOT(ISNUMBER(INDEX('M04-S08'!$AN$16:$AN$198,2*(ROWS($O$164:O164)-1)+1))),INDEX('M04-S08'!$AV$16:$AV$198,2*(ROWS($O$164:O164)-1)+1),0),"")</f>
        <v/>
      </c>
      <c r="R164" s="63" t="str">
        <f>IFERROR(IF(NOT(ISNUMBER(INDEX('M04-S08'!$AN$16:$AN$198,2*(ROWS($O$164:O164)-1)+1))),INDEX( SPILLOVER[Spillover Reason],MATCH(INDEX('M04-S08'!$BC$16:$BC$198,2*(ROWS($O$164:O164)-1)+1), SPILLOVER[Spillover Text],0)),""),"")</f>
        <v>Not Eligible</v>
      </c>
      <c r="S164" s="282" t="str">
        <f>INDEX('M04-S08'!$R$16:$R$198,2*(ROWS($S$164:S164)-1)+1)</f>
        <v/>
      </c>
      <c r="T164" s="282" t="str">
        <f>INDEX('M04-S08'!$AE$16:$AE$198,2*(ROWS($T$164:T164)-1)+1)</f>
        <v/>
      </c>
      <c r="U164" s="277">
        <f>INDEX('M04-S08'!$B$16:$B$198,2*(ROWS($U$164:U164)-1)+1)</f>
        <v>1</v>
      </c>
      <c r="V164" s="104">
        <f>INDEX('M04-S08'!$I$16:$I$198,2*(ROWS($V$164:V164)-1)+1)</f>
        <v>0</v>
      </c>
      <c r="W164" s="104">
        <f>INDEX('M04-S08'!$V$16:$V$198,2*(ROWS($W$164:W164)-1)+1)</f>
        <v>0</v>
      </c>
      <c r="X164" s="63">
        <f>INDEX('M04-S08'!$M$16:$M$198,2*(ROWS($X$164:X164)-1)+1)</f>
        <v>0</v>
      </c>
      <c r="Y164" s="63">
        <f>INDEX('M04-S08'!$Z$16:$Z$198,2*(ROWS($Y$164:Y164)-1)+1)</f>
        <v>0</v>
      </c>
      <c r="Z164" s="254"/>
      <c r="AA164" s="63" t="str">
        <f>IFERROR(INDEX(CMLIGHTBASE[Measure Subgroup 1],MATCH(INDEX('M04-S08'!$I$16:$I$198,2*(ROWS($V$164:V164)-1)+1),CMLIGHTBASE[Base Desc 1],0)),"")</f>
        <v/>
      </c>
      <c r="AB164" s="63" t="str">
        <f>IFERROR(INDEX(CMLIGHTBASE[Measure Subgroup 2],MATCH(INDEX('M04-S08'!$I$16:$I$198,2*(ROWS($V$164:V164)-1)+1),CMLIGHTBASE[Base Desc 1],0)),"")</f>
        <v/>
      </c>
      <c r="AC164" s="63" t="str">
        <f>IFERROR(INDEX(CMLIGHTEFF[Measure Subgroup 1],MATCH(INDEX('M04-S08'!$V$16:$V$198,2*(ROWS($W$164:W164)-1)+1),CMLIGHTEFF[Eff Desc 1],0)),"")</f>
        <v/>
      </c>
      <c r="AD164" s="63" t="str">
        <f>IFERROR(INDEX(CMLIGHTEFF[Measure Subgroup 2],MATCH(INDEX('M04-S08'!$V$16:$V$198,2*(ROWS($W$164:W164)-1)+1),CMLIGHTEFF[Eff Desc 1],0)),"")</f>
        <v/>
      </c>
      <c r="AE164" s="277">
        <f>IF(NOT(ISNUMBER(INDEX('M04-S08'!$AN$16:$AN$198,2*(ROWS($O$164:O164)-1)+1))),INDEX('M04-S08'!$AC$16:$AC$198,2*(ROWS($L$164:L164)-1)+1),0)</f>
        <v>0</v>
      </c>
      <c r="AF164" s="277" t="str">
        <f>INDEX('M04-S08'!$AW$16:$AW$198,2*(ROWS($AF$164:AF164)-1)+1)</f>
        <v/>
      </c>
      <c r="AG164" s="277" t="str">
        <f>INDEX('M04-S08'!$AX$16:$AX$198,2*(ROWS($AG$164:AG164)-1)+1)</f>
        <v/>
      </c>
      <c r="AH164" s="277" t="str">
        <f>IFERROR(AF164/AO164,"")</f>
        <v/>
      </c>
      <c r="AI164" s="277" t="str">
        <f>IFERROR(AG164/L164,"")</f>
        <v/>
      </c>
      <c r="AJ164" s="107" t="str">
        <f>IFERROR(O164/M164,"")</f>
        <v/>
      </c>
      <c r="AK164" s="107" t="str">
        <f>IFERROR(O164/N164,"")</f>
        <v/>
      </c>
      <c r="AL164" s="107" t="str">
        <f t="shared" si="72"/>
        <v/>
      </c>
      <c r="AM164" s="107" t="str">
        <f>INDEX('M04-S08'!$AU$16:$AU$198,2*(ROWS($AM$164:AM164)-1)+1)</f>
        <v/>
      </c>
      <c r="AN164" s="107" t="str">
        <f>INDEX('M04-S08'!$BB$16:$BB$198,2*(ROWS($AN$164:AN164)-1)+1)</f>
        <v/>
      </c>
      <c r="AO164" s="277">
        <f>INDEX('M04-S08'!$P$16:$P$198,2*(ROWS($AO$164:AO164)-1)+1)</f>
        <v>0</v>
      </c>
      <c r="AP164" s="278"/>
      <c r="AQ164" s="278"/>
    </row>
    <row r="165" spans="1:44" x14ac:dyDescent="0.25">
      <c r="A165" s="118">
        <f t="shared" si="89"/>
        <v>0</v>
      </c>
      <c r="B165" s="118" t="str">
        <f t="shared" ref="B165:B178" si="90">IF(C165="","",CONCATENATE(ROW(),"-",C165))</f>
        <v/>
      </c>
      <c r="C165" s="118" t="str">
        <f>IF(J165&gt;0,INDEX('M04-S08'!$AY$16:$AY$198,2*(ROWS($C$164:C165)-1)+1),"")</f>
        <v/>
      </c>
      <c r="D165" s="63" t="str">
        <f t="shared" ref="D165:D178" si="91">IF(E165="Ext Lighting", "Custom Ext Lighting", "New Construction")</f>
        <v>Custom Ext Lighting</v>
      </c>
      <c r="E165" s="301" t="s">
        <v>592</v>
      </c>
      <c r="F165" s="277" t="str">
        <f>IF(J165&lt;&gt;"",INDEX('M04-S08'!$T$16:$T$198,2*(ROWS($F$164:F165)-1)+1),"")</f>
        <v/>
      </c>
      <c r="G165" s="63">
        <f>INDEX('M04-S08'!$C$16:$C$198,2*(ROWS($G$164:G165)-1)+1)</f>
        <v>0</v>
      </c>
      <c r="H165" s="107">
        <f>INDEX('M04-S08'!$AC$16:$AC$198,2*(ROWS($H$164:H165)-1)+1)*INDEX('M04-S08'!$AG$16:$AG$198,2*(ROWS($H$164:H165)-1)+1)</f>
        <v>0</v>
      </c>
      <c r="I165" s="107">
        <f>INDEX('M04-S08'!$AC$16:$AC$198,2*(ROWS($I$164:I165)-1)+1)*INDEX('M04-S08'!$AI$16:$AI$198,2*(ROWS($I$164:I165)-1)+1)</f>
        <v>0</v>
      </c>
      <c r="J165" s="107" t="str">
        <f>INDEX('M04-S08'!$AK$16:$AK$198,2*(ROWS($J$164:J165)-1)+1)</f>
        <v/>
      </c>
      <c r="K165" s="63" t="str">
        <f>IFERROR(IF(J165&lt;&gt;"",INDEX(CMELIGHT[Cost Basis],MATCH("Ext Lighting",CMELIGHT[End Use Category],0)),""),"")</f>
        <v/>
      </c>
      <c r="L165" s="277">
        <f>IF(ISNUMBER(INDEX('M04-S08'!$AN$16:$AN$198,2*(ROWS($O$164:O165)-1)+1)),INDEX('M04-S08'!$AC$16:$AC$198,2*(ROWS($L$164:L165)-1)+1),0)</f>
        <v>0</v>
      </c>
      <c r="M165" s="277">
        <f>IF(ISNUMBER(INDEX('M04-S08'!$AN$16:$AN$198,2*(ROWS($O$164:O165)-1)+1)),INDEX('M04-S08'!$AZ$16:$AZ$198,2*(ROWS($M$164:M165)-1)+1),0)</f>
        <v>0</v>
      </c>
      <c r="N165" s="335">
        <f>IF(ISNUMBER(INDEX('M04-S08'!$AN$16:$AN$198,2*(ROWS($O$164:O165)-1)+1)),INDEX('M04-S08'!$AV$16:$AV$198,2*(ROWS($N$164:N165)-1)+1),0)</f>
        <v>0</v>
      </c>
      <c r="O165" s="107">
        <f>IF(ISNUMBER(INDEX('M04-S08'!$AN$16:$AN$198,2*(ROWS($O$164:O165)-1)+1)),INDEX('M04-S08'!$AN$16:$AN$198,2*(ROWS($O$164:O165)-1)+1),0)</f>
        <v>0</v>
      </c>
      <c r="P165" s="277" t="str">
        <f>IFERROR(IF(NOT(ISNUMBER(INDEX('M04-S08'!$AN$16:$AN$198,2*(ROWS($O$164:O165)-1)+1))),INDEX('M04-S08'!$AZ$16:$AZ$198,2*(ROWS($O$164:O165)-1)+1),0),"")</f>
        <v/>
      </c>
      <c r="Q165" s="335" t="str">
        <f>IFERROR(IF(NOT(ISNUMBER(INDEX('M04-S08'!$AN$16:$AN$198,2*(ROWS($O$164:O165)-1)+1))),INDEX('M04-S08'!$AV$16:$AV$198,2*(ROWS($O$164:O165)-1)+1),0),"")</f>
        <v/>
      </c>
      <c r="R165" s="63" t="str">
        <f>IFERROR(IF(NOT(ISNUMBER(INDEX('M04-S08'!$AN$16:$AN$198,2*(ROWS($O$164:O165)-1)+1))),INDEX( SPILLOVER[Spillover Reason],MATCH(INDEX('M04-S08'!$BC$16:$BC$198,2*(ROWS($O$164:O165)-1)+1), SPILLOVER[Spillover Text],0)),""),"")</f>
        <v>Not Eligible</v>
      </c>
      <c r="S165" s="282" t="str">
        <f>INDEX('M04-S08'!$R$16:$R$198,2*(ROWS($S$164:S165)-1)+1)</f>
        <v/>
      </c>
      <c r="T165" s="282" t="str">
        <f>INDEX('M04-S08'!$AE$16:$AE$198,2*(ROWS($T$164:T165)-1)+1)</f>
        <v/>
      </c>
      <c r="U165" s="277">
        <f>INDEX('M04-S08'!$B$16:$B$198,2*(ROWS($U$164:U165)-1)+1)</f>
        <v>2</v>
      </c>
      <c r="V165" s="104">
        <f>INDEX('M04-S08'!$I$16:$I$198,2*(ROWS($V$164:V165)-1)+1)</f>
        <v>0</v>
      </c>
      <c r="W165" s="104">
        <f>INDEX('M04-S08'!$V$16:$V$198,2*(ROWS($W$164:W165)-1)+1)</f>
        <v>0</v>
      </c>
      <c r="X165" s="63">
        <f>INDEX('M04-S08'!$M$16:$M$198,2*(ROWS($X$164:X165)-1)+1)</f>
        <v>0</v>
      </c>
      <c r="Y165" s="63">
        <f>INDEX('M04-S08'!$Z$16:$Z$198,2*(ROWS($Y$164:Y165)-1)+1)</f>
        <v>0</v>
      </c>
      <c r="Z165" s="254"/>
      <c r="AA165" s="63" t="str">
        <f>IFERROR(INDEX(CMLIGHTBASE[Measure Subgroup 1],MATCH(INDEX('M04-S08'!$I$16:$I$198,2*(ROWS($V$164:V165)-1)+1),CMLIGHTBASE[Base Desc 1],0)),"")</f>
        <v/>
      </c>
      <c r="AB165" s="63" t="str">
        <f>IFERROR(INDEX(CMLIGHTBASE[Measure Subgroup 2],MATCH(INDEX('M04-S08'!$I$16:$I$198,2*(ROWS($V$164:V165)-1)+1),CMLIGHTBASE[Base Desc 1],0)),"")</f>
        <v/>
      </c>
      <c r="AC165" s="63" t="str">
        <f>IFERROR(INDEX(CMLIGHTEFF[Measure Subgroup 1],MATCH(INDEX('M04-S08'!$V$16:$V$198,2*(ROWS($W$164:W165)-1)+1),CMLIGHTEFF[Eff Desc 1],0)),"")</f>
        <v/>
      </c>
      <c r="AD165" s="63" t="str">
        <f>IFERROR(INDEX(CMLIGHTEFF[Measure Subgroup 2],MATCH(INDEX('M04-S08'!$V$16:$V$198,2*(ROWS($W$164:W165)-1)+1),CMLIGHTEFF[Eff Desc 1],0)),"")</f>
        <v/>
      </c>
      <c r="AE165" s="277">
        <f>IF(NOT(ISNUMBER(INDEX('M04-S08'!$AN$16:$AN$198,2*(ROWS($O$164:O165)-1)+1))),INDEX('M04-S08'!$AC$16:$AC$198,2*(ROWS($L$164:L165)-1)+1),0)</f>
        <v>0</v>
      </c>
      <c r="AF165" s="277" t="str">
        <f>INDEX('M04-S08'!$AW$16:$AW$198,2*(ROWS($AF$164:AF165)-1)+1)</f>
        <v/>
      </c>
      <c r="AG165" s="277" t="str">
        <f>INDEX('M04-S08'!$AX$16:$AX$198,2*(ROWS($AG$164:AG165)-1)+1)</f>
        <v/>
      </c>
      <c r="AH165" s="277" t="str">
        <f t="shared" ref="AH165:AH178" si="92">IFERROR(AF165/AO165,"")</f>
        <v/>
      </c>
      <c r="AI165" s="277" t="str">
        <f t="shared" ref="AI165:AI178" si="93">IFERROR(AG165/L165,"")</f>
        <v/>
      </c>
      <c r="AJ165" s="107" t="str">
        <f t="shared" ref="AJ165:AJ178" si="94">IFERROR(O165/M165,"")</f>
        <v/>
      </c>
      <c r="AK165" s="107" t="str">
        <f t="shared" ref="AK165:AK178" si="95">IFERROR(O165/N165,"")</f>
        <v/>
      </c>
      <c r="AL165" s="107" t="str">
        <f t="shared" ref="AL165:AL178" si="96">IFERROR(O165/L165,"")</f>
        <v/>
      </c>
      <c r="AM165" s="107" t="str">
        <f>INDEX('M04-S08'!$AU$16:$AU$198,2*(ROWS($AM$164:AM165)-1)+1)</f>
        <v/>
      </c>
      <c r="AN165" s="107" t="str">
        <f>INDEX('M04-S08'!$BB$16:$BB$198,2*(ROWS($AN$164:AN165)-1)+1)</f>
        <v/>
      </c>
      <c r="AO165" s="277">
        <f>INDEX('M04-S08'!$P$16:$P$198,2*(ROWS($AO$164:AO165)-1)+1)</f>
        <v>0</v>
      </c>
      <c r="AP165" s="278"/>
      <c r="AQ165" s="278"/>
    </row>
    <row r="166" spans="1:44" x14ac:dyDescent="0.25">
      <c r="A166" s="118">
        <f t="shared" si="89"/>
        <v>0</v>
      </c>
      <c r="B166" s="118" t="str">
        <f t="shared" si="90"/>
        <v/>
      </c>
      <c r="C166" s="118" t="str">
        <f>IF(J166&gt;0,INDEX('M04-S08'!$AY$16:$AY$198,2*(ROWS($C$164:C166)-1)+1),"")</f>
        <v/>
      </c>
      <c r="D166" s="63" t="str">
        <f t="shared" si="91"/>
        <v>Custom Ext Lighting</v>
      </c>
      <c r="E166" s="301" t="s">
        <v>592</v>
      </c>
      <c r="F166" s="277" t="str">
        <f>IF(J166&lt;&gt;"",INDEX('M04-S08'!$T$16:$T$198,2*(ROWS($F$164:F166)-1)+1),"")</f>
        <v/>
      </c>
      <c r="G166" s="63">
        <f>INDEX('M04-S08'!$C$16:$C$198,2*(ROWS($G$164:G166)-1)+1)</f>
        <v>0</v>
      </c>
      <c r="H166" s="107">
        <f>INDEX('M04-S08'!$AC$16:$AC$198,2*(ROWS($H$164:H166)-1)+1)*INDEX('M04-S08'!$AG$16:$AG$198,2*(ROWS($H$164:H166)-1)+1)</f>
        <v>0</v>
      </c>
      <c r="I166" s="107">
        <f>INDEX('M04-S08'!$AC$16:$AC$198,2*(ROWS($I$164:I166)-1)+1)*INDEX('M04-S08'!$AI$16:$AI$198,2*(ROWS($I$164:I166)-1)+1)</f>
        <v>0</v>
      </c>
      <c r="J166" s="107" t="str">
        <f>INDEX('M04-S08'!$AK$16:$AK$198,2*(ROWS($J$164:J166)-1)+1)</f>
        <v/>
      </c>
      <c r="K166" s="63" t="str">
        <f>IFERROR(IF(J166&lt;&gt;"",INDEX(CMELIGHT[Cost Basis],MATCH("Ext Lighting",CMELIGHT[End Use Category],0)),""),"")</f>
        <v/>
      </c>
      <c r="L166" s="277">
        <f>IF(ISNUMBER(INDEX('M04-S08'!$AN$16:$AN$198,2*(ROWS($O$164:O166)-1)+1)),INDEX('M04-S08'!$AC$16:$AC$198,2*(ROWS($L$164:L166)-1)+1),0)</f>
        <v>0</v>
      </c>
      <c r="M166" s="277">
        <f>IF(ISNUMBER(INDEX('M04-S08'!$AN$16:$AN$198,2*(ROWS($O$164:O166)-1)+1)),INDEX('M04-S08'!$AZ$16:$AZ$198,2*(ROWS($M$164:M166)-1)+1),0)</f>
        <v>0</v>
      </c>
      <c r="N166" s="335">
        <f>IF(ISNUMBER(INDEX('M04-S08'!$AN$16:$AN$198,2*(ROWS($O$164:O166)-1)+1)),INDEX('M04-S08'!$AV$16:$AV$198,2*(ROWS($N$164:N166)-1)+1),0)</f>
        <v>0</v>
      </c>
      <c r="O166" s="107">
        <f>IF(ISNUMBER(INDEX('M04-S08'!$AN$16:$AN$198,2*(ROWS($O$164:O166)-1)+1)),INDEX('M04-S08'!$AN$16:$AN$198,2*(ROWS($O$164:O166)-1)+1),0)</f>
        <v>0</v>
      </c>
      <c r="P166" s="277" t="str">
        <f>IFERROR(IF(NOT(ISNUMBER(INDEX('M04-S08'!$AN$16:$AN$198,2*(ROWS($O$164:O166)-1)+1))),INDEX('M04-S08'!$AZ$16:$AZ$198,2*(ROWS($O$164:O166)-1)+1),0),"")</f>
        <v/>
      </c>
      <c r="Q166" s="335" t="str">
        <f>IFERROR(IF(NOT(ISNUMBER(INDEX('M04-S08'!$AN$16:$AN$198,2*(ROWS($O$164:O166)-1)+1))),INDEX('M04-S08'!$AV$16:$AV$198,2*(ROWS($O$164:O166)-1)+1),0),"")</f>
        <v/>
      </c>
      <c r="R166" s="63" t="str">
        <f>IFERROR(IF(NOT(ISNUMBER(INDEX('M04-S08'!$AN$16:$AN$198,2*(ROWS($O$164:O166)-1)+1))),INDEX( SPILLOVER[Spillover Reason],MATCH(INDEX('M04-S08'!$BC$16:$BC$198,2*(ROWS($O$164:O166)-1)+1), SPILLOVER[Spillover Text],0)),""),"")</f>
        <v>Not Eligible</v>
      </c>
      <c r="S166" s="282" t="str">
        <f>INDEX('M04-S08'!$R$16:$R$198,2*(ROWS($S$164:S166)-1)+1)</f>
        <v/>
      </c>
      <c r="T166" s="282" t="str">
        <f>INDEX('M04-S08'!$AE$16:$AE$198,2*(ROWS($T$164:T166)-1)+1)</f>
        <v/>
      </c>
      <c r="U166" s="277">
        <f>INDEX('M04-S08'!$B$16:$B$198,2*(ROWS($U$164:U166)-1)+1)</f>
        <v>3</v>
      </c>
      <c r="V166" s="104">
        <f>INDEX('M04-S08'!$I$16:$I$198,2*(ROWS($V$164:V166)-1)+1)</f>
        <v>0</v>
      </c>
      <c r="W166" s="104">
        <f>INDEX('M04-S08'!$V$16:$V$198,2*(ROWS($W$164:W166)-1)+1)</f>
        <v>0</v>
      </c>
      <c r="X166" s="63">
        <f>INDEX('M04-S08'!$M$16:$M$198,2*(ROWS($X$164:X166)-1)+1)</f>
        <v>0</v>
      </c>
      <c r="Y166" s="63">
        <f>INDEX('M04-S08'!$Z$16:$Z$198,2*(ROWS($Y$164:Y166)-1)+1)</f>
        <v>0</v>
      </c>
      <c r="Z166" s="254"/>
      <c r="AA166" s="63" t="str">
        <f>IFERROR(INDEX(CMLIGHTBASE[Measure Subgroup 1],MATCH(INDEX('M04-S08'!$I$16:$I$198,2*(ROWS($V$164:V166)-1)+1),CMLIGHTBASE[Base Desc 1],0)),"")</f>
        <v/>
      </c>
      <c r="AB166" s="63" t="str">
        <f>IFERROR(INDEX(CMLIGHTBASE[Measure Subgroup 2],MATCH(INDEX('M04-S08'!$I$16:$I$198,2*(ROWS($V$164:V166)-1)+1),CMLIGHTBASE[Base Desc 1],0)),"")</f>
        <v/>
      </c>
      <c r="AC166" s="63" t="str">
        <f>IFERROR(INDEX(CMLIGHTEFF[Measure Subgroup 1],MATCH(INDEX('M04-S08'!$V$16:$V$198,2*(ROWS($W$164:W166)-1)+1),CMLIGHTEFF[Eff Desc 1],0)),"")</f>
        <v/>
      </c>
      <c r="AD166" s="63" t="str">
        <f>IFERROR(INDEX(CMLIGHTEFF[Measure Subgroup 2],MATCH(INDEX('M04-S08'!$V$16:$V$198,2*(ROWS($W$164:W166)-1)+1),CMLIGHTEFF[Eff Desc 1],0)),"")</f>
        <v/>
      </c>
      <c r="AE166" s="277">
        <f>IF(NOT(ISNUMBER(INDEX('M04-S08'!$AN$16:$AN$198,2*(ROWS($O$164:O166)-1)+1))),INDEX('M04-S08'!$AC$16:$AC$198,2*(ROWS($L$164:L166)-1)+1),0)</f>
        <v>0</v>
      </c>
      <c r="AF166" s="277" t="str">
        <f>INDEX('M04-S08'!$AW$16:$AW$198,2*(ROWS($AF$164:AF166)-1)+1)</f>
        <v/>
      </c>
      <c r="AG166" s="277" t="str">
        <f>INDEX('M04-S08'!$AX$16:$AX$198,2*(ROWS($AG$164:AG166)-1)+1)</f>
        <v/>
      </c>
      <c r="AH166" s="277" t="str">
        <f t="shared" si="92"/>
        <v/>
      </c>
      <c r="AI166" s="277" t="str">
        <f t="shared" si="93"/>
        <v/>
      </c>
      <c r="AJ166" s="107" t="str">
        <f t="shared" si="94"/>
        <v/>
      </c>
      <c r="AK166" s="107" t="str">
        <f t="shared" si="95"/>
        <v/>
      </c>
      <c r="AL166" s="107" t="str">
        <f t="shared" si="96"/>
        <v/>
      </c>
      <c r="AM166" s="107" t="str">
        <f>INDEX('M04-S08'!$AU$16:$AU$198,2*(ROWS($AM$164:AM166)-1)+1)</f>
        <v/>
      </c>
      <c r="AN166" s="107" t="str">
        <f>INDEX('M04-S08'!$BB$16:$BB$198,2*(ROWS($AN$164:AN166)-1)+1)</f>
        <v/>
      </c>
      <c r="AO166" s="277">
        <f>INDEX('M04-S08'!$P$16:$P$198,2*(ROWS($AO$164:AO166)-1)+1)</f>
        <v>0</v>
      </c>
      <c r="AP166" s="278"/>
      <c r="AQ166" s="278"/>
    </row>
    <row r="167" spans="1:44" x14ac:dyDescent="0.25">
      <c r="A167" s="118">
        <f t="shared" si="89"/>
        <v>0</v>
      </c>
      <c r="B167" s="118" t="str">
        <f t="shared" si="90"/>
        <v/>
      </c>
      <c r="C167" s="118" t="str">
        <f>IF(J167&gt;0,INDEX('M04-S08'!$AY$16:$AY$198,2*(ROWS($C$164:C167)-1)+1),"")</f>
        <v/>
      </c>
      <c r="D167" s="63" t="str">
        <f t="shared" si="91"/>
        <v>Custom Ext Lighting</v>
      </c>
      <c r="E167" s="301" t="s">
        <v>592</v>
      </c>
      <c r="F167" s="277" t="str">
        <f>IF(J167&lt;&gt;"",INDEX('M04-S08'!$T$16:$T$198,2*(ROWS($F$164:F167)-1)+1),"")</f>
        <v/>
      </c>
      <c r="G167" s="63">
        <f>INDEX('M04-S08'!$C$16:$C$198,2*(ROWS($G$164:G167)-1)+1)</f>
        <v>0</v>
      </c>
      <c r="H167" s="107">
        <f>INDEX('M04-S08'!$AC$16:$AC$198,2*(ROWS($H$164:H167)-1)+1)*INDEX('M04-S08'!$AG$16:$AG$198,2*(ROWS($H$164:H167)-1)+1)</f>
        <v>0</v>
      </c>
      <c r="I167" s="107">
        <f>INDEX('M04-S08'!$AC$16:$AC$198,2*(ROWS($I$164:I167)-1)+1)*INDEX('M04-S08'!$AI$16:$AI$198,2*(ROWS($I$164:I167)-1)+1)</f>
        <v>0</v>
      </c>
      <c r="J167" s="107" t="str">
        <f>INDEX('M04-S08'!$AK$16:$AK$198,2*(ROWS($J$164:J167)-1)+1)</f>
        <v/>
      </c>
      <c r="K167" s="63" t="str">
        <f>IFERROR(IF(J167&lt;&gt;"",INDEX(CMELIGHT[Cost Basis],MATCH("Ext Lighting",CMELIGHT[End Use Category],0)),""),"")</f>
        <v/>
      </c>
      <c r="L167" s="277">
        <f>IF(ISNUMBER(INDEX('M04-S08'!$AN$16:$AN$198,2*(ROWS($O$164:O167)-1)+1)),INDEX('M04-S08'!$AC$16:$AC$198,2*(ROWS($L$164:L167)-1)+1),0)</f>
        <v>0</v>
      </c>
      <c r="M167" s="277">
        <f>IF(ISNUMBER(INDEX('M04-S08'!$AN$16:$AN$198,2*(ROWS($O$164:O167)-1)+1)),INDEX('M04-S08'!$AZ$16:$AZ$198,2*(ROWS($M$164:M167)-1)+1),0)</f>
        <v>0</v>
      </c>
      <c r="N167" s="335">
        <f>IF(ISNUMBER(INDEX('M04-S08'!$AN$16:$AN$198,2*(ROWS($O$164:O167)-1)+1)),INDEX('M04-S08'!$AV$16:$AV$198,2*(ROWS($N$164:N167)-1)+1),0)</f>
        <v>0</v>
      </c>
      <c r="O167" s="107">
        <f>IF(ISNUMBER(INDEX('M04-S08'!$AN$16:$AN$198,2*(ROWS($O$164:O167)-1)+1)),INDEX('M04-S08'!$AN$16:$AN$198,2*(ROWS($O$164:O167)-1)+1),0)</f>
        <v>0</v>
      </c>
      <c r="P167" s="277" t="str">
        <f>IFERROR(IF(NOT(ISNUMBER(INDEX('M04-S08'!$AN$16:$AN$198,2*(ROWS($O$164:O167)-1)+1))),INDEX('M04-S08'!$AZ$16:$AZ$198,2*(ROWS($O$164:O167)-1)+1),0),"")</f>
        <v/>
      </c>
      <c r="Q167" s="335" t="str">
        <f>IFERROR(IF(NOT(ISNUMBER(INDEX('M04-S08'!$AN$16:$AN$198,2*(ROWS($O$164:O167)-1)+1))),INDEX('M04-S08'!$AV$16:$AV$198,2*(ROWS($O$164:O167)-1)+1),0),"")</f>
        <v/>
      </c>
      <c r="R167" s="63" t="str">
        <f>IFERROR(IF(NOT(ISNUMBER(INDEX('M04-S08'!$AN$16:$AN$198,2*(ROWS($O$164:O167)-1)+1))),INDEX( SPILLOVER[Spillover Reason],MATCH(INDEX('M04-S08'!$BC$16:$BC$198,2*(ROWS($O$164:O167)-1)+1), SPILLOVER[Spillover Text],0)),""),"")</f>
        <v>Not Eligible</v>
      </c>
      <c r="S167" s="282" t="str">
        <f>INDEX('M04-S08'!$R$16:$R$198,2*(ROWS($S$164:S167)-1)+1)</f>
        <v/>
      </c>
      <c r="T167" s="282" t="str">
        <f>INDEX('M04-S08'!$AE$16:$AE$198,2*(ROWS($T$164:T167)-1)+1)</f>
        <v/>
      </c>
      <c r="U167" s="277">
        <f>INDEX('M04-S08'!$B$16:$B$198,2*(ROWS($U$164:U167)-1)+1)</f>
        <v>4</v>
      </c>
      <c r="V167" s="104">
        <f>INDEX('M04-S08'!$I$16:$I$198,2*(ROWS($V$164:V167)-1)+1)</f>
        <v>0</v>
      </c>
      <c r="W167" s="104">
        <f>INDEX('M04-S08'!$V$16:$V$198,2*(ROWS($W$164:W167)-1)+1)</f>
        <v>0</v>
      </c>
      <c r="X167" s="63">
        <f>INDEX('M04-S08'!$M$16:$M$198,2*(ROWS($X$164:X167)-1)+1)</f>
        <v>0</v>
      </c>
      <c r="Y167" s="63">
        <f>INDEX('M04-S08'!$Z$16:$Z$198,2*(ROWS($Y$164:Y167)-1)+1)</f>
        <v>0</v>
      </c>
      <c r="Z167" s="254"/>
      <c r="AA167" s="63" t="str">
        <f>IFERROR(INDEX(CMLIGHTBASE[Measure Subgroup 1],MATCH(INDEX('M04-S08'!$I$16:$I$198,2*(ROWS($V$164:V167)-1)+1),CMLIGHTBASE[Base Desc 1],0)),"")</f>
        <v/>
      </c>
      <c r="AB167" s="63" t="str">
        <f>IFERROR(INDEX(CMLIGHTBASE[Measure Subgroup 2],MATCH(INDEX('M04-S08'!$I$16:$I$198,2*(ROWS($V$164:V167)-1)+1),CMLIGHTBASE[Base Desc 1],0)),"")</f>
        <v/>
      </c>
      <c r="AC167" s="63" t="str">
        <f>IFERROR(INDEX(CMLIGHTEFF[Measure Subgroup 1],MATCH(INDEX('M04-S08'!$V$16:$V$198,2*(ROWS($W$164:W167)-1)+1),CMLIGHTEFF[Eff Desc 1],0)),"")</f>
        <v/>
      </c>
      <c r="AD167" s="63" t="str">
        <f>IFERROR(INDEX(CMLIGHTEFF[Measure Subgroup 2],MATCH(INDEX('M04-S08'!$V$16:$V$198,2*(ROWS($W$164:W167)-1)+1),CMLIGHTEFF[Eff Desc 1],0)),"")</f>
        <v/>
      </c>
      <c r="AE167" s="277">
        <f>IF(NOT(ISNUMBER(INDEX('M04-S08'!$AN$16:$AN$198,2*(ROWS($O$164:O167)-1)+1))),INDEX('M04-S08'!$AC$16:$AC$198,2*(ROWS($L$164:L167)-1)+1),0)</f>
        <v>0</v>
      </c>
      <c r="AF167" s="277" t="str">
        <f>INDEX('M04-S08'!$AW$16:$AW$198,2*(ROWS($AF$164:AF167)-1)+1)</f>
        <v/>
      </c>
      <c r="AG167" s="277" t="str">
        <f>INDEX('M04-S08'!$AX$16:$AX$198,2*(ROWS($AG$164:AG167)-1)+1)</f>
        <v/>
      </c>
      <c r="AH167" s="277" t="str">
        <f t="shared" si="92"/>
        <v/>
      </c>
      <c r="AI167" s="277" t="str">
        <f t="shared" si="93"/>
        <v/>
      </c>
      <c r="AJ167" s="107" t="str">
        <f t="shared" si="94"/>
        <v/>
      </c>
      <c r="AK167" s="107" t="str">
        <f t="shared" si="95"/>
        <v/>
      </c>
      <c r="AL167" s="107" t="str">
        <f t="shared" si="96"/>
        <v/>
      </c>
      <c r="AM167" s="107" t="str">
        <f>INDEX('M04-S08'!$AU$16:$AU$198,2*(ROWS($AM$164:AM167)-1)+1)</f>
        <v/>
      </c>
      <c r="AN167" s="107" t="str">
        <f>INDEX('M04-S08'!$BB$16:$BB$198,2*(ROWS($AN$164:AN167)-1)+1)</f>
        <v/>
      </c>
      <c r="AO167" s="277">
        <f>INDEX('M04-S08'!$P$16:$P$198,2*(ROWS($AO$164:AO167)-1)+1)</f>
        <v>0</v>
      </c>
      <c r="AP167" s="278"/>
      <c r="AQ167" s="278"/>
    </row>
    <row r="168" spans="1:44" x14ac:dyDescent="0.25">
      <c r="A168" s="118">
        <f t="shared" si="89"/>
        <v>0</v>
      </c>
      <c r="B168" s="118" t="str">
        <f t="shared" si="90"/>
        <v/>
      </c>
      <c r="C168" s="118" t="str">
        <f>IF(J168&gt;0,INDEX('M04-S08'!$AY$16:$AY$198,2*(ROWS($C$164:C168)-1)+1),"")</f>
        <v/>
      </c>
      <c r="D168" s="63" t="str">
        <f t="shared" si="91"/>
        <v>Custom Ext Lighting</v>
      </c>
      <c r="E168" s="301" t="s">
        <v>592</v>
      </c>
      <c r="F168" s="277" t="str">
        <f>IF(J168&lt;&gt;"",INDEX('M04-S08'!$T$16:$T$198,2*(ROWS($F$164:F168)-1)+1),"")</f>
        <v/>
      </c>
      <c r="G168" s="63">
        <f>INDEX('M04-S08'!$C$16:$C$198,2*(ROWS($G$164:G168)-1)+1)</f>
        <v>0</v>
      </c>
      <c r="H168" s="107">
        <f>INDEX('M04-S08'!$AC$16:$AC$198,2*(ROWS($H$164:H168)-1)+1)*INDEX('M04-S08'!$AG$16:$AG$198,2*(ROWS($H$164:H168)-1)+1)</f>
        <v>0</v>
      </c>
      <c r="I168" s="107">
        <f>INDEX('M04-S08'!$AC$16:$AC$198,2*(ROWS($I$164:I168)-1)+1)*INDEX('M04-S08'!$AI$16:$AI$198,2*(ROWS($I$164:I168)-1)+1)</f>
        <v>0</v>
      </c>
      <c r="J168" s="107" t="str">
        <f>INDEX('M04-S08'!$AK$16:$AK$198,2*(ROWS($J$164:J168)-1)+1)</f>
        <v/>
      </c>
      <c r="K168" s="63" t="str">
        <f>IFERROR(IF(J168&lt;&gt;"",INDEX(CMELIGHT[Cost Basis],MATCH("Ext Lighting",CMELIGHT[End Use Category],0)),""),"")</f>
        <v/>
      </c>
      <c r="L168" s="277">
        <f>IF(ISNUMBER(INDEX('M04-S08'!$AN$16:$AN$198,2*(ROWS($O$164:O168)-1)+1)),INDEX('M04-S08'!$AC$16:$AC$198,2*(ROWS($L$164:L168)-1)+1),0)</f>
        <v>0</v>
      </c>
      <c r="M168" s="277">
        <f>IF(ISNUMBER(INDEX('M04-S08'!$AN$16:$AN$198,2*(ROWS($O$164:O168)-1)+1)),INDEX('M04-S08'!$AZ$16:$AZ$198,2*(ROWS($M$164:M168)-1)+1),0)</f>
        <v>0</v>
      </c>
      <c r="N168" s="335">
        <f>IF(ISNUMBER(INDEX('M04-S08'!$AN$16:$AN$198,2*(ROWS($O$164:O168)-1)+1)),INDEX('M04-S08'!$AV$16:$AV$198,2*(ROWS($N$164:N168)-1)+1),0)</f>
        <v>0</v>
      </c>
      <c r="O168" s="107">
        <f>IF(ISNUMBER(INDEX('M04-S08'!$AN$16:$AN$198,2*(ROWS($O$164:O168)-1)+1)),INDEX('M04-S08'!$AN$16:$AN$198,2*(ROWS($O$164:O168)-1)+1),0)</f>
        <v>0</v>
      </c>
      <c r="P168" s="277" t="str">
        <f>IFERROR(IF(NOT(ISNUMBER(INDEX('M04-S08'!$AN$16:$AN$198,2*(ROWS($O$164:O168)-1)+1))),INDEX('M04-S08'!$AZ$16:$AZ$198,2*(ROWS($O$164:O168)-1)+1),0),"")</f>
        <v/>
      </c>
      <c r="Q168" s="335" t="str">
        <f>IFERROR(IF(NOT(ISNUMBER(INDEX('M04-S08'!$AN$16:$AN$198,2*(ROWS($O$164:O168)-1)+1))),INDEX('M04-S08'!$AV$16:$AV$198,2*(ROWS($O$164:O168)-1)+1),0),"")</f>
        <v/>
      </c>
      <c r="R168" s="63" t="str">
        <f>IFERROR(IF(NOT(ISNUMBER(INDEX('M04-S08'!$AN$16:$AN$198,2*(ROWS($O$164:O168)-1)+1))),INDEX( SPILLOVER[Spillover Reason],MATCH(INDEX('M04-S08'!$BC$16:$BC$198,2*(ROWS($O$164:O168)-1)+1), SPILLOVER[Spillover Text],0)),""),"")</f>
        <v>Not Eligible</v>
      </c>
      <c r="S168" s="282" t="str">
        <f>INDEX('M04-S08'!$R$16:$R$198,2*(ROWS($S$164:S168)-1)+1)</f>
        <v/>
      </c>
      <c r="T168" s="282" t="str">
        <f>INDEX('M04-S08'!$AE$16:$AE$198,2*(ROWS($T$164:T168)-1)+1)</f>
        <v/>
      </c>
      <c r="U168" s="277">
        <f>INDEX('M04-S08'!$B$16:$B$198,2*(ROWS($U$164:U168)-1)+1)</f>
        <v>5</v>
      </c>
      <c r="V168" s="104">
        <f>INDEX('M04-S08'!$I$16:$I$198,2*(ROWS($V$164:V168)-1)+1)</f>
        <v>0</v>
      </c>
      <c r="W168" s="104">
        <f>INDEX('M04-S08'!$V$16:$V$198,2*(ROWS($W$164:W168)-1)+1)</f>
        <v>0</v>
      </c>
      <c r="X168" s="63">
        <f>INDEX('M04-S08'!$M$16:$M$198,2*(ROWS($X$164:X168)-1)+1)</f>
        <v>0</v>
      </c>
      <c r="Y168" s="63">
        <f>INDEX('M04-S08'!$Z$16:$Z$198,2*(ROWS($Y$164:Y168)-1)+1)</f>
        <v>0</v>
      </c>
      <c r="Z168" s="254"/>
      <c r="AA168" s="63" t="str">
        <f>IFERROR(INDEX(CMLIGHTBASE[Measure Subgroup 1],MATCH(INDEX('M04-S08'!$I$16:$I$198,2*(ROWS($V$164:V168)-1)+1),CMLIGHTBASE[Base Desc 1],0)),"")</f>
        <v/>
      </c>
      <c r="AB168" s="63" t="str">
        <f>IFERROR(INDEX(CMLIGHTBASE[Measure Subgroup 2],MATCH(INDEX('M04-S08'!$I$16:$I$198,2*(ROWS($V$164:V168)-1)+1),CMLIGHTBASE[Base Desc 1],0)),"")</f>
        <v/>
      </c>
      <c r="AC168" s="63" t="str">
        <f>IFERROR(INDEX(CMLIGHTEFF[Measure Subgroup 1],MATCH(INDEX('M04-S08'!$V$16:$V$198,2*(ROWS($W$164:W168)-1)+1),CMLIGHTEFF[Eff Desc 1],0)),"")</f>
        <v/>
      </c>
      <c r="AD168" s="63" t="str">
        <f>IFERROR(INDEX(CMLIGHTEFF[Measure Subgroup 2],MATCH(INDEX('M04-S08'!$V$16:$V$198,2*(ROWS($W$164:W168)-1)+1),CMLIGHTEFF[Eff Desc 1],0)),"")</f>
        <v/>
      </c>
      <c r="AE168" s="277">
        <f>IF(NOT(ISNUMBER(INDEX('M04-S08'!$AN$16:$AN$198,2*(ROWS($O$164:O168)-1)+1))),INDEX('M04-S08'!$AC$16:$AC$198,2*(ROWS($L$164:L168)-1)+1),0)</f>
        <v>0</v>
      </c>
      <c r="AF168" s="277" t="str">
        <f>INDEX('M04-S08'!$AW$16:$AW$198,2*(ROWS($AF$164:AF168)-1)+1)</f>
        <v/>
      </c>
      <c r="AG168" s="277" t="str">
        <f>INDEX('M04-S08'!$AX$16:$AX$198,2*(ROWS($AG$164:AG168)-1)+1)</f>
        <v/>
      </c>
      <c r="AH168" s="277" t="str">
        <f t="shared" si="92"/>
        <v/>
      </c>
      <c r="AI168" s="277" t="str">
        <f t="shared" si="93"/>
        <v/>
      </c>
      <c r="AJ168" s="107" t="str">
        <f t="shared" si="94"/>
        <v/>
      </c>
      <c r="AK168" s="107" t="str">
        <f t="shared" si="95"/>
        <v/>
      </c>
      <c r="AL168" s="107" t="str">
        <f t="shared" si="96"/>
        <v/>
      </c>
      <c r="AM168" s="107" t="str">
        <f>INDEX('M04-S08'!$AU$16:$AU$198,2*(ROWS($AM$164:AM168)-1)+1)</f>
        <v/>
      </c>
      <c r="AN168" s="107" t="str">
        <f>INDEX('M04-S08'!$BB$16:$BB$198,2*(ROWS($AN$164:AN168)-1)+1)</f>
        <v/>
      </c>
      <c r="AO168" s="277">
        <f>INDEX('M04-S08'!$P$16:$P$198,2*(ROWS($AO$164:AO168)-1)+1)</f>
        <v>0</v>
      </c>
      <c r="AP168" s="278"/>
      <c r="AQ168" s="278"/>
    </row>
    <row r="169" spans="1:44" x14ac:dyDescent="0.25">
      <c r="A169" s="118">
        <f t="shared" si="89"/>
        <v>0</v>
      </c>
      <c r="B169" s="118" t="str">
        <f t="shared" si="90"/>
        <v/>
      </c>
      <c r="C169" s="118" t="str">
        <f>IF(J169&gt;0,INDEX('M04-S08'!$AY$16:$AY$198,2*(ROWS($C$164:C169)-1)+1),"")</f>
        <v/>
      </c>
      <c r="D169" s="63" t="str">
        <f t="shared" si="91"/>
        <v>Custom Ext Lighting</v>
      </c>
      <c r="E169" s="301" t="s">
        <v>592</v>
      </c>
      <c r="F169" s="277" t="str">
        <f>IF(J169&lt;&gt;"",INDEX('M04-S08'!$T$16:$T$198,2*(ROWS($F$164:F169)-1)+1),"")</f>
        <v/>
      </c>
      <c r="G169" s="63">
        <f>INDEX('M04-S08'!$C$16:$C$198,2*(ROWS($G$164:G169)-1)+1)</f>
        <v>0</v>
      </c>
      <c r="H169" s="107">
        <f>INDEX('M04-S08'!$AC$16:$AC$198,2*(ROWS($H$164:H169)-1)+1)*INDEX('M04-S08'!$AG$16:$AG$198,2*(ROWS($H$164:H169)-1)+1)</f>
        <v>0</v>
      </c>
      <c r="I169" s="107">
        <f>INDEX('M04-S08'!$AC$16:$AC$198,2*(ROWS($I$164:I169)-1)+1)*INDEX('M04-S08'!$AI$16:$AI$198,2*(ROWS($I$164:I169)-1)+1)</f>
        <v>0</v>
      </c>
      <c r="J169" s="107" t="str">
        <f>INDEX('M04-S08'!$AK$16:$AK$198,2*(ROWS($J$164:J169)-1)+1)</f>
        <v/>
      </c>
      <c r="K169" s="63" t="str">
        <f>IFERROR(IF(J169&lt;&gt;"",INDEX(CMELIGHT[Cost Basis],MATCH("Ext Lighting",CMELIGHT[End Use Category],0)),""),"")</f>
        <v/>
      </c>
      <c r="L169" s="277">
        <f>IF(ISNUMBER(INDEX('M04-S08'!$AN$16:$AN$198,2*(ROWS($O$164:O169)-1)+1)),INDEX('M04-S08'!$AC$16:$AC$198,2*(ROWS($L$164:L169)-1)+1),0)</f>
        <v>0</v>
      </c>
      <c r="M169" s="277">
        <f>IF(ISNUMBER(INDEX('M04-S08'!$AN$16:$AN$198,2*(ROWS($O$164:O169)-1)+1)),INDEX('M04-S08'!$AZ$16:$AZ$198,2*(ROWS($M$164:M169)-1)+1),0)</f>
        <v>0</v>
      </c>
      <c r="N169" s="335">
        <f>IF(ISNUMBER(INDEX('M04-S08'!$AN$16:$AN$198,2*(ROWS($O$164:O169)-1)+1)),INDEX('M04-S08'!$AV$16:$AV$198,2*(ROWS($N$164:N169)-1)+1),0)</f>
        <v>0</v>
      </c>
      <c r="O169" s="107">
        <f>IF(ISNUMBER(INDEX('M04-S08'!$AN$16:$AN$198,2*(ROWS($O$164:O169)-1)+1)),INDEX('M04-S08'!$AN$16:$AN$198,2*(ROWS($O$164:O169)-1)+1),0)</f>
        <v>0</v>
      </c>
      <c r="P169" s="277" t="str">
        <f>IFERROR(IF(NOT(ISNUMBER(INDEX('M04-S08'!$AN$16:$AN$198,2*(ROWS($O$164:O169)-1)+1))),INDEX('M04-S08'!$AZ$16:$AZ$198,2*(ROWS($O$164:O169)-1)+1),0),"")</f>
        <v/>
      </c>
      <c r="Q169" s="335" t="str">
        <f>IFERROR(IF(NOT(ISNUMBER(INDEX('M04-S08'!$AN$16:$AN$198,2*(ROWS($O$164:O169)-1)+1))),INDEX('M04-S08'!$AV$16:$AV$198,2*(ROWS($O$164:O169)-1)+1),0),"")</f>
        <v/>
      </c>
      <c r="R169" s="63" t="str">
        <f>IFERROR(IF(NOT(ISNUMBER(INDEX('M04-S08'!$AN$16:$AN$198,2*(ROWS($O$164:O169)-1)+1))),INDEX( SPILLOVER[Spillover Reason],MATCH(INDEX('M04-S08'!$BC$16:$BC$198,2*(ROWS($O$164:O169)-1)+1), SPILLOVER[Spillover Text],0)),""),"")</f>
        <v>Not Eligible</v>
      </c>
      <c r="S169" s="282" t="str">
        <f>INDEX('M04-S08'!$R$16:$R$198,2*(ROWS($S$164:S169)-1)+1)</f>
        <v/>
      </c>
      <c r="T169" s="282" t="str">
        <f>INDEX('M04-S08'!$AE$16:$AE$198,2*(ROWS($T$164:T169)-1)+1)</f>
        <v/>
      </c>
      <c r="U169" s="277">
        <f>INDEX('M04-S08'!$B$16:$B$198,2*(ROWS($U$164:U169)-1)+1)</f>
        <v>6</v>
      </c>
      <c r="V169" s="104">
        <f>INDEX('M04-S08'!$I$16:$I$198,2*(ROWS($V$164:V169)-1)+1)</f>
        <v>0</v>
      </c>
      <c r="W169" s="104">
        <f>INDEX('M04-S08'!$V$16:$V$198,2*(ROWS($W$164:W169)-1)+1)</f>
        <v>0</v>
      </c>
      <c r="X169" s="63">
        <f>INDEX('M04-S08'!$M$16:$M$198,2*(ROWS($X$164:X169)-1)+1)</f>
        <v>0</v>
      </c>
      <c r="Y169" s="63">
        <f>INDEX('M04-S08'!$Z$16:$Z$198,2*(ROWS($Y$164:Y169)-1)+1)</f>
        <v>0</v>
      </c>
      <c r="Z169" s="254"/>
      <c r="AA169" s="63" t="str">
        <f>IFERROR(INDEX(CMLIGHTBASE[Measure Subgroup 1],MATCH(INDEX('M04-S08'!$I$16:$I$198,2*(ROWS($V$164:V169)-1)+1),CMLIGHTBASE[Base Desc 1],0)),"")</f>
        <v/>
      </c>
      <c r="AB169" s="63" t="str">
        <f>IFERROR(INDEX(CMLIGHTBASE[Measure Subgroup 2],MATCH(INDEX('M04-S08'!$I$16:$I$198,2*(ROWS($V$164:V169)-1)+1),CMLIGHTBASE[Base Desc 1],0)),"")</f>
        <v/>
      </c>
      <c r="AC169" s="63" t="str">
        <f>IFERROR(INDEX(CMLIGHTEFF[Measure Subgroup 1],MATCH(INDEX('M04-S08'!$V$16:$V$198,2*(ROWS($W$164:W169)-1)+1),CMLIGHTEFF[Eff Desc 1],0)),"")</f>
        <v/>
      </c>
      <c r="AD169" s="63" t="str">
        <f>IFERROR(INDEX(CMLIGHTEFF[Measure Subgroup 2],MATCH(INDEX('M04-S08'!$V$16:$V$198,2*(ROWS($W$164:W169)-1)+1),CMLIGHTEFF[Eff Desc 1],0)),"")</f>
        <v/>
      </c>
      <c r="AE169" s="277">
        <f>IF(NOT(ISNUMBER(INDEX('M04-S08'!$AN$16:$AN$198,2*(ROWS($O$164:O169)-1)+1))),INDEX('M04-S08'!$AC$16:$AC$198,2*(ROWS($L$164:L169)-1)+1),0)</f>
        <v>0</v>
      </c>
      <c r="AF169" s="277" t="str">
        <f>INDEX('M04-S08'!$AW$16:$AW$198,2*(ROWS($AF$164:AF169)-1)+1)</f>
        <v/>
      </c>
      <c r="AG169" s="277" t="str">
        <f>INDEX('M04-S08'!$AX$16:$AX$198,2*(ROWS($AG$164:AG169)-1)+1)</f>
        <v/>
      </c>
      <c r="AH169" s="277" t="str">
        <f t="shared" si="92"/>
        <v/>
      </c>
      <c r="AI169" s="277" t="str">
        <f t="shared" si="93"/>
        <v/>
      </c>
      <c r="AJ169" s="107" t="str">
        <f t="shared" si="94"/>
        <v/>
      </c>
      <c r="AK169" s="107" t="str">
        <f t="shared" si="95"/>
        <v/>
      </c>
      <c r="AL169" s="107" t="str">
        <f t="shared" si="96"/>
        <v/>
      </c>
      <c r="AM169" s="107" t="str">
        <f>INDEX('M04-S08'!$AU$16:$AU$198,2*(ROWS($AM$164:AM169)-1)+1)</f>
        <v/>
      </c>
      <c r="AN169" s="107" t="str">
        <f>INDEX('M04-S08'!$BB$16:$BB$198,2*(ROWS($AN$164:AN169)-1)+1)</f>
        <v/>
      </c>
      <c r="AO169" s="277">
        <f>INDEX('M04-S08'!$P$16:$P$198,2*(ROWS($AO$164:AO169)-1)+1)</f>
        <v>0</v>
      </c>
      <c r="AP169" s="278"/>
      <c r="AQ169" s="278"/>
    </row>
    <row r="170" spans="1:44" x14ac:dyDescent="0.25">
      <c r="A170" s="118">
        <f t="shared" si="89"/>
        <v>0</v>
      </c>
      <c r="B170" s="118" t="str">
        <f t="shared" si="90"/>
        <v/>
      </c>
      <c r="C170" s="118" t="str">
        <f>IF(J170&gt;0,INDEX('M04-S08'!$AY$16:$AY$198,2*(ROWS($C$164:C170)-1)+1),"")</f>
        <v/>
      </c>
      <c r="D170" s="63" t="str">
        <f t="shared" si="91"/>
        <v>Custom Ext Lighting</v>
      </c>
      <c r="E170" s="301" t="s">
        <v>592</v>
      </c>
      <c r="F170" s="277" t="str">
        <f>IF(J170&lt;&gt;"",INDEX('M04-S08'!$T$16:$T$198,2*(ROWS($F$164:F170)-1)+1),"")</f>
        <v/>
      </c>
      <c r="G170" s="63">
        <f>INDEX('M04-S08'!$C$16:$C$198,2*(ROWS($G$164:G170)-1)+1)</f>
        <v>0</v>
      </c>
      <c r="H170" s="107">
        <f>INDEX('M04-S08'!$AC$16:$AC$198,2*(ROWS($H$164:H170)-1)+1)*INDEX('M04-S08'!$AG$16:$AG$198,2*(ROWS($H$164:H170)-1)+1)</f>
        <v>0</v>
      </c>
      <c r="I170" s="107">
        <f>INDEX('M04-S08'!$AC$16:$AC$198,2*(ROWS($I$164:I170)-1)+1)*INDEX('M04-S08'!$AI$16:$AI$198,2*(ROWS($I$164:I170)-1)+1)</f>
        <v>0</v>
      </c>
      <c r="J170" s="107" t="str">
        <f>INDEX('M04-S08'!$AK$16:$AK$198,2*(ROWS($J$164:J170)-1)+1)</f>
        <v/>
      </c>
      <c r="K170" s="63" t="str">
        <f>IFERROR(IF(J170&lt;&gt;"",INDEX(CMELIGHT[Cost Basis],MATCH("Ext Lighting",CMELIGHT[End Use Category],0)),""),"")</f>
        <v/>
      </c>
      <c r="L170" s="277">
        <f>IF(ISNUMBER(INDEX('M04-S08'!$AN$16:$AN$198,2*(ROWS($O$164:O170)-1)+1)),INDEX('M04-S08'!$AC$16:$AC$198,2*(ROWS($L$164:L170)-1)+1),0)</f>
        <v>0</v>
      </c>
      <c r="M170" s="277">
        <f>IF(ISNUMBER(INDEX('M04-S08'!$AN$16:$AN$198,2*(ROWS($O$164:O170)-1)+1)),INDEX('M04-S08'!$AZ$16:$AZ$198,2*(ROWS($M$164:M170)-1)+1),0)</f>
        <v>0</v>
      </c>
      <c r="N170" s="335">
        <f>IF(ISNUMBER(INDEX('M04-S08'!$AN$16:$AN$198,2*(ROWS($O$164:O170)-1)+1)),INDEX('M04-S08'!$AV$16:$AV$198,2*(ROWS($N$164:N170)-1)+1),0)</f>
        <v>0</v>
      </c>
      <c r="O170" s="107">
        <f>IF(ISNUMBER(INDEX('M04-S08'!$AN$16:$AN$198,2*(ROWS($O$164:O170)-1)+1)),INDEX('M04-S08'!$AN$16:$AN$198,2*(ROWS($O$164:O170)-1)+1),0)</f>
        <v>0</v>
      </c>
      <c r="P170" s="277" t="str">
        <f>IFERROR(IF(NOT(ISNUMBER(INDEX('M04-S08'!$AN$16:$AN$198,2*(ROWS($O$164:O170)-1)+1))),INDEX('M04-S08'!$AZ$16:$AZ$198,2*(ROWS($O$164:O170)-1)+1),0),"")</f>
        <v/>
      </c>
      <c r="Q170" s="335" t="str">
        <f>IFERROR(IF(NOT(ISNUMBER(INDEX('M04-S08'!$AN$16:$AN$198,2*(ROWS($O$164:O170)-1)+1))),INDEX('M04-S08'!$AV$16:$AV$198,2*(ROWS($O$164:O170)-1)+1),0),"")</f>
        <v/>
      </c>
      <c r="R170" s="63" t="str">
        <f>IFERROR(IF(NOT(ISNUMBER(INDEX('M04-S08'!$AN$16:$AN$198,2*(ROWS($O$164:O170)-1)+1))),INDEX( SPILLOVER[Spillover Reason],MATCH(INDEX('M04-S08'!$BC$16:$BC$198,2*(ROWS($O$164:O170)-1)+1), SPILLOVER[Spillover Text],0)),""),"")</f>
        <v>Not Eligible</v>
      </c>
      <c r="S170" s="282" t="str">
        <f>INDEX('M04-S08'!$R$16:$R$198,2*(ROWS($S$164:S170)-1)+1)</f>
        <v/>
      </c>
      <c r="T170" s="282" t="str">
        <f>INDEX('M04-S08'!$AE$16:$AE$198,2*(ROWS($T$164:T170)-1)+1)</f>
        <v/>
      </c>
      <c r="U170" s="277">
        <f>INDEX('M04-S08'!$B$16:$B$198,2*(ROWS($U$164:U170)-1)+1)</f>
        <v>7</v>
      </c>
      <c r="V170" s="104">
        <f>INDEX('M04-S08'!$I$16:$I$198,2*(ROWS($V$164:V170)-1)+1)</f>
        <v>0</v>
      </c>
      <c r="W170" s="104">
        <f>INDEX('M04-S08'!$V$16:$V$198,2*(ROWS($W$164:W170)-1)+1)</f>
        <v>0</v>
      </c>
      <c r="X170" s="63">
        <f>INDEX('M04-S08'!$M$16:$M$198,2*(ROWS($X$164:X170)-1)+1)</f>
        <v>0</v>
      </c>
      <c r="Y170" s="63">
        <f>INDEX('M04-S08'!$Z$16:$Z$198,2*(ROWS($Y$164:Y170)-1)+1)</f>
        <v>0</v>
      </c>
      <c r="Z170" s="254"/>
      <c r="AA170" s="63" t="str">
        <f>IFERROR(INDEX(CMLIGHTBASE[Measure Subgroup 1],MATCH(INDEX('M04-S08'!$I$16:$I$198,2*(ROWS($V$164:V170)-1)+1),CMLIGHTBASE[Base Desc 1],0)),"")</f>
        <v/>
      </c>
      <c r="AB170" s="63" t="str">
        <f>IFERROR(INDEX(CMLIGHTBASE[Measure Subgroup 2],MATCH(INDEX('M04-S08'!$I$16:$I$198,2*(ROWS($V$164:V170)-1)+1),CMLIGHTBASE[Base Desc 1],0)),"")</f>
        <v/>
      </c>
      <c r="AC170" s="63" t="str">
        <f>IFERROR(INDEX(CMLIGHTEFF[Measure Subgroup 1],MATCH(INDEX('M04-S08'!$V$16:$V$198,2*(ROWS($W$164:W170)-1)+1),CMLIGHTEFF[Eff Desc 1],0)),"")</f>
        <v/>
      </c>
      <c r="AD170" s="63" t="str">
        <f>IFERROR(INDEX(CMLIGHTEFF[Measure Subgroup 2],MATCH(INDEX('M04-S08'!$V$16:$V$198,2*(ROWS($W$164:W170)-1)+1),CMLIGHTEFF[Eff Desc 1],0)),"")</f>
        <v/>
      </c>
      <c r="AE170" s="277">
        <f>IF(NOT(ISNUMBER(INDEX('M04-S08'!$AN$16:$AN$198,2*(ROWS($O$164:O170)-1)+1))),INDEX('M04-S08'!$AC$16:$AC$198,2*(ROWS($L$164:L170)-1)+1),0)</f>
        <v>0</v>
      </c>
      <c r="AF170" s="277" t="str">
        <f>INDEX('M04-S08'!$AW$16:$AW$198,2*(ROWS($AF$164:AF170)-1)+1)</f>
        <v/>
      </c>
      <c r="AG170" s="277" t="str">
        <f>INDEX('M04-S08'!$AX$16:$AX$198,2*(ROWS($AG$164:AG170)-1)+1)</f>
        <v/>
      </c>
      <c r="AH170" s="277" t="str">
        <f t="shared" si="92"/>
        <v/>
      </c>
      <c r="AI170" s="277" t="str">
        <f t="shared" si="93"/>
        <v/>
      </c>
      <c r="AJ170" s="107" t="str">
        <f t="shared" si="94"/>
        <v/>
      </c>
      <c r="AK170" s="107" t="str">
        <f t="shared" si="95"/>
        <v/>
      </c>
      <c r="AL170" s="107" t="str">
        <f t="shared" si="96"/>
        <v/>
      </c>
      <c r="AM170" s="107" t="str">
        <f>INDEX('M04-S08'!$AU$16:$AU$198,2*(ROWS($AM$164:AM170)-1)+1)</f>
        <v/>
      </c>
      <c r="AN170" s="107" t="str">
        <f>INDEX('M04-S08'!$BB$16:$BB$198,2*(ROWS($AN$164:AN170)-1)+1)</f>
        <v/>
      </c>
      <c r="AO170" s="277">
        <f>INDEX('M04-S08'!$P$16:$P$198,2*(ROWS($AO$164:AO170)-1)+1)</f>
        <v>0</v>
      </c>
      <c r="AP170" s="278"/>
      <c r="AQ170" s="278"/>
    </row>
    <row r="171" spans="1:44" x14ac:dyDescent="0.25">
      <c r="A171" s="118">
        <f t="shared" si="89"/>
        <v>0</v>
      </c>
      <c r="B171" s="118" t="str">
        <f t="shared" si="90"/>
        <v/>
      </c>
      <c r="C171" s="118" t="str">
        <f>IF(J171&gt;0,INDEX('M04-S08'!$AY$16:$AY$198,2*(ROWS($C$164:C171)-1)+1),"")</f>
        <v/>
      </c>
      <c r="D171" s="63" t="str">
        <f t="shared" si="91"/>
        <v>Custom Ext Lighting</v>
      </c>
      <c r="E171" s="301" t="s">
        <v>592</v>
      </c>
      <c r="F171" s="277" t="str">
        <f>IF(J171&lt;&gt;"",INDEX('M04-S08'!$T$16:$T$198,2*(ROWS($F$164:F171)-1)+1),"")</f>
        <v/>
      </c>
      <c r="G171" s="63">
        <f>INDEX('M04-S08'!$C$16:$C$198,2*(ROWS($G$164:G171)-1)+1)</f>
        <v>0</v>
      </c>
      <c r="H171" s="107">
        <f>INDEX('M04-S08'!$AC$16:$AC$198,2*(ROWS($H$164:H171)-1)+1)*INDEX('M04-S08'!$AG$16:$AG$198,2*(ROWS($H$164:H171)-1)+1)</f>
        <v>0</v>
      </c>
      <c r="I171" s="107">
        <f>INDEX('M04-S08'!$AC$16:$AC$198,2*(ROWS($I$164:I171)-1)+1)*INDEX('M04-S08'!$AI$16:$AI$198,2*(ROWS($I$164:I171)-1)+1)</f>
        <v>0</v>
      </c>
      <c r="J171" s="107" t="str">
        <f>INDEX('M04-S08'!$AK$16:$AK$198,2*(ROWS($J$164:J171)-1)+1)</f>
        <v/>
      </c>
      <c r="K171" s="63" t="str">
        <f>IFERROR(IF(J171&lt;&gt;"",INDEX(CMELIGHT[Cost Basis],MATCH("Ext Lighting",CMELIGHT[End Use Category],0)),""),"")</f>
        <v/>
      </c>
      <c r="L171" s="277">
        <f>IF(ISNUMBER(INDEX('M04-S08'!$AN$16:$AN$198,2*(ROWS($O$164:O171)-1)+1)),INDEX('M04-S08'!$AC$16:$AC$198,2*(ROWS($L$164:L171)-1)+1),0)</f>
        <v>0</v>
      </c>
      <c r="M171" s="277">
        <f>IF(ISNUMBER(INDEX('M04-S08'!$AN$16:$AN$198,2*(ROWS($O$164:O171)-1)+1)),INDEX('M04-S08'!$AZ$16:$AZ$198,2*(ROWS($M$164:M171)-1)+1),0)</f>
        <v>0</v>
      </c>
      <c r="N171" s="335">
        <f>IF(ISNUMBER(INDEX('M04-S08'!$AN$16:$AN$198,2*(ROWS($O$164:O171)-1)+1)),INDEX('M04-S08'!$AV$16:$AV$198,2*(ROWS($N$164:N171)-1)+1),0)</f>
        <v>0</v>
      </c>
      <c r="O171" s="107">
        <f>IF(ISNUMBER(INDEX('M04-S08'!$AN$16:$AN$198,2*(ROWS($O$164:O171)-1)+1)),INDEX('M04-S08'!$AN$16:$AN$198,2*(ROWS($O$164:O171)-1)+1),0)</f>
        <v>0</v>
      </c>
      <c r="P171" s="277" t="str">
        <f>IFERROR(IF(NOT(ISNUMBER(INDEX('M04-S08'!$AN$16:$AN$198,2*(ROWS($O$164:O171)-1)+1))),INDEX('M04-S08'!$AZ$16:$AZ$198,2*(ROWS($O$164:O171)-1)+1),0),"")</f>
        <v/>
      </c>
      <c r="Q171" s="335" t="str">
        <f>IFERROR(IF(NOT(ISNUMBER(INDEX('M04-S08'!$AN$16:$AN$198,2*(ROWS($O$164:O171)-1)+1))),INDEX('M04-S08'!$AV$16:$AV$198,2*(ROWS($O$164:O171)-1)+1),0),"")</f>
        <v/>
      </c>
      <c r="R171" s="63" t="str">
        <f>IFERROR(IF(NOT(ISNUMBER(INDEX('M04-S08'!$AN$16:$AN$198,2*(ROWS($O$164:O171)-1)+1))),INDEX( SPILLOVER[Spillover Reason],MATCH(INDEX('M04-S08'!$BC$16:$BC$198,2*(ROWS($O$164:O171)-1)+1), SPILLOVER[Spillover Text],0)),""),"")</f>
        <v>Not Eligible</v>
      </c>
      <c r="S171" s="282" t="str">
        <f>INDEX('M04-S08'!$R$16:$R$198,2*(ROWS($S$164:S171)-1)+1)</f>
        <v/>
      </c>
      <c r="T171" s="282" t="str">
        <f>INDEX('M04-S08'!$AE$16:$AE$198,2*(ROWS($T$164:T171)-1)+1)</f>
        <v/>
      </c>
      <c r="U171" s="277">
        <f>INDEX('M04-S08'!$B$16:$B$198,2*(ROWS($U$164:U171)-1)+1)</f>
        <v>8</v>
      </c>
      <c r="V171" s="104">
        <f>INDEX('M04-S08'!$I$16:$I$198,2*(ROWS($V$164:V171)-1)+1)</f>
        <v>0</v>
      </c>
      <c r="W171" s="104">
        <f>INDEX('M04-S08'!$V$16:$V$198,2*(ROWS($W$164:W171)-1)+1)</f>
        <v>0</v>
      </c>
      <c r="X171" s="63">
        <f>INDEX('M04-S08'!$M$16:$M$198,2*(ROWS($X$164:X171)-1)+1)</f>
        <v>0</v>
      </c>
      <c r="Y171" s="63">
        <f>INDEX('M04-S08'!$Z$16:$Z$198,2*(ROWS($Y$164:Y171)-1)+1)</f>
        <v>0</v>
      </c>
      <c r="Z171" s="254"/>
      <c r="AA171" s="63" t="str">
        <f>IFERROR(INDEX(CMLIGHTBASE[Measure Subgroup 1],MATCH(INDEX('M04-S08'!$I$16:$I$198,2*(ROWS($V$164:V171)-1)+1),CMLIGHTBASE[Base Desc 1],0)),"")</f>
        <v/>
      </c>
      <c r="AB171" s="63" t="str">
        <f>IFERROR(INDEX(CMLIGHTBASE[Measure Subgroup 2],MATCH(INDEX('M04-S08'!$I$16:$I$198,2*(ROWS($V$164:V171)-1)+1),CMLIGHTBASE[Base Desc 1],0)),"")</f>
        <v/>
      </c>
      <c r="AC171" s="63" t="str">
        <f>IFERROR(INDEX(CMLIGHTEFF[Measure Subgroup 1],MATCH(INDEX('M04-S08'!$V$16:$V$198,2*(ROWS($W$164:W171)-1)+1),CMLIGHTEFF[Eff Desc 1],0)),"")</f>
        <v/>
      </c>
      <c r="AD171" s="63" t="str">
        <f>IFERROR(INDEX(CMLIGHTEFF[Measure Subgroup 2],MATCH(INDEX('M04-S08'!$V$16:$V$198,2*(ROWS($W$164:W171)-1)+1),CMLIGHTEFF[Eff Desc 1],0)),"")</f>
        <v/>
      </c>
      <c r="AE171" s="277">
        <f>IF(NOT(ISNUMBER(INDEX('M04-S08'!$AN$16:$AN$198,2*(ROWS($O$164:O171)-1)+1))),INDEX('M04-S08'!$AC$16:$AC$198,2*(ROWS($L$164:L171)-1)+1),0)</f>
        <v>0</v>
      </c>
      <c r="AF171" s="277" t="str">
        <f>INDEX('M04-S08'!$AW$16:$AW$198,2*(ROWS($AF$164:AF171)-1)+1)</f>
        <v/>
      </c>
      <c r="AG171" s="277" t="str">
        <f>INDEX('M04-S08'!$AX$16:$AX$198,2*(ROWS($AG$164:AG171)-1)+1)</f>
        <v/>
      </c>
      <c r="AH171" s="277" t="str">
        <f t="shared" si="92"/>
        <v/>
      </c>
      <c r="AI171" s="277" t="str">
        <f t="shared" si="93"/>
        <v/>
      </c>
      <c r="AJ171" s="107" t="str">
        <f t="shared" si="94"/>
        <v/>
      </c>
      <c r="AK171" s="107" t="str">
        <f t="shared" si="95"/>
        <v/>
      </c>
      <c r="AL171" s="107" t="str">
        <f t="shared" si="96"/>
        <v/>
      </c>
      <c r="AM171" s="107" t="str">
        <f>INDEX('M04-S08'!$AU$16:$AU$198,2*(ROWS($AM$164:AM171)-1)+1)</f>
        <v/>
      </c>
      <c r="AN171" s="107" t="str">
        <f>INDEX('M04-S08'!$BB$16:$BB$198,2*(ROWS($AN$164:AN171)-1)+1)</f>
        <v/>
      </c>
      <c r="AO171" s="277">
        <f>INDEX('M04-S08'!$P$16:$P$198,2*(ROWS($AO$164:AO171)-1)+1)</f>
        <v>0</v>
      </c>
      <c r="AP171" s="278"/>
      <c r="AQ171" s="278"/>
    </row>
    <row r="172" spans="1:44" x14ac:dyDescent="0.25">
      <c r="A172" s="118">
        <f t="shared" si="89"/>
        <v>0</v>
      </c>
      <c r="B172" s="118" t="str">
        <f t="shared" si="90"/>
        <v/>
      </c>
      <c r="C172" s="118" t="str">
        <f>IF(J172&gt;0,INDEX('M04-S08'!$AY$16:$AY$198,2*(ROWS($C$164:C172)-1)+1),"")</f>
        <v/>
      </c>
      <c r="D172" s="63" t="str">
        <f t="shared" si="91"/>
        <v>Custom Ext Lighting</v>
      </c>
      <c r="E172" s="301" t="s">
        <v>592</v>
      </c>
      <c r="F172" s="277" t="str">
        <f>IF(J172&lt;&gt;"",INDEX('M04-S08'!$T$16:$T$198,2*(ROWS($F$164:F172)-1)+1),"")</f>
        <v/>
      </c>
      <c r="G172" s="63">
        <f>INDEX('M04-S08'!$C$16:$C$198,2*(ROWS($G$164:G172)-1)+1)</f>
        <v>0</v>
      </c>
      <c r="H172" s="107">
        <f>INDEX('M04-S08'!$AC$16:$AC$198,2*(ROWS($H$164:H172)-1)+1)*INDEX('M04-S08'!$AG$16:$AG$198,2*(ROWS($H$164:H172)-1)+1)</f>
        <v>0</v>
      </c>
      <c r="I172" s="107">
        <f>INDEX('M04-S08'!$AC$16:$AC$198,2*(ROWS($I$164:I172)-1)+1)*INDEX('M04-S08'!$AI$16:$AI$198,2*(ROWS($I$164:I172)-1)+1)</f>
        <v>0</v>
      </c>
      <c r="J172" s="107" t="str">
        <f>INDEX('M04-S08'!$AK$16:$AK$198,2*(ROWS($J$164:J172)-1)+1)</f>
        <v/>
      </c>
      <c r="K172" s="63" t="str">
        <f>IFERROR(IF(J172&lt;&gt;"",INDEX(CMELIGHT[Cost Basis],MATCH("Ext Lighting",CMELIGHT[End Use Category],0)),""),"")</f>
        <v/>
      </c>
      <c r="L172" s="277">
        <f>IF(ISNUMBER(INDEX('M04-S08'!$AN$16:$AN$198,2*(ROWS($O$164:O172)-1)+1)),INDEX('M04-S08'!$AC$16:$AC$198,2*(ROWS($L$164:L172)-1)+1),0)</f>
        <v>0</v>
      </c>
      <c r="M172" s="277">
        <f>IF(ISNUMBER(INDEX('M04-S08'!$AN$16:$AN$198,2*(ROWS($O$164:O172)-1)+1)),INDEX('M04-S08'!$AZ$16:$AZ$198,2*(ROWS($M$164:M172)-1)+1),0)</f>
        <v>0</v>
      </c>
      <c r="N172" s="335">
        <f>IF(ISNUMBER(INDEX('M04-S08'!$AN$16:$AN$198,2*(ROWS($O$164:O172)-1)+1)),INDEX('M04-S08'!$AV$16:$AV$198,2*(ROWS($N$164:N172)-1)+1),0)</f>
        <v>0</v>
      </c>
      <c r="O172" s="107">
        <f>IF(ISNUMBER(INDEX('M04-S08'!$AN$16:$AN$198,2*(ROWS($O$164:O172)-1)+1)),INDEX('M04-S08'!$AN$16:$AN$198,2*(ROWS($O$164:O172)-1)+1),0)</f>
        <v>0</v>
      </c>
      <c r="P172" s="277" t="str">
        <f>IFERROR(IF(NOT(ISNUMBER(INDEX('M04-S08'!$AN$16:$AN$198,2*(ROWS($O$164:O172)-1)+1))),INDEX('M04-S08'!$AZ$16:$AZ$198,2*(ROWS($O$164:O172)-1)+1),0),"")</f>
        <v/>
      </c>
      <c r="Q172" s="335" t="str">
        <f>IFERROR(IF(NOT(ISNUMBER(INDEX('M04-S08'!$AN$16:$AN$198,2*(ROWS($O$164:O172)-1)+1))),INDEX('M04-S08'!$AV$16:$AV$198,2*(ROWS($O$164:O172)-1)+1),0),"")</f>
        <v/>
      </c>
      <c r="R172" s="63" t="str">
        <f>IFERROR(IF(NOT(ISNUMBER(INDEX('M04-S08'!$AN$16:$AN$198,2*(ROWS($O$164:O172)-1)+1))),INDEX( SPILLOVER[Spillover Reason],MATCH(INDEX('M04-S08'!$BC$16:$BC$198,2*(ROWS($O$164:O172)-1)+1), SPILLOVER[Spillover Text],0)),""),"")</f>
        <v>Not Eligible</v>
      </c>
      <c r="S172" s="282" t="str">
        <f>INDEX('M04-S08'!$R$16:$R$198,2*(ROWS($S$164:S172)-1)+1)</f>
        <v/>
      </c>
      <c r="T172" s="282" t="str">
        <f>INDEX('M04-S08'!$AE$16:$AE$198,2*(ROWS($T$164:T172)-1)+1)</f>
        <v/>
      </c>
      <c r="U172" s="277">
        <f>INDEX('M04-S08'!$B$16:$B$198,2*(ROWS($U$164:U172)-1)+1)</f>
        <v>9</v>
      </c>
      <c r="V172" s="104">
        <f>INDEX('M04-S08'!$I$16:$I$198,2*(ROWS($V$164:V172)-1)+1)</f>
        <v>0</v>
      </c>
      <c r="W172" s="104">
        <f>INDEX('M04-S08'!$V$16:$V$198,2*(ROWS($W$164:W172)-1)+1)</f>
        <v>0</v>
      </c>
      <c r="X172" s="63">
        <f>INDEX('M04-S08'!$M$16:$M$198,2*(ROWS($X$164:X172)-1)+1)</f>
        <v>0</v>
      </c>
      <c r="Y172" s="63">
        <f>INDEX('M04-S08'!$Z$16:$Z$198,2*(ROWS($Y$164:Y172)-1)+1)</f>
        <v>0</v>
      </c>
      <c r="Z172" s="254"/>
      <c r="AA172" s="63" t="str">
        <f>IFERROR(INDEX(CMLIGHTBASE[Measure Subgroup 1],MATCH(INDEX('M04-S08'!$I$16:$I$198,2*(ROWS($V$164:V172)-1)+1),CMLIGHTBASE[Base Desc 1],0)),"")</f>
        <v/>
      </c>
      <c r="AB172" s="63" t="str">
        <f>IFERROR(INDEX(CMLIGHTBASE[Measure Subgroup 2],MATCH(INDEX('M04-S08'!$I$16:$I$198,2*(ROWS($V$164:V172)-1)+1),CMLIGHTBASE[Base Desc 1],0)),"")</f>
        <v/>
      </c>
      <c r="AC172" s="63" t="str">
        <f>IFERROR(INDEX(CMLIGHTEFF[Measure Subgroup 1],MATCH(INDEX('M04-S08'!$V$16:$V$198,2*(ROWS($W$164:W172)-1)+1),CMLIGHTEFF[Eff Desc 1],0)),"")</f>
        <v/>
      </c>
      <c r="AD172" s="63" t="str">
        <f>IFERROR(INDEX(CMLIGHTEFF[Measure Subgroup 2],MATCH(INDEX('M04-S08'!$V$16:$V$198,2*(ROWS($W$164:W172)-1)+1),CMLIGHTEFF[Eff Desc 1],0)),"")</f>
        <v/>
      </c>
      <c r="AE172" s="277">
        <f>IF(NOT(ISNUMBER(INDEX('M04-S08'!$AN$16:$AN$198,2*(ROWS($O$164:O172)-1)+1))),INDEX('M04-S08'!$AC$16:$AC$198,2*(ROWS($L$164:L172)-1)+1),0)</f>
        <v>0</v>
      </c>
      <c r="AF172" s="277" t="str">
        <f>INDEX('M04-S08'!$AW$16:$AW$198,2*(ROWS($AF$164:AF172)-1)+1)</f>
        <v/>
      </c>
      <c r="AG172" s="277" t="str">
        <f>INDEX('M04-S08'!$AX$16:$AX$198,2*(ROWS($AG$164:AG172)-1)+1)</f>
        <v/>
      </c>
      <c r="AH172" s="277" t="str">
        <f t="shared" si="92"/>
        <v/>
      </c>
      <c r="AI172" s="277" t="str">
        <f t="shared" si="93"/>
        <v/>
      </c>
      <c r="AJ172" s="107" t="str">
        <f t="shared" si="94"/>
        <v/>
      </c>
      <c r="AK172" s="107" t="str">
        <f t="shared" si="95"/>
        <v/>
      </c>
      <c r="AL172" s="107" t="str">
        <f t="shared" si="96"/>
        <v/>
      </c>
      <c r="AM172" s="107" t="str">
        <f>INDEX('M04-S08'!$AU$16:$AU$198,2*(ROWS($AM$164:AM172)-1)+1)</f>
        <v/>
      </c>
      <c r="AN172" s="107" t="str">
        <f>INDEX('M04-S08'!$BB$16:$BB$198,2*(ROWS($AN$164:AN172)-1)+1)</f>
        <v/>
      </c>
      <c r="AO172" s="277">
        <f>INDEX('M04-S08'!$P$16:$P$198,2*(ROWS($AO$164:AO172)-1)+1)</f>
        <v>0</v>
      </c>
      <c r="AP172" s="278"/>
      <c r="AQ172" s="278"/>
    </row>
    <row r="173" spans="1:44" x14ac:dyDescent="0.25">
      <c r="A173" s="118">
        <f t="shared" si="89"/>
        <v>0</v>
      </c>
      <c r="B173" s="118" t="str">
        <f t="shared" si="90"/>
        <v/>
      </c>
      <c r="C173" s="118" t="str">
        <f>IF(J173&gt;0,INDEX('M04-S08'!$AY$16:$AY$198,2*(ROWS($C$164:C173)-1)+1),"")</f>
        <v/>
      </c>
      <c r="D173" s="63" t="str">
        <f t="shared" si="91"/>
        <v>Custom Ext Lighting</v>
      </c>
      <c r="E173" s="301" t="s">
        <v>592</v>
      </c>
      <c r="F173" s="277" t="str">
        <f>IF(J173&lt;&gt;"",INDEX('M04-S08'!$T$16:$T$198,2*(ROWS($F$164:F173)-1)+1),"")</f>
        <v/>
      </c>
      <c r="G173" s="63">
        <f>INDEX('M04-S08'!$C$16:$C$198,2*(ROWS($G$164:G173)-1)+1)</f>
        <v>0</v>
      </c>
      <c r="H173" s="107">
        <f>INDEX('M04-S08'!$AC$16:$AC$198,2*(ROWS($H$164:H173)-1)+1)*INDEX('M04-S08'!$AG$16:$AG$198,2*(ROWS($H$164:H173)-1)+1)</f>
        <v>0</v>
      </c>
      <c r="I173" s="107">
        <f>INDEX('M04-S08'!$AC$16:$AC$198,2*(ROWS($I$164:I173)-1)+1)*INDEX('M04-S08'!$AI$16:$AI$198,2*(ROWS($I$164:I173)-1)+1)</f>
        <v>0</v>
      </c>
      <c r="J173" s="107" t="str">
        <f>INDEX('M04-S08'!$AK$16:$AK$198,2*(ROWS($J$164:J173)-1)+1)</f>
        <v/>
      </c>
      <c r="K173" s="63" t="str">
        <f>IFERROR(IF(J173&lt;&gt;"",INDEX(CMELIGHT[Cost Basis],MATCH("Ext Lighting",CMELIGHT[End Use Category],0)),""),"")</f>
        <v/>
      </c>
      <c r="L173" s="277">
        <f>IF(ISNUMBER(INDEX('M04-S08'!$AN$16:$AN$198,2*(ROWS($O$164:O173)-1)+1)),INDEX('M04-S08'!$AC$16:$AC$198,2*(ROWS($L$164:L173)-1)+1),0)</f>
        <v>0</v>
      </c>
      <c r="M173" s="277">
        <f>IF(ISNUMBER(INDEX('M04-S08'!$AN$16:$AN$198,2*(ROWS($O$164:O173)-1)+1)),INDEX('M04-S08'!$AZ$16:$AZ$198,2*(ROWS($M$164:M173)-1)+1),0)</f>
        <v>0</v>
      </c>
      <c r="N173" s="335">
        <f>IF(ISNUMBER(INDEX('M04-S08'!$AN$16:$AN$198,2*(ROWS($O$164:O173)-1)+1)),INDEX('M04-S08'!$AV$16:$AV$198,2*(ROWS($N$164:N173)-1)+1),0)</f>
        <v>0</v>
      </c>
      <c r="O173" s="107">
        <f>IF(ISNUMBER(INDEX('M04-S08'!$AN$16:$AN$198,2*(ROWS($O$164:O173)-1)+1)),INDEX('M04-S08'!$AN$16:$AN$198,2*(ROWS($O$164:O173)-1)+1),0)</f>
        <v>0</v>
      </c>
      <c r="P173" s="277" t="str">
        <f>IFERROR(IF(NOT(ISNUMBER(INDEX('M04-S08'!$AN$16:$AN$198,2*(ROWS($O$164:O173)-1)+1))),INDEX('M04-S08'!$AZ$16:$AZ$198,2*(ROWS($O$164:O173)-1)+1),0),"")</f>
        <v/>
      </c>
      <c r="Q173" s="335" t="str">
        <f>IFERROR(IF(NOT(ISNUMBER(INDEX('M04-S08'!$AN$16:$AN$198,2*(ROWS($O$164:O173)-1)+1))),INDEX('M04-S08'!$AV$16:$AV$198,2*(ROWS($O$164:O173)-1)+1),0),"")</f>
        <v/>
      </c>
      <c r="R173" s="63" t="str">
        <f>IFERROR(IF(NOT(ISNUMBER(INDEX('M04-S08'!$AN$16:$AN$198,2*(ROWS($O$164:O173)-1)+1))),INDEX( SPILLOVER[Spillover Reason],MATCH(INDEX('M04-S08'!$BC$16:$BC$198,2*(ROWS($O$164:O173)-1)+1), SPILLOVER[Spillover Text],0)),""),"")</f>
        <v>Not Eligible</v>
      </c>
      <c r="S173" s="282" t="str">
        <f>INDEX('M04-S08'!$R$16:$R$198,2*(ROWS($S$164:S173)-1)+1)</f>
        <v/>
      </c>
      <c r="T173" s="282" t="str">
        <f>INDEX('M04-S08'!$AE$16:$AE$198,2*(ROWS($T$164:T173)-1)+1)</f>
        <v/>
      </c>
      <c r="U173" s="277">
        <f>INDEX('M04-S08'!$B$16:$B$198,2*(ROWS($U$164:U173)-1)+1)</f>
        <v>10</v>
      </c>
      <c r="V173" s="104">
        <f>INDEX('M04-S08'!$I$16:$I$198,2*(ROWS($V$164:V173)-1)+1)</f>
        <v>0</v>
      </c>
      <c r="W173" s="104">
        <f>INDEX('M04-S08'!$V$16:$V$198,2*(ROWS($W$164:W173)-1)+1)</f>
        <v>0</v>
      </c>
      <c r="X173" s="63">
        <f>INDEX('M04-S08'!$M$16:$M$198,2*(ROWS($X$164:X173)-1)+1)</f>
        <v>0</v>
      </c>
      <c r="Y173" s="63">
        <f>INDEX('M04-S08'!$Z$16:$Z$198,2*(ROWS($Y$164:Y173)-1)+1)</f>
        <v>0</v>
      </c>
      <c r="Z173" s="254"/>
      <c r="AA173" s="63" t="str">
        <f>IFERROR(INDEX(CMLIGHTBASE[Measure Subgroup 1],MATCH(INDEX('M04-S08'!$I$16:$I$198,2*(ROWS($V$164:V173)-1)+1),CMLIGHTBASE[Base Desc 1],0)),"")</f>
        <v/>
      </c>
      <c r="AB173" s="63" t="str">
        <f>IFERROR(INDEX(CMLIGHTBASE[Measure Subgroup 2],MATCH(INDEX('M04-S08'!$I$16:$I$198,2*(ROWS($V$164:V173)-1)+1),CMLIGHTBASE[Base Desc 1],0)),"")</f>
        <v/>
      </c>
      <c r="AC173" s="63" t="str">
        <f>IFERROR(INDEX(CMLIGHTEFF[Measure Subgroup 1],MATCH(INDEX('M04-S08'!$V$16:$V$198,2*(ROWS($W$164:W173)-1)+1),CMLIGHTEFF[Eff Desc 1],0)),"")</f>
        <v/>
      </c>
      <c r="AD173" s="63" t="str">
        <f>IFERROR(INDEX(CMLIGHTEFF[Measure Subgroup 2],MATCH(INDEX('M04-S08'!$V$16:$V$198,2*(ROWS($W$164:W173)-1)+1),CMLIGHTEFF[Eff Desc 1],0)),"")</f>
        <v/>
      </c>
      <c r="AE173" s="277">
        <f>IF(NOT(ISNUMBER(INDEX('M04-S08'!$AN$16:$AN$198,2*(ROWS($O$164:O173)-1)+1))),INDEX('M04-S08'!$AC$16:$AC$198,2*(ROWS($L$164:L173)-1)+1),0)</f>
        <v>0</v>
      </c>
      <c r="AF173" s="277" t="str">
        <f>INDEX('M04-S08'!$AW$16:$AW$198,2*(ROWS($AF$164:AF173)-1)+1)</f>
        <v/>
      </c>
      <c r="AG173" s="277" t="str">
        <f>INDEX('M04-S08'!$AX$16:$AX$198,2*(ROWS($AG$164:AG173)-1)+1)</f>
        <v/>
      </c>
      <c r="AH173" s="277" t="str">
        <f t="shared" si="92"/>
        <v/>
      </c>
      <c r="AI173" s="277" t="str">
        <f t="shared" si="93"/>
        <v/>
      </c>
      <c r="AJ173" s="107" t="str">
        <f t="shared" si="94"/>
        <v/>
      </c>
      <c r="AK173" s="107" t="str">
        <f t="shared" si="95"/>
        <v/>
      </c>
      <c r="AL173" s="107" t="str">
        <f t="shared" si="96"/>
        <v/>
      </c>
      <c r="AM173" s="107" t="str">
        <f>INDEX('M04-S08'!$AU$16:$AU$198,2*(ROWS($AM$164:AM173)-1)+1)</f>
        <v/>
      </c>
      <c r="AN173" s="107" t="str">
        <f>INDEX('M04-S08'!$BB$16:$BB$198,2*(ROWS($AN$164:AN173)-1)+1)</f>
        <v/>
      </c>
      <c r="AO173" s="277">
        <f>INDEX('M04-S08'!$P$16:$P$198,2*(ROWS($AO$164:AO173)-1)+1)</f>
        <v>0</v>
      </c>
      <c r="AP173" s="278"/>
      <c r="AQ173" s="278"/>
    </row>
    <row r="174" spans="1:44" x14ac:dyDescent="0.25">
      <c r="A174" s="118">
        <f t="shared" si="89"/>
        <v>0</v>
      </c>
      <c r="B174" s="118" t="str">
        <f t="shared" si="90"/>
        <v/>
      </c>
      <c r="C174" s="118" t="str">
        <f>IF(J174&gt;0,INDEX('M04-S08'!$AY$16:$AY$198,2*(ROWS($C$164:C174)-1)+1),"")</f>
        <v/>
      </c>
      <c r="D174" s="63" t="str">
        <f t="shared" si="91"/>
        <v>Custom Ext Lighting</v>
      </c>
      <c r="E174" s="301" t="s">
        <v>592</v>
      </c>
      <c r="F174" s="277">
        <f>IF(J174&lt;&gt;"",INDEX('M04-S08'!$T$16:$T$198,2*(ROWS($F$164:F174)-1)+1),"")</f>
        <v>0</v>
      </c>
      <c r="G174" s="63">
        <f>INDEX('M04-S08'!$C$16:$C$198,2*(ROWS($G$164:G174)-1)+1)</f>
        <v>0</v>
      </c>
      <c r="H174" s="107">
        <f>INDEX('M04-S08'!$AC$16:$AC$198,2*(ROWS($H$164:H174)-1)+1)*INDEX('M04-S08'!$AG$16:$AG$198,2*(ROWS($H$164:H174)-1)+1)</f>
        <v>0</v>
      </c>
      <c r="I174" s="107">
        <f>INDEX('M04-S08'!$AC$16:$AC$198,2*(ROWS($I$164:I174)-1)+1)*INDEX('M04-S08'!$AI$16:$AI$198,2*(ROWS($I$164:I174)-1)+1)</f>
        <v>0</v>
      </c>
      <c r="J174" s="107">
        <f>INDEX('M04-S08'!$AK$16:$AK$198,2*(ROWS($J$164:J174)-1)+1)</f>
        <v>0</v>
      </c>
      <c r="K174" s="63" t="str">
        <f>IFERROR(IF(J174&lt;&gt;"",INDEX(CMELIGHT[Cost Basis],MATCH("Ext Lighting",CMELIGHT[End Use Category],0)),""),"")</f>
        <v>Incremental</v>
      </c>
      <c r="L174" s="277">
        <f>IF(ISNUMBER(INDEX('M04-S08'!$AN$16:$AN$198,2*(ROWS($O$164:O174)-1)+1)),INDEX('M04-S08'!$AC$16:$AC$198,2*(ROWS($L$164:L174)-1)+1),0)</f>
        <v>0</v>
      </c>
      <c r="M174" s="277">
        <f>IF(ISNUMBER(INDEX('M04-S08'!$AN$16:$AN$198,2*(ROWS($O$164:O174)-1)+1)),INDEX('M04-S08'!$AZ$16:$AZ$198,2*(ROWS($M$164:M174)-1)+1),0)</f>
        <v>0</v>
      </c>
      <c r="N174" s="335">
        <f>IF(ISNUMBER(INDEX('M04-S08'!$AN$16:$AN$198,2*(ROWS($O$164:O174)-1)+1)),INDEX('M04-S08'!$AV$16:$AV$198,2*(ROWS($N$164:N174)-1)+1),0)</f>
        <v>0</v>
      </c>
      <c r="O174" s="107">
        <f>IF(ISNUMBER(INDEX('M04-S08'!$AN$16:$AN$198,2*(ROWS($O$164:O174)-1)+1)),INDEX('M04-S08'!$AN$16:$AN$198,2*(ROWS($O$164:O174)-1)+1),0)</f>
        <v>0</v>
      </c>
      <c r="P174" s="277">
        <f>IFERROR(IF(NOT(ISNUMBER(INDEX('M04-S08'!$AN$16:$AN$198,2*(ROWS($O$164:O174)-1)+1))),INDEX('M04-S08'!$AZ$16:$AZ$198,2*(ROWS($O$164:O174)-1)+1),0),"")</f>
        <v>0</v>
      </c>
      <c r="Q174" s="335">
        <f>IFERROR(IF(NOT(ISNUMBER(INDEX('M04-S08'!$AN$16:$AN$198,2*(ROWS($O$164:O174)-1)+1))),INDEX('M04-S08'!$AV$16:$AV$198,2*(ROWS($O$164:O174)-1)+1),0),"")</f>
        <v>0</v>
      </c>
      <c r="R174" s="63" t="str">
        <f>IFERROR(IF(NOT(ISNUMBER(INDEX('M04-S08'!$AN$16:$AN$198,2*(ROWS($O$164:O174)-1)+1))),INDEX( SPILLOVER[Spillover Reason],MATCH(INDEX('M04-S08'!$BC$16:$BC$198,2*(ROWS($O$164:O174)-1)+1), SPILLOVER[Spillover Text],0)),""),"")</f>
        <v/>
      </c>
      <c r="S174" s="282">
        <f>INDEX('M04-S08'!$R$16:$R$198,2*(ROWS($S$164:S174)-1)+1)</f>
        <v>0</v>
      </c>
      <c r="T174" s="282">
        <f>INDEX('M04-S08'!$AE$16:$AE$198,2*(ROWS($T$164:T174)-1)+1)</f>
        <v>0</v>
      </c>
      <c r="U174" s="277">
        <f>INDEX('M04-S08'!$B$16:$B$198,2*(ROWS($U$164:U174)-1)+1)</f>
        <v>11</v>
      </c>
      <c r="V174" s="104">
        <f>INDEX('M04-S08'!$I$16:$I$198,2*(ROWS($V$164:V174)-1)+1)</f>
        <v>0</v>
      </c>
      <c r="W174" s="104">
        <f>INDEX('M04-S08'!$V$16:$V$198,2*(ROWS($W$164:W174)-1)+1)</f>
        <v>0</v>
      </c>
      <c r="X174" s="63">
        <f>INDEX('M04-S08'!$M$16:$M$198,2*(ROWS($X$164:X174)-1)+1)</f>
        <v>0</v>
      </c>
      <c r="Y174" s="63">
        <f>INDEX('M04-S08'!$Z$16:$Z$198,2*(ROWS($Y$164:Y174)-1)+1)</f>
        <v>0</v>
      </c>
      <c r="Z174" s="254"/>
      <c r="AA174" s="63" t="str">
        <f>IFERROR(INDEX(CMLIGHTBASE[Measure Subgroup 1],MATCH(INDEX('M04-S08'!$I$16:$I$198,2*(ROWS($V$164:V174)-1)+1),CMLIGHTBASE[Base Desc 1],0)),"")</f>
        <v/>
      </c>
      <c r="AB174" s="63" t="str">
        <f>IFERROR(INDEX(CMLIGHTBASE[Measure Subgroup 2],MATCH(INDEX('M04-S08'!$I$16:$I$198,2*(ROWS($V$164:V174)-1)+1),CMLIGHTBASE[Base Desc 1],0)),"")</f>
        <v/>
      </c>
      <c r="AC174" s="63" t="str">
        <f>IFERROR(INDEX(CMLIGHTEFF[Measure Subgroup 1],MATCH(INDEX('M04-S08'!$V$16:$V$198,2*(ROWS($W$164:W174)-1)+1),CMLIGHTEFF[Eff Desc 1],0)),"")</f>
        <v/>
      </c>
      <c r="AD174" s="63" t="str">
        <f>IFERROR(INDEX(CMLIGHTEFF[Measure Subgroup 2],MATCH(INDEX('M04-S08'!$V$16:$V$198,2*(ROWS($W$164:W174)-1)+1),CMLIGHTEFF[Eff Desc 1],0)),"")</f>
        <v/>
      </c>
      <c r="AE174" s="277">
        <f>IF(NOT(ISNUMBER(INDEX('M04-S08'!$AN$16:$AN$198,2*(ROWS($O$164:O174)-1)+1))),INDEX('M04-S08'!$AC$16:$AC$198,2*(ROWS($L$164:L174)-1)+1),0)</f>
        <v>0</v>
      </c>
      <c r="AF174" s="277">
        <f>INDEX('M04-S08'!$AW$16:$AW$198,2*(ROWS($AF$164:AF174)-1)+1)</f>
        <v>0</v>
      </c>
      <c r="AG174" s="277">
        <f>INDEX('M04-S08'!$AX$16:$AX$198,2*(ROWS($AG$164:AG174)-1)+1)</f>
        <v>0</v>
      </c>
      <c r="AH174" s="277" t="str">
        <f t="shared" si="92"/>
        <v/>
      </c>
      <c r="AI174" s="277" t="str">
        <f t="shared" si="93"/>
        <v/>
      </c>
      <c r="AJ174" s="107" t="str">
        <f t="shared" si="94"/>
        <v/>
      </c>
      <c r="AK174" s="107" t="str">
        <f t="shared" si="95"/>
        <v/>
      </c>
      <c r="AL174" s="107" t="str">
        <f t="shared" si="96"/>
        <v/>
      </c>
      <c r="AM174" s="107">
        <f>INDEX('M04-S08'!$AU$16:$AU$198,2*(ROWS($AM$164:AM174)-1)+1)</f>
        <v>0</v>
      </c>
      <c r="AN174" s="107">
        <f>INDEX('M04-S08'!$BB$16:$BB$198,2*(ROWS($AN$164:AN174)-1)+1)</f>
        <v>0</v>
      </c>
      <c r="AO174" s="277">
        <f>INDEX('M04-S08'!$P$16:$P$198,2*(ROWS($AO$164:AO174)-1)+1)</f>
        <v>0</v>
      </c>
      <c r="AP174" s="278"/>
      <c r="AQ174" s="278"/>
    </row>
    <row r="175" spans="1:44" x14ac:dyDescent="0.25">
      <c r="A175" s="118">
        <f t="shared" si="89"/>
        <v>0</v>
      </c>
      <c r="B175" s="118" t="str">
        <f t="shared" si="90"/>
        <v/>
      </c>
      <c r="C175" s="118" t="str">
        <f>IF(J175&gt;0,INDEX('M04-S08'!$AY$16:$AY$198,2*(ROWS($C$164:C175)-1)+1),"")</f>
        <v/>
      </c>
      <c r="D175" s="63" t="str">
        <f t="shared" si="91"/>
        <v>Custom Ext Lighting</v>
      </c>
      <c r="E175" s="301" t="s">
        <v>592</v>
      </c>
      <c r="F175" s="277">
        <f>IF(J175&lt;&gt;"",INDEX('M04-S08'!$T$16:$T$198,2*(ROWS($F$164:F175)-1)+1),"")</f>
        <v>0</v>
      </c>
      <c r="G175" s="63">
        <f>INDEX('M04-S08'!$C$16:$C$198,2*(ROWS($G$164:G175)-1)+1)</f>
        <v>0</v>
      </c>
      <c r="H175" s="107">
        <f>INDEX('M04-S08'!$AC$16:$AC$198,2*(ROWS($H$164:H175)-1)+1)*INDEX('M04-S08'!$AG$16:$AG$198,2*(ROWS($H$164:H175)-1)+1)</f>
        <v>0</v>
      </c>
      <c r="I175" s="107">
        <f>INDEX('M04-S08'!$AC$16:$AC$198,2*(ROWS($I$164:I175)-1)+1)*INDEX('M04-S08'!$AI$16:$AI$198,2*(ROWS($I$164:I175)-1)+1)</f>
        <v>0</v>
      </c>
      <c r="J175" s="107">
        <f>INDEX('M04-S08'!$AK$16:$AK$198,2*(ROWS($J$164:J175)-1)+1)</f>
        <v>0</v>
      </c>
      <c r="K175" s="63" t="str">
        <f>IFERROR(IF(J175&lt;&gt;"",INDEX(CMELIGHT[Cost Basis],MATCH("Ext Lighting",CMELIGHT[End Use Category],0)),""),"")</f>
        <v>Incremental</v>
      </c>
      <c r="L175" s="277">
        <f>IF(ISNUMBER(INDEX('M04-S08'!$AN$16:$AN$198,2*(ROWS($O$164:O175)-1)+1)),INDEX('M04-S08'!$AC$16:$AC$198,2*(ROWS($L$164:L175)-1)+1),0)</f>
        <v>0</v>
      </c>
      <c r="M175" s="277">
        <f>IF(ISNUMBER(INDEX('M04-S08'!$AN$16:$AN$198,2*(ROWS($O$164:O175)-1)+1)),INDEX('M04-S08'!$AZ$16:$AZ$198,2*(ROWS($M$164:M175)-1)+1),0)</f>
        <v>0</v>
      </c>
      <c r="N175" s="335">
        <f>IF(ISNUMBER(INDEX('M04-S08'!$AN$16:$AN$198,2*(ROWS($O$164:O175)-1)+1)),INDEX('M04-S08'!$AV$16:$AV$198,2*(ROWS($N$164:N175)-1)+1),0)</f>
        <v>0</v>
      </c>
      <c r="O175" s="107">
        <f>IF(ISNUMBER(INDEX('M04-S08'!$AN$16:$AN$198,2*(ROWS($O$164:O175)-1)+1)),INDEX('M04-S08'!$AN$16:$AN$198,2*(ROWS($O$164:O175)-1)+1),0)</f>
        <v>0</v>
      </c>
      <c r="P175" s="277">
        <f>IFERROR(IF(NOT(ISNUMBER(INDEX('M04-S08'!$AN$16:$AN$198,2*(ROWS($O$164:O175)-1)+1))),INDEX('M04-S08'!$AZ$16:$AZ$198,2*(ROWS($O$164:O175)-1)+1),0),"")</f>
        <v>0</v>
      </c>
      <c r="Q175" s="335">
        <f>IFERROR(IF(NOT(ISNUMBER(INDEX('M04-S08'!$AN$16:$AN$198,2*(ROWS($O$164:O175)-1)+1))),INDEX('M04-S08'!$AV$16:$AV$198,2*(ROWS($O$164:O175)-1)+1),0),"")</f>
        <v>0</v>
      </c>
      <c r="R175" s="63" t="str">
        <f>IFERROR(IF(NOT(ISNUMBER(INDEX('M04-S08'!$AN$16:$AN$198,2*(ROWS($O$164:O175)-1)+1))),INDEX( SPILLOVER[Spillover Reason],MATCH(INDEX('M04-S08'!$BC$16:$BC$198,2*(ROWS($O$164:O175)-1)+1), SPILLOVER[Spillover Text],0)),""),"")</f>
        <v/>
      </c>
      <c r="S175" s="282">
        <f>INDEX('M04-S08'!$R$16:$R$198,2*(ROWS($S$164:S175)-1)+1)</f>
        <v>0</v>
      </c>
      <c r="T175" s="282">
        <f>INDEX('M04-S08'!$AE$16:$AE$198,2*(ROWS($T$164:T175)-1)+1)</f>
        <v>0</v>
      </c>
      <c r="U175" s="277">
        <f>INDEX('M04-S08'!$B$16:$B$198,2*(ROWS($U$164:U175)-1)+1)</f>
        <v>12</v>
      </c>
      <c r="V175" s="104">
        <f>INDEX('M04-S08'!$I$16:$I$198,2*(ROWS($V$164:V175)-1)+1)</f>
        <v>0</v>
      </c>
      <c r="W175" s="104">
        <f>INDEX('M04-S08'!$V$16:$V$198,2*(ROWS($W$164:W175)-1)+1)</f>
        <v>0</v>
      </c>
      <c r="X175" s="63">
        <f>INDEX('M04-S08'!$M$16:$M$198,2*(ROWS($X$164:X175)-1)+1)</f>
        <v>0</v>
      </c>
      <c r="Y175" s="63">
        <f>INDEX('M04-S08'!$Z$16:$Z$198,2*(ROWS($Y$164:Y175)-1)+1)</f>
        <v>0</v>
      </c>
      <c r="Z175" s="254"/>
      <c r="AA175" s="63" t="str">
        <f>IFERROR(INDEX(CMLIGHTBASE[Measure Subgroup 1],MATCH(INDEX('M04-S08'!$I$16:$I$198,2*(ROWS($V$164:V175)-1)+1),CMLIGHTBASE[Base Desc 1],0)),"")</f>
        <v/>
      </c>
      <c r="AB175" s="63" t="str">
        <f>IFERROR(INDEX(CMLIGHTBASE[Measure Subgroup 2],MATCH(INDEX('M04-S08'!$I$16:$I$198,2*(ROWS($V$164:V175)-1)+1),CMLIGHTBASE[Base Desc 1],0)),"")</f>
        <v/>
      </c>
      <c r="AC175" s="63" t="str">
        <f>IFERROR(INDEX(CMLIGHTEFF[Measure Subgroup 1],MATCH(INDEX('M04-S08'!$V$16:$V$198,2*(ROWS($W$164:W175)-1)+1),CMLIGHTEFF[Eff Desc 1],0)),"")</f>
        <v/>
      </c>
      <c r="AD175" s="63" t="str">
        <f>IFERROR(INDEX(CMLIGHTEFF[Measure Subgroup 2],MATCH(INDEX('M04-S08'!$V$16:$V$198,2*(ROWS($W$164:W175)-1)+1),CMLIGHTEFF[Eff Desc 1],0)),"")</f>
        <v/>
      </c>
      <c r="AE175" s="277">
        <f>IF(NOT(ISNUMBER(INDEX('M04-S08'!$AN$16:$AN$198,2*(ROWS($O$164:O175)-1)+1))),INDEX('M04-S08'!$AC$16:$AC$198,2*(ROWS($L$164:L175)-1)+1),0)</f>
        <v>0</v>
      </c>
      <c r="AF175" s="277">
        <f>INDEX('M04-S08'!$AW$16:$AW$198,2*(ROWS($AF$164:AF175)-1)+1)</f>
        <v>0</v>
      </c>
      <c r="AG175" s="277">
        <f>INDEX('M04-S08'!$AX$16:$AX$198,2*(ROWS($AG$164:AG175)-1)+1)</f>
        <v>0</v>
      </c>
      <c r="AH175" s="277" t="str">
        <f t="shared" si="92"/>
        <v/>
      </c>
      <c r="AI175" s="277" t="str">
        <f t="shared" si="93"/>
        <v/>
      </c>
      <c r="AJ175" s="107" t="str">
        <f t="shared" si="94"/>
        <v/>
      </c>
      <c r="AK175" s="107" t="str">
        <f t="shared" si="95"/>
        <v/>
      </c>
      <c r="AL175" s="107" t="str">
        <f t="shared" si="96"/>
        <v/>
      </c>
      <c r="AM175" s="107">
        <f>INDEX('M04-S08'!$AU$16:$AU$198,2*(ROWS($AM$164:AM175)-1)+1)</f>
        <v>0</v>
      </c>
      <c r="AN175" s="107">
        <f>INDEX('M04-S08'!$BB$16:$BB$198,2*(ROWS($AN$164:AN175)-1)+1)</f>
        <v>0</v>
      </c>
      <c r="AO175" s="277">
        <f>INDEX('M04-S08'!$P$16:$P$198,2*(ROWS($AO$164:AO175)-1)+1)</f>
        <v>0</v>
      </c>
      <c r="AP175" s="278"/>
      <c r="AQ175" s="278"/>
    </row>
    <row r="176" spans="1:44" x14ac:dyDescent="0.25">
      <c r="A176" s="118">
        <f t="shared" si="89"/>
        <v>0</v>
      </c>
      <c r="B176" s="118" t="str">
        <f t="shared" si="90"/>
        <v/>
      </c>
      <c r="C176" s="118" t="str">
        <f>IF(J176&gt;0,INDEX('M04-S08'!$AY$16:$AY$198,2*(ROWS($C$164:C176)-1)+1),"")</f>
        <v/>
      </c>
      <c r="D176" s="63" t="str">
        <f t="shared" si="91"/>
        <v>Custom Ext Lighting</v>
      </c>
      <c r="E176" s="301" t="s">
        <v>592</v>
      </c>
      <c r="F176" s="277">
        <f>IF(J176&lt;&gt;"",INDEX('M04-S08'!$T$16:$T$198,2*(ROWS($F$164:F176)-1)+1),"")</f>
        <v>0</v>
      </c>
      <c r="G176" s="63">
        <f>INDEX('M04-S08'!$C$16:$C$198,2*(ROWS($G$164:G176)-1)+1)</f>
        <v>0</v>
      </c>
      <c r="H176" s="107">
        <f>INDEX('M04-S08'!$AC$16:$AC$198,2*(ROWS($H$164:H176)-1)+1)*INDEX('M04-S08'!$AG$16:$AG$198,2*(ROWS($H$164:H176)-1)+1)</f>
        <v>0</v>
      </c>
      <c r="I176" s="107">
        <f>INDEX('M04-S08'!$AC$16:$AC$198,2*(ROWS($I$164:I176)-1)+1)*INDEX('M04-S08'!$AI$16:$AI$198,2*(ROWS($I$164:I176)-1)+1)</f>
        <v>0</v>
      </c>
      <c r="J176" s="107">
        <f>INDEX('M04-S08'!$AK$16:$AK$198,2*(ROWS($J$164:J176)-1)+1)</f>
        <v>0</v>
      </c>
      <c r="K176" s="63" t="str">
        <f>IFERROR(IF(J176&lt;&gt;"",INDEX(CMELIGHT[Cost Basis],MATCH("Ext Lighting",CMELIGHT[End Use Category],0)),""),"")</f>
        <v>Incremental</v>
      </c>
      <c r="L176" s="277">
        <f>IF(ISNUMBER(INDEX('M04-S08'!$AN$16:$AN$198,2*(ROWS($O$164:O176)-1)+1)),INDEX('M04-S08'!$AC$16:$AC$198,2*(ROWS($L$164:L176)-1)+1),0)</f>
        <v>0</v>
      </c>
      <c r="M176" s="277">
        <f>IF(ISNUMBER(INDEX('M04-S08'!$AN$16:$AN$198,2*(ROWS($O$164:O176)-1)+1)),INDEX('M04-S08'!$AZ$16:$AZ$198,2*(ROWS($M$164:M176)-1)+1),0)</f>
        <v>0</v>
      </c>
      <c r="N176" s="335">
        <f>IF(ISNUMBER(INDEX('M04-S08'!$AN$16:$AN$198,2*(ROWS($O$164:O176)-1)+1)),INDEX('M04-S08'!$AV$16:$AV$198,2*(ROWS($N$164:N176)-1)+1),0)</f>
        <v>0</v>
      </c>
      <c r="O176" s="107">
        <f>IF(ISNUMBER(INDEX('M04-S08'!$AN$16:$AN$198,2*(ROWS($O$164:O176)-1)+1)),INDEX('M04-S08'!$AN$16:$AN$198,2*(ROWS($O$164:O176)-1)+1),0)</f>
        <v>0</v>
      </c>
      <c r="P176" s="277">
        <f>IFERROR(IF(NOT(ISNUMBER(INDEX('M04-S08'!$AN$16:$AN$198,2*(ROWS($O$164:O176)-1)+1))),INDEX('M04-S08'!$AZ$16:$AZ$198,2*(ROWS($O$164:O176)-1)+1),0),"")</f>
        <v>0</v>
      </c>
      <c r="Q176" s="335">
        <f>IFERROR(IF(NOT(ISNUMBER(INDEX('M04-S08'!$AN$16:$AN$198,2*(ROWS($O$164:O176)-1)+1))),INDEX('M04-S08'!$AV$16:$AV$198,2*(ROWS($O$164:O176)-1)+1),0),"")</f>
        <v>0</v>
      </c>
      <c r="R176" s="63" t="str">
        <f>IFERROR(IF(NOT(ISNUMBER(INDEX('M04-S08'!$AN$16:$AN$198,2*(ROWS($O$164:O176)-1)+1))),INDEX( SPILLOVER[Spillover Reason],MATCH(INDEX('M04-S08'!$BC$16:$BC$198,2*(ROWS($O$164:O176)-1)+1), SPILLOVER[Spillover Text],0)),""),"")</f>
        <v/>
      </c>
      <c r="S176" s="282">
        <f>INDEX('M04-S08'!$R$16:$R$198,2*(ROWS($S$164:S176)-1)+1)</f>
        <v>0</v>
      </c>
      <c r="T176" s="282">
        <f>INDEX('M04-S08'!$AE$16:$AE$198,2*(ROWS($T$164:T176)-1)+1)</f>
        <v>0</v>
      </c>
      <c r="U176" s="277">
        <f>INDEX('M04-S08'!$B$16:$B$198,2*(ROWS($U$164:U176)-1)+1)</f>
        <v>13</v>
      </c>
      <c r="V176" s="104">
        <f>INDEX('M04-S08'!$I$16:$I$198,2*(ROWS($V$164:V176)-1)+1)</f>
        <v>0</v>
      </c>
      <c r="W176" s="104">
        <f>INDEX('M04-S08'!$V$16:$V$198,2*(ROWS($W$164:W176)-1)+1)</f>
        <v>0</v>
      </c>
      <c r="X176" s="63">
        <f>INDEX('M04-S08'!$M$16:$M$198,2*(ROWS($X$164:X176)-1)+1)</f>
        <v>0</v>
      </c>
      <c r="Y176" s="63">
        <f>INDEX('M04-S08'!$Z$16:$Z$198,2*(ROWS($Y$164:Y176)-1)+1)</f>
        <v>0</v>
      </c>
      <c r="Z176" s="254"/>
      <c r="AA176" s="63" t="str">
        <f>IFERROR(INDEX(CMLIGHTBASE[Measure Subgroup 1],MATCH(INDEX('M04-S08'!$I$16:$I$198,2*(ROWS($V$164:V176)-1)+1),CMLIGHTBASE[Base Desc 1],0)),"")</f>
        <v/>
      </c>
      <c r="AB176" s="63" t="str">
        <f>IFERROR(INDEX(CMLIGHTBASE[Measure Subgroup 2],MATCH(INDEX('M04-S08'!$I$16:$I$198,2*(ROWS($V$164:V176)-1)+1),CMLIGHTBASE[Base Desc 1],0)),"")</f>
        <v/>
      </c>
      <c r="AC176" s="63" t="str">
        <f>IFERROR(INDEX(CMLIGHTEFF[Measure Subgroup 1],MATCH(INDEX('M04-S08'!$V$16:$V$198,2*(ROWS($W$164:W176)-1)+1),CMLIGHTEFF[Eff Desc 1],0)),"")</f>
        <v/>
      </c>
      <c r="AD176" s="63" t="str">
        <f>IFERROR(INDEX(CMLIGHTEFF[Measure Subgroup 2],MATCH(INDEX('M04-S08'!$V$16:$V$198,2*(ROWS($W$164:W176)-1)+1),CMLIGHTEFF[Eff Desc 1],0)),"")</f>
        <v/>
      </c>
      <c r="AE176" s="277">
        <f>IF(NOT(ISNUMBER(INDEX('M04-S08'!$AN$16:$AN$198,2*(ROWS($O$164:O176)-1)+1))),INDEX('M04-S08'!$AC$16:$AC$198,2*(ROWS($L$164:L176)-1)+1),0)</f>
        <v>0</v>
      </c>
      <c r="AF176" s="277">
        <f>INDEX('M04-S08'!$AW$16:$AW$198,2*(ROWS($AF$164:AF176)-1)+1)</f>
        <v>0</v>
      </c>
      <c r="AG176" s="277">
        <f>INDEX('M04-S08'!$AX$16:$AX$198,2*(ROWS($AG$164:AG176)-1)+1)</f>
        <v>0</v>
      </c>
      <c r="AH176" s="277" t="str">
        <f t="shared" si="92"/>
        <v/>
      </c>
      <c r="AI176" s="277" t="str">
        <f t="shared" si="93"/>
        <v/>
      </c>
      <c r="AJ176" s="107" t="str">
        <f t="shared" si="94"/>
        <v/>
      </c>
      <c r="AK176" s="107" t="str">
        <f t="shared" si="95"/>
        <v/>
      </c>
      <c r="AL176" s="107" t="str">
        <f t="shared" si="96"/>
        <v/>
      </c>
      <c r="AM176" s="107">
        <f>INDEX('M04-S08'!$AU$16:$AU$198,2*(ROWS($AM$164:AM176)-1)+1)</f>
        <v>0</v>
      </c>
      <c r="AN176" s="107">
        <f>INDEX('M04-S08'!$BB$16:$BB$198,2*(ROWS($AN$164:AN176)-1)+1)</f>
        <v>0</v>
      </c>
      <c r="AO176" s="277">
        <f>INDEX('M04-S08'!$P$16:$P$198,2*(ROWS($AO$164:AO176)-1)+1)</f>
        <v>0</v>
      </c>
      <c r="AP176" s="278"/>
      <c r="AQ176" s="278"/>
    </row>
    <row r="177" spans="1:44" x14ac:dyDescent="0.25">
      <c r="A177" s="118">
        <f t="shared" si="89"/>
        <v>0</v>
      </c>
      <c r="B177" s="118" t="str">
        <f t="shared" si="90"/>
        <v/>
      </c>
      <c r="C177" s="118" t="str">
        <f>IF(J177&gt;0,INDEX('M04-S08'!$AY$16:$AY$198,2*(ROWS($C$164:C177)-1)+1),"")</f>
        <v/>
      </c>
      <c r="D177" s="63" t="str">
        <f t="shared" si="91"/>
        <v>Custom Ext Lighting</v>
      </c>
      <c r="E177" s="301" t="s">
        <v>592</v>
      </c>
      <c r="F177" s="277">
        <f>IF(J177&lt;&gt;"",INDEX('M04-S08'!$T$16:$T$198,2*(ROWS($F$164:F177)-1)+1),"")</f>
        <v>0</v>
      </c>
      <c r="G177" s="63">
        <f>INDEX('M04-S08'!$C$16:$C$198,2*(ROWS($G$164:G177)-1)+1)</f>
        <v>0</v>
      </c>
      <c r="H177" s="107">
        <f>INDEX('M04-S08'!$AC$16:$AC$198,2*(ROWS($H$164:H177)-1)+1)*INDEX('M04-S08'!$AG$16:$AG$198,2*(ROWS($H$164:H177)-1)+1)</f>
        <v>0</v>
      </c>
      <c r="I177" s="107">
        <f>INDEX('M04-S08'!$AC$16:$AC$198,2*(ROWS($I$164:I177)-1)+1)*INDEX('M04-S08'!$AI$16:$AI$198,2*(ROWS($I$164:I177)-1)+1)</f>
        <v>0</v>
      </c>
      <c r="J177" s="107">
        <f>INDEX('M04-S08'!$AK$16:$AK$198,2*(ROWS($J$164:J177)-1)+1)</f>
        <v>0</v>
      </c>
      <c r="K177" s="63" t="str">
        <f>IFERROR(IF(J177&lt;&gt;"",INDEX(CMELIGHT[Cost Basis],MATCH("Ext Lighting",CMELIGHT[End Use Category],0)),""),"")</f>
        <v>Incremental</v>
      </c>
      <c r="L177" s="277">
        <f>IF(ISNUMBER(INDEX('M04-S08'!$AN$16:$AN$198,2*(ROWS($O$164:O177)-1)+1)),INDEX('M04-S08'!$AC$16:$AC$198,2*(ROWS($L$164:L177)-1)+1),0)</f>
        <v>0</v>
      </c>
      <c r="M177" s="277">
        <f>IF(ISNUMBER(INDEX('M04-S08'!$AN$16:$AN$198,2*(ROWS($O$164:O177)-1)+1)),INDEX('M04-S08'!$AZ$16:$AZ$198,2*(ROWS($M$164:M177)-1)+1),0)</f>
        <v>0</v>
      </c>
      <c r="N177" s="335">
        <f>IF(ISNUMBER(INDEX('M04-S08'!$AN$16:$AN$198,2*(ROWS($O$164:O177)-1)+1)),INDEX('M04-S08'!$AV$16:$AV$198,2*(ROWS($N$164:N177)-1)+1),0)</f>
        <v>0</v>
      </c>
      <c r="O177" s="107">
        <f>IF(ISNUMBER(INDEX('M04-S08'!$AN$16:$AN$198,2*(ROWS($O$164:O177)-1)+1)),INDEX('M04-S08'!$AN$16:$AN$198,2*(ROWS($O$164:O177)-1)+1),0)</f>
        <v>0</v>
      </c>
      <c r="P177" s="277">
        <f>IFERROR(IF(NOT(ISNUMBER(INDEX('M04-S08'!$AN$16:$AN$198,2*(ROWS($O$164:O177)-1)+1))),INDEX('M04-S08'!$AZ$16:$AZ$198,2*(ROWS($O$164:O177)-1)+1),0),"")</f>
        <v>0</v>
      </c>
      <c r="Q177" s="335">
        <f>IFERROR(IF(NOT(ISNUMBER(INDEX('M04-S08'!$AN$16:$AN$198,2*(ROWS($O$164:O177)-1)+1))),INDEX('M04-S08'!$AV$16:$AV$198,2*(ROWS($O$164:O177)-1)+1),0),"")</f>
        <v>0</v>
      </c>
      <c r="R177" s="63" t="str">
        <f>IFERROR(IF(NOT(ISNUMBER(INDEX('M04-S08'!$AN$16:$AN$198,2*(ROWS($O$164:O177)-1)+1))),INDEX( SPILLOVER[Spillover Reason],MATCH(INDEX('M04-S08'!$BC$16:$BC$198,2*(ROWS($O$164:O177)-1)+1), SPILLOVER[Spillover Text],0)),""),"")</f>
        <v/>
      </c>
      <c r="S177" s="282">
        <f>INDEX('M04-S08'!$R$16:$R$198,2*(ROWS($S$164:S177)-1)+1)</f>
        <v>0</v>
      </c>
      <c r="T177" s="282">
        <f>INDEX('M04-S08'!$AE$16:$AE$198,2*(ROWS($T$164:T177)-1)+1)</f>
        <v>0</v>
      </c>
      <c r="U177" s="277">
        <f>INDEX('M04-S08'!$B$16:$B$198,2*(ROWS($U$164:U177)-1)+1)</f>
        <v>14</v>
      </c>
      <c r="V177" s="104">
        <f>INDEX('M04-S08'!$I$16:$I$198,2*(ROWS($V$164:V177)-1)+1)</f>
        <v>0</v>
      </c>
      <c r="W177" s="104">
        <f>INDEX('M04-S08'!$V$16:$V$198,2*(ROWS($W$164:W177)-1)+1)</f>
        <v>0</v>
      </c>
      <c r="X177" s="63">
        <f>INDEX('M04-S08'!$M$16:$M$198,2*(ROWS($X$164:X177)-1)+1)</f>
        <v>0</v>
      </c>
      <c r="Y177" s="63">
        <f>INDEX('M04-S08'!$Z$16:$Z$198,2*(ROWS($Y$164:Y177)-1)+1)</f>
        <v>0</v>
      </c>
      <c r="Z177" s="254"/>
      <c r="AA177" s="63" t="str">
        <f>IFERROR(INDEX(CMLIGHTBASE[Measure Subgroup 1],MATCH(INDEX('M04-S08'!$I$16:$I$198,2*(ROWS($V$164:V177)-1)+1),CMLIGHTBASE[Base Desc 1],0)),"")</f>
        <v/>
      </c>
      <c r="AB177" s="63" t="str">
        <f>IFERROR(INDEX(CMLIGHTBASE[Measure Subgroup 2],MATCH(INDEX('M04-S08'!$I$16:$I$198,2*(ROWS($V$164:V177)-1)+1),CMLIGHTBASE[Base Desc 1],0)),"")</f>
        <v/>
      </c>
      <c r="AC177" s="63" t="str">
        <f>IFERROR(INDEX(CMLIGHTEFF[Measure Subgroup 1],MATCH(INDEX('M04-S08'!$V$16:$V$198,2*(ROWS($W$164:W177)-1)+1),CMLIGHTEFF[Eff Desc 1],0)),"")</f>
        <v/>
      </c>
      <c r="AD177" s="63" t="str">
        <f>IFERROR(INDEX(CMLIGHTEFF[Measure Subgroup 2],MATCH(INDEX('M04-S08'!$V$16:$V$198,2*(ROWS($W$164:W177)-1)+1),CMLIGHTEFF[Eff Desc 1],0)),"")</f>
        <v/>
      </c>
      <c r="AE177" s="277">
        <f>IF(NOT(ISNUMBER(INDEX('M04-S08'!$AN$16:$AN$198,2*(ROWS($O$164:O177)-1)+1))),INDEX('M04-S08'!$AC$16:$AC$198,2*(ROWS($L$164:L177)-1)+1),0)</f>
        <v>0</v>
      </c>
      <c r="AF177" s="277">
        <f>INDEX('M04-S08'!$AW$16:$AW$198,2*(ROWS($AF$164:AF177)-1)+1)</f>
        <v>0</v>
      </c>
      <c r="AG177" s="277">
        <f>INDEX('M04-S08'!$AX$16:$AX$198,2*(ROWS($AG$164:AG177)-1)+1)</f>
        <v>0</v>
      </c>
      <c r="AH177" s="277" t="str">
        <f t="shared" si="92"/>
        <v/>
      </c>
      <c r="AI177" s="277" t="str">
        <f t="shared" si="93"/>
        <v/>
      </c>
      <c r="AJ177" s="107" t="str">
        <f t="shared" si="94"/>
        <v/>
      </c>
      <c r="AK177" s="107" t="str">
        <f t="shared" si="95"/>
        <v/>
      </c>
      <c r="AL177" s="107" t="str">
        <f t="shared" si="96"/>
        <v/>
      </c>
      <c r="AM177" s="107">
        <f>INDEX('M04-S08'!$AU$16:$AU$198,2*(ROWS($AM$164:AM177)-1)+1)</f>
        <v>0</v>
      </c>
      <c r="AN177" s="107">
        <f>INDEX('M04-S08'!$BB$16:$BB$198,2*(ROWS($AN$164:AN177)-1)+1)</f>
        <v>0</v>
      </c>
      <c r="AO177" s="277">
        <f>INDEX('M04-S08'!$P$16:$P$198,2*(ROWS($AO$164:AO177)-1)+1)</f>
        <v>0</v>
      </c>
      <c r="AP177" s="278"/>
      <c r="AQ177" s="278"/>
    </row>
    <row r="178" spans="1:44" x14ac:dyDescent="0.25">
      <c r="A178" s="118">
        <f t="shared" si="89"/>
        <v>0</v>
      </c>
      <c r="B178" s="118" t="str">
        <f t="shared" si="90"/>
        <v/>
      </c>
      <c r="C178" s="118" t="str">
        <f>IF(J178&gt;0,INDEX('M04-S08'!$AY$16:$AY$198,2*(ROWS($C$164:C178)-1)+1),"")</f>
        <v/>
      </c>
      <c r="D178" s="63" t="str">
        <f t="shared" si="91"/>
        <v>Custom Ext Lighting</v>
      </c>
      <c r="E178" s="301" t="s">
        <v>592</v>
      </c>
      <c r="F178" s="277">
        <f>IF(J178&lt;&gt;"",INDEX('M04-S08'!$T$16:$T$198,2*(ROWS($F$164:F178)-1)+1),"")</f>
        <v>0</v>
      </c>
      <c r="G178" s="63">
        <f>INDEX('M04-S08'!$C$16:$C$198,2*(ROWS($G$164:G178)-1)+1)</f>
        <v>0</v>
      </c>
      <c r="H178" s="107">
        <f>INDEX('M04-S08'!$AC$16:$AC$198,2*(ROWS($H$164:H178)-1)+1)*INDEX('M04-S08'!$AG$16:$AG$198,2*(ROWS($H$164:H178)-1)+1)</f>
        <v>0</v>
      </c>
      <c r="I178" s="107">
        <f>INDEX('M04-S08'!$AC$16:$AC$198,2*(ROWS($I$164:I178)-1)+1)*INDEX('M04-S08'!$AI$16:$AI$198,2*(ROWS($I$164:I178)-1)+1)</f>
        <v>0</v>
      </c>
      <c r="J178" s="107">
        <f>INDEX('M04-S08'!$AK$16:$AK$198,2*(ROWS($J$164:J178)-1)+1)</f>
        <v>0</v>
      </c>
      <c r="K178" s="63" t="str">
        <f>IFERROR(IF(J178&lt;&gt;"",INDEX(CMELIGHT[Cost Basis],MATCH("Ext Lighting",CMELIGHT[End Use Category],0)),""),"")</f>
        <v>Incremental</v>
      </c>
      <c r="L178" s="277">
        <f>IF(ISNUMBER(INDEX('M04-S08'!$AN$16:$AN$198,2*(ROWS($O$164:O178)-1)+1)),INDEX('M04-S08'!$AC$16:$AC$198,2*(ROWS($L$164:L178)-1)+1),0)</f>
        <v>0</v>
      </c>
      <c r="M178" s="277">
        <f>IF(ISNUMBER(INDEX('M04-S08'!$AN$16:$AN$198,2*(ROWS($O$164:O178)-1)+1)),INDEX('M04-S08'!$AZ$16:$AZ$198,2*(ROWS($M$164:M178)-1)+1),0)</f>
        <v>0</v>
      </c>
      <c r="N178" s="335">
        <f>IF(ISNUMBER(INDEX('M04-S08'!$AN$16:$AN$198,2*(ROWS($O$164:O178)-1)+1)),INDEX('M04-S08'!$AV$16:$AV$198,2*(ROWS($N$164:N178)-1)+1),0)</f>
        <v>0</v>
      </c>
      <c r="O178" s="107">
        <f>IF(ISNUMBER(INDEX('M04-S08'!$AN$16:$AN$198,2*(ROWS($O$164:O178)-1)+1)),INDEX('M04-S08'!$AN$16:$AN$198,2*(ROWS($O$164:O178)-1)+1),0)</f>
        <v>0</v>
      </c>
      <c r="P178" s="277">
        <f>IFERROR(IF(NOT(ISNUMBER(INDEX('M04-S08'!$AN$16:$AN$198,2*(ROWS($O$164:O178)-1)+1))),INDEX('M04-S08'!$AZ$16:$AZ$198,2*(ROWS($O$164:O178)-1)+1),0),"")</f>
        <v>0</v>
      </c>
      <c r="Q178" s="335">
        <f>IFERROR(IF(NOT(ISNUMBER(INDEX('M04-S08'!$AN$16:$AN$198,2*(ROWS($O$164:O178)-1)+1))),INDEX('M04-S08'!$AV$16:$AV$198,2*(ROWS($O$164:O178)-1)+1),0),"")</f>
        <v>0</v>
      </c>
      <c r="R178" s="63" t="str">
        <f>IFERROR(IF(NOT(ISNUMBER(INDEX('M04-S08'!$AN$16:$AN$198,2*(ROWS($O$164:O178)-1)+1))),INDEX( SPILLOVER[Spillover Reason],MATCH(INDEX('M04-S08'!$BC$16:$BC$198,2*(ROWS($O$164:O178)-1)+1), SPILLOVER[Spillover Text],0)),""),"")</f>
        <v/>
      </c>
      <c r="S178" s="282">
        <f>INDEX('M04-S08'!$R$16:$R$198,2*(ROWS($S$164:S178)-1)+1)</f>
        <v>0</v>
      </c>
      <c r="T178" s="282">
        <f>INDEX('M04-S08'!$AE$16:$AE$198,2*(ROWS($T$164:T178)-1)+1)</f>
        <v>0</v>
      </c>
      <c r="U178" s="277">
        <f>INDEX('M04-S08'!$B$16:$B$198,2*(ROWS($U$164:U178)-1)+1)</f>
        <v>15</v>
      </c>
      <c r="V178" s="104">
        <f>INDEX('M04-S08'!$I$16:$I$198,2*(ROWS($V$164:V178)-1)+1)</f>
        <v>0</v>
      </c>
      <c r="W178" s="104">
        <f>INDEX('M04-S08'!$V$16:$V$198,2*(ROWS($W$164:W178)-1)+1)</f>
        <v>0</v>
      </c>
      <c r="X178" s="63">
        <f>INDEX('M04-S08'!$M$16:$M$198,2*(ROWS($X$164:X178)-1)+1)</f>
        <v>0</v>
      </c>
      <c r="Y178" s="63">
        <f>INDEX('M04-S08'!$Z$16:$Z$198,2*(ROWS($Y$164:Y178)-1)+1)</f>
        <v>0</v>
      </c>
      <c r="Z178" s="254"/>
      <c r="AA178" s="63" t="str">
        <f>IFERROR(INDEX(CMLIGHTBASE[Measure Subgroup 1],MATCH(INDEX('M04-S08'!$I$16:$I$198,2*(ROWS($V$164:V178)-1)+1),CMLIGHTBASE[Base Desc 1],0)),"")</f>
        <v/>
      </c>
      <c r="AB178" s="63" t="str">
        <f>IFERROR(INDEX(CMLIGHTBASE[Measure Subgroup 2],MATCH(INDEX('M04-S08'!$I$16:$I$198,2*(ROWS($V$164:V178)-1)+1),CMLIGHTBASE[Base Desc 1],0)),"")</f>
        <v/>
      </c>
      <c r="AC178" s="63" t="str">
        <f>IFERROR(INDEX(CMLIGHTEFF[Measure Subgroup 1],MATCH(INDEX('M04-S08'!$V$16:$V$198,2*(ROWS($W$164:W178)-1)+1),CMLIGHTEFF[Eff Desc 1],0)),"")</f>
        <v/>
      </c>
      <c r="AD178" s="63" t="str">
        <f>IFERROR(INDEX(CMLIGHTEFF[Measure Subgroup 2],MATCH(INDEX('M04-S08'!$V$16:$V$198,2*(ROWS($W$164:W178)-1)+1),CMLIGHTEFF[Eff Desc 1],0)),"")</f>
        <v/>
      </c>
      <c r="AE178" s="277">
        <f>IF(NOT(ISNUMBER(INDEX('M04-S08'!$AN$16:$AN$198,2*(ROWS($O$164:O178)-1)+1))),INDEX('M04-S08'!$AC$16:$AC$198,2*(ROWS($L$164:L178)-1)+1),0)</f>
        <v>0</v>
      </c>
      <c r="AF178" s="277">
        <f>INDEX('M04-S08'!$AW$16:$AW$198,2*(ROWS($AF$164:AF178)-1)+1)</f>
        <v>0</v>
      </c>
      <c r="AG178" s="277">
        <f>INDEX('M04-S08'!$AX$16:$AX$198,2*(ROWS($AG$164:AG178)-1)+1)</f>
        <v>0</v>
      </c>
      <c r="AH178" s="277" t="str">
        <f t="shared" si="92"/>
        <v/>
      </c>
      <c r="AI178" s="277" t="str">
        <f t="shared" si="93"/>
        <v/>
      </c>
      <c r="AJ178" s="107" t="str">
        <f t="shared" si="94"/>
        <v/>
      </c>
      <c r="AK178" s="107" t="str">
        <f t="shared" si="95"/>
        <v/>
      </c>
      <c r="AL178" s="107" t="str">
        <f t="shared" si="96"/>
        <v/>
      </c>
      <c r="AM178" s="107">
        <f>INDEX('M04-S08'!$AU$16:$AU$198,2*(ROWS($AM$164:AM178)-1)+1)</f>
        <v>0</v>
      </c>
      <c r="AN178" s="107">
        <f>INDEX('M04-S08'!$BB$16:$BB$198,2*(ROWS($AN$164:AN178)-1)+1)</f>
        <v>0</v>
      </c>
      <c r="AO178" s="277">
        <f>INDEX('M04-S08'!$P$16:$P$198,2*(ROWS($AO$164:AO178)-1)+1)</f>
        <v>0</v>
      </c>
      <c r="AP178" s="278"/>
      <c r="AQ178" s="278"/>
    </row>
    <row r="179" spans="1:44" hidden="1" x14ac:dyDescent="0.25">
      <c r="A179" s="317"/>
      <c r="B179" s="317"/>
      <c r="C179" s="317"/>
      <c r="D179" s="318"/>
      <c r="E179" s="317"/>
      <c r="F179" s="319"/>
      <c r="G179" s="318"/>
      <c r="H179" s="320"/>
      <c r="I179" s="320"/>
      <c r="J179" s="320"/>
      <c r="K179" s="318"/>
      <c r="L179" s="319"/>
      <c r="M179" s="319"/>
      <c r="N179" s="338"/>
      <c r="O179" s="320"/>
      <c r="P179" s="319"/>
      <c r="Q179" s="338"/>
      <c r="R179" s="318"/>
      <c r="S179" s="321"/>
      <c r="T179" s="321"/>
      <c r="U179" s="319"/>
      <c r="V179" s="318"/>
      <c r="W179" s="318"/>
      <c r="X179" s="318"/>
      <c r="Y179" s="318"/>
      <c r="Z179" s="318"/>
      <c r="AA179" s="318"/>
      <c r="AB179" s="318"/>
      <c r="AC179" s="318"/>
      <c r="AD179" s="318"/>
      <c r="AE179" s="319"/>
      <c r="AF179" s="319"/>
      <c r="AG179" s="319"/>
      <c r="AH179" s="319"/>
      <c r="AI179" s="319"/>
      <c r="AJ179" s="320"/>
      <c r="AK179" s="320"/>
      <c r="AL179" s="320"/>
      <c r="AM179" s="320"/>
      <c r="AN179" s="320"/>
      <c r="AO179" s="319"/>
      <c r="AP179" s="320"/>
      <c r="AQ179" s="319"/>
    </row>
    <row r="180" spans="1:44" hidden="1" x14ac:dyDescent="0.25">
      <c r="R180"/>
      <c r="V180"/>
      <c r="W180"/>
      <c r="Z180"/>
      <c r="AP180"/>
      <c r="AQ180" s="63"/>
      <c r="AR180" s="63"/>
    </row>
    <row r="181" spans="1:44" hidden="1" x14ac:dyDescent="0.25">
      <c r="R181"/>
      <c r="V181"/>
      <c r="W181"/>
      <c r="Z181"/>
      <c r="AP181"/>
      <c r="AQ181" s="63"/>
      <c r="AR181" s="63"/>
    </row>
    <row r="182" spans="1:44" hidden="1" x14ac:dyDescent="0.25">
      <c r="R182"/>
      <c r="V182"/>
      <c r="W182"/>
      <c r="Z182"/>
      <c r="AP182"/>
      <c r="AQ182" s="63"/>
      <c r="AR182" s="63"/>
    </row>
    <row r="183" spans="1:44" hidden="1" x14ac:dyDescent="0.25">
      <c r="R183"/>
      <c r="V183"/>
      <c r="W183"/>
      <c r="Z183"/>
      <c r="AP183"/>
      <c r="AQ183" s="63"/>
      <c r="AR183" s="63"/>
    </row>
    <row r="184" spans="1:44" hidden="1" x14ac:dyDescent="0.25">
      <c r="R184"/>
      <c r="V184"/>
      <c r="W184"/>
      <c r="Z184"/>
      <c r="AP184"/>
      <c r="AQ184" s="63"/>
      <c r="AR184" s="63"/>
    </row>
    <row r="185" spans="1:44" hidden="1" x14ac:dyDescent="0.25">
      <c r="R185"/>
      <c r="V185"/>
      <c r="W185"/>
      <c r="Z185"/>
      <c r="AP185"/>
      <c r="AQ185" s="63"/>
      <c r="AR185" s="63"/>
    </row>
    <row r="186" spans="1:44" hidden="1" x14ac:dyDescent="0.25">
      <c r="R186"/>
      <c r="V186"/>
      <c r="W186"/>
      <c r="Z186"/>
      <c r="AP186"/>
      <c r="AQ186" s="63"/>
      <c r="AR186" s="63"/>
    </row>
    <row r="187" spans="1:44" hidden="1" x14ac:dyDescent="0.25">
      <c r="R187"/>
      <c r="V187"/>
      <c r="W187"/>
      <c r="Z187"/>
      <c r="AP187"/>
      <c r="AQ187" s="63"/>
      <c r="AR187" s="63"/>
    </row>
    <row r="188" spans="1:44" hidden="1" x14ac:dyDescent="0.25">
      <c r="R188"/>
      <c r="V188"/>
      <c r="W188"/>
      <c r="Z188"/>
      <c r="AP188"/>
      <c r="AQ188" s="63"/>
      <c r="AR188" s="63"/>
    </row>
    <row r="189" spans="1:44" hidden="1" x14ac:dyDescent="0.25">
      <c r="R189"/>
      <c r="V189"/>
      <c r="W189"/>
      <c r="Z189"/>
      <c r="AP189"/>
      <c r="AQ189" s="63"/>
      <c r="AR189" s="63"/>
    </row>
    <row r="190" spans="1:44" hidden="1" x14ac:dyDescent="0.25">
      <c r="R190"/>
      <c r="V190"/>
      <c r="W190"/>
      <c r="Z190"/>
      <c r="AP190"/>
      <c r="AQ190" s="63"/>
      <c r="AR190" s="63"/>
    </row>
    <row r="191" spans="1:44" hidden="1" x14ac:dyDescent="0.25">
      <c r="R191"/>
      <c r="V191"/>
      <c r="W191"/>
      <c r="Z191"/>
      <c r="AP191"/>
      <c r="AQ191" s="63"/>
      <c r="AR191" s="63"/>
    </row>
    <row r="192" spans="1:44" hidden="1" x14ac:dyDescent="0.25">
      <c r="R192"/>
      <c r="V192"/>
      <c r="W192"/>
      <c r="Z192"/>
      <c r="AP192"/>
      <c r="AQ192" s="63"/>
      <c r="AR192" s="63"/>
    </row>
    <row r="193" spans="18:44" hidden="1" x14ac:dyDescent="0.25">
      <c r="R193"/>
      <c r="V193"/>
      <c r="W193"/>
      <c r="Z193"/>
      <c r="AP193"/>
      <c r="AQ193" s="63"/>
      <c r="AR193" s="63"/>
    </row>
    <row r="194" spans="18:44" hidden="1" x14ac:dyDescent="0.25">
      <c r="R194"/>
      <c r="V194"/>
      <c r="W194"/>
      <c r="Z194"/>
      <c r="AP194"/>
      <c r="AQ194" s="63"/>
      <c r="AR194" s="63"/>
    </row>
    <row r="195" spans="18:44" hidden="1" x14ac:dyDescent="0.25">
      <c r="R195"/>
      <c r="V195"/>
      <c r="W195"/>
      <c r="Z195"/>
      <c r="AP195"/>
      <c r="AQ195" s="63"/>
      <c r="AR195" s="63"/>
    </row>
    <row r="196" spans="18:44" hidden="1" x14ac:dyDescent="0.25">
      <c r="R196"/>
      <c r="V196"/>
      <c r="W196"/>
      <c r="Z196"/>
      <c r="AP196"/>
      <c r="AQ196" s="63"/>
      <c r="AR196" s="63"/>
    </row>
    <row r="197" spans="18:44" hidden="1" x14ac:dyDescent="0.25">
      <c r="R197"/>
      <c r="V197"/>
      <c r="W197"/>
      <c r="Z197"/>
      <c r="AP197"/>
      <c r="AQ197" s="63"/>
      <c r="AR197" s="63"/>
    </row>
    <row r="198" spans="18:44" hidden="1" x14ac:dyDescent="0.25">
      <c r="R198"/>
      <c r="V198"/>
      <c r="W198"/>
      <c r="Z198"/>
      <c r="AP198"/>
      <c r="AQ198" s="63"/>
      <c r="AR198" s="63"/>
    </row>
    <row r="199" spans="18:44" hidden="1" x14ac:dyDescent="0.25">
      <c r="R199"/>
      <c r="V199"/>
      <c r="W199"/>
      <c r="Z199"/>
      <c r="AP199"/>
      <c r="AQ199" s="63"/>
      <c r="AR199" s="63"/>
    </row>
    <row r="200" spans="18:44" hidden="1" x14ac:dyDescent="0.25">
      <c r="R200"/>
      <c r="V200"/>
      <c r="W200"/>
      <c r="Z200"/>
      <c r="AP200"/>
      <c r="AQ200" s="63"/>
      <c r="AR200" s="63"/>
    </row>
    <row r="201" spans="18:44" hidden="1" x14ac:dyDescent="0.25">
      <c r="R201"/>
      <c r="V201"/>
      <c r="W201"/>
      <c r="Z201"/>
      <c r="AP201"/>
      <c r="AQ201" s="63"/>
      <c r="AR201" s="63"/>
    </row>
    <row r="202" spans="18:44" hidden="1" x14ac:dyDescent="0.25">
      <c r="R202"/>
      <c r="V202"/>
      <c r="W202"/>
      <c r="Z202"/>
      <c r="AP202"/>
      <c r="AQ202" s="63"/>
      <c r="AR202" s="63"/>
    </row>
    <row r="203" spans="18:44" hidden="1" x14ac:dyDescent="0.25">
      <c r="R203"/>
      <c r="V203"/>
      <c r="W203"/>
      <c r="Z203"/>
      <c r="AP203"/>
      <c r="AQ203" s="63"/>
      <c r="AR203" s="63"/>
    </row>
    <row r="204" spans="18:44" hidden="1" x14ac:dyDescent="0.25">
      <c r="R204"/>
      <c r="V204"/>
      <c r="W204"/>
      <c r="Z204"/>
      <c r="AP204"/>
      <c r="AQ204" s="63"/>
      <c r="AR204" s="63"/>
    </row>
    <row r="205" spans="18:44" hidden="1" x14ac:dyDescent="0.25">
      <c r="R205"/>
      <c r="V205"/>
      <c r="W205"/>
      <c r="Z205"/>
      <c r="AP205"/>
      <c r="AQ205" s="63"/>
      <c r="AR205" s="63"/>
    </row>
    <row r="206" spans="18:44" hidden="1" x14ac:dyDescent="0.25">
      <c r="R206"/>
      <c r="V206"/>
      <c r="W206"/>
      <c r="Z206"/>
      <c r="AP206"/>
      <c r="AQ206" s="63"/>
      <c r="AR206" s="63"/>
    </row>
    <row r="207" spans="18:44" hidden="1" x14ac:dyDescent="0.25">
      <c r="R207"/>
      <c r="V207"/>
      <c r="W207"/>
      <c r="Z207"/>
      <c r="AP207"/>
      <c r="AQ207" s="63"/>
      <c r="AR207" s="63"/>
    </row>
    <row r="208" spans="18:44" hidden="1" x14ac:dyDescent="0.25">
      <c r="R208"/>
      <c r="V208"/>
      <c r="W208"/>
      <c r="Z208"/>
      <c r="AP208"/>
      <c r="AQ208" s="63"/>
      <c r="AR208" s="63"/>
    </row>
    <row r="209" spans="18:44" hidden="1" x14ac:dyDescent="0.25">
      <c r="R209"/>
      <c r="V209"/>
      <c r="W209"/>
      <c r="Z209"/>
      <c r="AP209"/>
      <c r="AQ209" s="63"/>
      <c r="AR209" s="63"/>
    </row>
    <row r="210" spans="18:44" hidden="1" x14ac:dyDescent="0.25">
      <c r="R210"/>
      <c r="V210"/>
      <c r="W210"/>
      <c r="Z210"/>
      <c r="AP210"/>
      <c r="AQ210" s="63"/>
      <c r="AR210" s="63"/>
    </row>
    <row r="211" spans="18:44" hidden="1" x14ac:dyDescent="0.25">
      <c r="R211"/>
      <c r="V211"/>
      <c r="W211"/>
      <c r="Z211"/>
      <c r="AP211"/>
      <c r="AQ211" s="63"/>
      <c r="AR211" s="63"/>
    </row>
    <row r="212" spans="18:44" hidden="1" x14ac:dyDescent="0.25">
      <c r="R212"/>
      <c r="V212"/>
      <c r="W212"/>
      <c r="Z212"/>
      <c r="AP212"/>
      <c r="AQ212" s="63"/>
      <c r="AR212" s="63"/>
    </row>
    <row r="213" spans="18:44" hidden="1" x14ac:dyDescent="0.25">
      <c r="R213"/>
      <c r="V213"/>
      <c r="W213"/>
      <c r="Z213"/>
      <c r="AP213"/>
      <c r="AQ213" s="63"/>
      <c r="AR213" s="63"/>
    </row>
    <row r="214" spans="18:44" hidden="1" x14ac:dyDescent="0.25">
      <c r="R214"/>
      <c r="V214"/>
      <c r="W214"/>
      <c r="Z214"/>
      <c r="AP214"/>
      <c r="AQ214" s="63"/>
      <c r="AR214" s="63"/>
    </row>
    <row r="215" spans="18:44" hidden="1" x14ac:dyDescent="0.25">
      <c r="R215"/>
      <c r="V215"/>
      <c r="W215"/>
      <c r="Z215"/>
      <c r="AP215"/>
      <c r="AQ215" s="63"/>
      <c r="AR215" s="63"/>
    </row>
    <row r="216" spans="18:44" hidden="1" x14ac:dyDescent="0.25">
      <c r="R216"/>
      <c r="V216"/>
      <c r="W216"/>
      <c r="Z216"/>
      <c r="AP216"/>
      <c r="AQ216" s="63"/>
      <c r="AR216" s="63"/>
    </row>
    <row r="217" spans="18:44" hidden="1" x14ac:dyDescent="0.25">
      <c r="R217"/>
      <c r="V217"/>
      <c r="W217"/>
      <c r="Z217"/>
      <c r="AP217"/>
      <c r="AQ217" s="63"/>
      <c r="AR217" s="63"/>
    </row>
    <row r="218" spans="18:44" hidden="1" x14ac:dyDescent="0.25">
      <c r="R218"/>
      <c r="V218"/>
      <c r="W218"/>
      <c r="Z218"/>
      <c r="AP218"/>
      <c r="AQ218" s="63"/>
      <c r="AR218" s="63"/>
    </row>
    <row r="219" spans="18:44" hidden="1" x14ac:dyDescent="0.25">
      <c r="R219"/>
      <c r="V219"/>
      <c r="W219"/>
      <c r="Z219"/>
      <c r="AP219"/>
      <c r="AQ219" s="63"/>
      <c r="AR219" s="63"/>
    </row>
    <row r="220" spans="18:44" hidden="1" x14ac:dyDescent="0.25">
      <c r="R220"/>
      <c r="V220"/>
      <c r="W220"/>
      <c r="Z220"/>
      <c r="AP220"/>
      <c r="AQ220" s="63"/>
      <c r="AR220" s="63"/>
    </row>
    <row r="221" spans="18:44" hidden="1" x14ac:dyDescent="0.25">
      <c r="R221"/>
      <c r="V221"/>
      <c r="W221"/>
      <c r="Z221"/>
      <c r="AP221"/>
      <c r="AQ221" s="63"/>
      <c r="AR221" s="63"/>
    </row>
    <row r="222" spans="18:44" hidden="1" x14ac:dyDescent="0.25">
      <c r="R222"/>
      <c r="V222"/>
      <c r="W222"/>
      <c r="Z222"/>
      <c r="AP222"/>
      <c r="AQ222" s="63"/>
      <c r="AR222" s="63"/>
    </row>
    <row r="223" spans="18:44" hidden="1" x14ac:dyDescent="0.25">
      <c r="R223"/>
      <c r="V223"/>
      <c r="W223"/>
      <c r="Z223"/>
      <c r="AP223"/>
      <c r="AQ223" s="63"/>
      <c r="AR223" s="63"/>
    </row>
    <row r="224" spans="18:44" hidden="1" x14ac:dyDescent="0.25">
      <c r="R224"/>
      <c r="V224"/>
      <c r="W224"/>
      <c r="Z224"/>
      <c r="AP224"/>
      <c r="AQ224" s="63"/>
      <c r="AR224" s="63"/>
    </row>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sheetData>
  <sheetProtection algorithmName="SHA-512" hashValue="VwXwMTzuzSqczZ2wGPOcpRTRIZqcWjDVasOvLx0+2uHqtRV9l1llwETxjQ2PyYodSgJxJE50c+W1ggLyJaRltA==" saltValue="dEF1F9YarH3uYvWoCWPcEw==" spinCount="100000" sheet="1" objects="1" scenarios="1"/>
  <hyperlinks>
    <hyperlink ref="A3" location="'M03-S01'!A1" display="P-Electric Lighting" xr:uid="{00000000-0004-0000-0600-000000000000}"/>
    <hyperlink ref="A7" location="'M03-S02'!A1" display="P-Electric Lighting Controls" xr:uid="{00000000-0004-0000-0600-000001000000}"/>
    <hyperlink ref="A9" location="'M03-S03'!A1" display="P-Electric Refrigeration" xr:uid="{00000000-0004-0000-0600-000002000000}"/>
    <hyperlink ref="A14" location="'M03-S04'!A1" display="P-Electric Kitchen" xr:uid="{00000000-0004-0000-0600-000003000000}"/>
    <hyperlink ref="A30" location="'M03-S05'!A1" display="P-Electric Motor" xr:uid="{00000000-0004-0000-0600-000004000000}"/>
    <hyperlink ref="A62" location="'M04-S01'!A1" display="NP-Electric Light" xr:uid="{00000000-0004-0000-0600-000005000000}"/>
    <hyperlink ref="A78" location="'M04-S02'!A1" display="NP-Electric" xr:uid="{00000000-0004-0000-0600-000006000000}"/>
    <hyperlink ref="A83" location="'M04-S03'!A1" display="CM-Lighting Controls" xr:uid="{00000000-0004-0000-0600-000007000000}"/>
    <hyperlink ref="A99" location="'M04-S04'!A1" display="NP-Gas" xr:uid="{00000000-0004-0000-0600-000008000000}"/>
    <hyperlink ref="A115" location="'M04-S05'!A1" display="CM-Motor/VFD/Pump" xr:uid="{00000000-0004-0000-0600-000009000000}"/>
    <hyperlink ref="A131" location="'M04-S06'!A1" display="CM-Compressed Air" xr:uid="{00000000-0004-0000-0600-00000A000000}"/>
    <hyperlink ref="A147" location="'M04-S07'!A1" display="CM-Refrigeration" xr:uid="{00000000-0004-0000-0600-00000B000000}"/>
    <hyperlink ref="A163" location="'M04-S08'!A1" display="CM-Miscellaneous" xr:uid="{00000000-0004-0000-0600-00000C000000}"/>
    <hyperlink ref="A46" location="'M03-S06'!A1" display="'M03-S06'!A1" xr:uid="{00000000-0004-0000-0600-00000D00000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BC507"/>
  <sheetViews>
    <sheetView showGridLines="0" showRowColHeaders="0" tabSelected="1" zoomScale="85" zoomScaleNormal="85" workbookViewId="0">
      <selection activeCell="C6" sqref="C6"/>
    </sheetView>
  </sheetViews>
  <sheetFormatPr defaultColWidth="0" defaultRowHeight="15" customHeight="1" zeroHeight="1" x14ac:dyDescent="0.25"/>
  <cols>
    <col min="1" max="43" width="4.7109375" customWidth="1"/>
    <col min="44" max="44" width="4.85546875" customWidth="1"/>
    <col min="45" max="45" width="4.7109375" customWidth="1"/>
    <col min="46" max="16384" width="9.140625" hidden="1"/>
  </cols>
  <sheetData>
    <row r="1" spans="3:55" ht="15.95" customHeight="1" x14ac:dyDescent="0.3">
      <c r="AH1" s="711" t="s">
        <v>494</v>
      </c>
      <c r="AI1" s="712"/>
      <c r="AJ1" s="712"/>
      <c r="AK1" s="712"/>
      <c r="AL1" s="723" t="s">
        <v>911</v>
      </c>
      <c r="AM1" s="723"/>
      <c r="AN1" s="723"/>
      <c r="AO1" s="723"/>
      <c r="AP1" s="723"/>
      <c r="AQ1" s="717" t="s">
        <v>499</v>
      </c>
      <c r="AR1" s="718"/>
    </row>
    <row r="2" spans="3:55" ht="15.95" customHeight="1" x14ac:dyDescent="0.25">
      <c r="AH2" s="713" t="str">
        <f ca="1">INCENSTATUS</f>
        <v>---</v>
      </c>
      <c r="AI2" s="714"/>
      <c r="AJ2" s="714"/>
      <c r="AK2" s="714"/>
      <c r="AL2" s="724" t="str">
        <f ca="1">PROJSTATUS</f>
        <v>Please Complete Initial Application</v>
      </c>
      <c r="AM2" s="724"/>
      <c r="AN2" s="724"/>
      <c r="AO2" s="724"/>
      <c r="AP2" s="724"/>
      <c r="AQ2" s="719">
        <f ca="1">PROGRESSSTATUS</f>
        <v>0</v>
      </c>
      <c r="AR2" s="720"/>
    </row>
    <row r="3" spans="3:55" ht="15.95" customHeight="1" x14ac:dyDescent="0.25">
      <c r="AH3" s="715"/>
      <c r="AI3" s="716"/>
      <c r="AJ3" s="716"/>
      <c r="AK3" s="716"/>
      <c r="AL3" s="725"/>
      <c r="AM3" s="725"/>
      <c r="AN3" s="725"/>
      <c r="AO3" s="725"/>
      <c r="AP3" s="725"/>
      <c r="AQ3" s="721"/>
      <c r="AR3" s="722"/>
      <c r="AX3" s="63"/>
      <c r="BC3" s="63"/>
    </row>
    <row r="4" spans="3:55" ht="15.95" customHeight="1" x14ac:dyDescent="0.25">
      <c r="AX4" s="63"/>
      <c r="BC4" s="63"/>
    </row>
    <row r="5" spans="3:55" ht="15.95" customHeight="1" x14ac:dyDescent="0.25">
      <c r="AX5" s="63"/>
      <c r="BC5" s="63"/>
    </row>
    <row r="6" spans="3:55" ht="15.95" customHeight="1" x14ac:dyDescent="0.25"/>
    <row r="7" spans="3:55" ht="15.95" customHeight="1" x14ac:dyDescent="0.25"/>
    <row r="8" spans="3:55" ht="15.95" customHeight="1" x14ac:dyDescent="0.25"/>
    <row r="9" spans="3:55" ht="15.95" customHeight="1" x14ac:dyDescent="0.25"/>
    <row r="10" spans="3:55" ht="15.95" customHeight="1" x14ac:dyDescent="0.25">
      <c r="C10" s="710" t="s">
        <v>1447</v>
      </c>
      <c r="D10" s="710"/>
      <c r="E10" s="710"/>
      <c r="F10" s="710"/>
      <c r="G10" s="710"/>
      <c r="H10" s="710"/>
      <c r="I10" s="710"/>
      <c r="J10" s="710"/>
      <c r="K10" s="710"/>
      <c r="L10" s="710"/>
      <c r="M10" s="710"/>
      <c r="N10" s="710"/>
      <c r="O10" s="710"/>
      <c r="P10" s="710"/>
      <c r="Q10" s="710"/>
      <c r="R10" s="710"/>
      <c r="S10" s="710"/>
      <c r="T10" s="710"/>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row>
    <row r="11" spans="3:55" ht="15.95" customHeight="1" x14ac:dyDescent="0.25">
      <c r="C11" s="710"/>
      <c r="D11" s="710"/>
      <c r="E11" s="710"/>
      <c r="F11" s="710"/>
      <c r="G11" s="710"/>
      <c r="H11" s="710"/>
      <c r="I11" s="710"/>
      <c r="J11" s="710"/>
      <c r="K11" s="710"/>
      <c r="L11" s="710"/>
      <c r="M11" s="710"/>
      <c r="N11" s="710"/>
      <c r="O11" s="710"/>
      <c r="P11" s="710"/>
      <c r="Q11" s="710"/>
      <c r="R11" s="710"/>
      <c r="S11" s="710"/>
      <c r="T11" s="710"/>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row>
    <row r="12" spans="3:55" ht="15.95" customHeight="1" x14ac:dyDescent="0.25"/>
    <row r="13" spans="3:55" ht="15.95" customHeight="1" x14ac:dyDescent="0.25"/>
    <row r="14" spans="3:55" ht="15.95" customHeight="1" x14ac:dyDescent="0.25"/>
    <row r="15" spans="3:55" ht="15.95" customHeight="1" x14ac:dyDescent="0.25"/>
    <row r="16" spans="3:55" ht="15.95" customHeight="1" x14ac:dyDescent="0.25"/>
    <row r="17" spans="4:43" ht="15.95" customHeight="1" x14ac:dyDescent="0.25"/>
    <row r="18" spans="4:43" ht="15.95" customHeight="1" x14ac:dyDescent="0.25"/>
    <row r="19" spans="4:43" ht="15.95" customHeight="1" x14ac:dyDescent="0.25"/>
    <row r="20" spans="4:43" ht="15.95" customHeight="1" x14ac:dyDescent="0.25"/>
    <row r="21" spans="4:43" ht="15.95" customHeight="1" x14ac:dyDescent="0.25"/>
    <row r="22" spans="4:43" ht="15.95" customHeight="1" x14ac:dyDescent="0.25"/>
    <row r="23" spans="4:43" ht="15.95" customHeight="1" x14ac:dyDescent="0.25"/>
    <row r="24" spans="4:43" ht="15.95" customHeight="1" x14ac:dyDescent="0.25"/>
    <row r="25" spans="4:43" ht="15.95" customHeight="1" x14ac:dyDescent="0.25"/>
    <row r="26" spans="4:43" ht="15.95" customHeight="1" x14ac:dyDescent="0.25"/>
    <row r="27" spans="4:43" ht="15.95" customHeight="1" x14ac:dyDescent="0.25">
      <c r="D27" s="20"/>
    </row>
    <row r="28" spans="4:43" s="63" customFormat="1" ht="15.95" customHeight="1" x14ac:dyDescent="0.25">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row>
    <row r="29" spans="4:43" s="63" customFormat="1" ht="15.95" customHeight="1" x14ac:dyDescent="0.25">
      <c r="D29" s="731"/>
      <c r="E29" s="731"/>
      <c r="F29" s="731"/>
      <c r="G29" s="731"/>
      <c r="H29" s="731"/>
      <c r="I29" s="731"/>
      <c r="J29" s="731"/>
      <c r="K29" s="731"/>
      <c r="L29" s="731"/>
      <c r="M29" s="731"/>
      <c r="N29" s="731"/>
      <c r="O29" s="731"/>
      <c r="P29" s="731"/>
      <c r="Q29" s="731"/>
      <c r="R29" s="731"/>
      <c r="S29" s="731"/>
      <c r="T29" s="731"/>
      <c r="U29" s="731"/>
      <c r="V29" s="731"/>
      <c r="W29" s="731"/>
      <c r="X29" s="731"/>
      <c r="Y29" s="731"/>
      <c r="Z29" s="731"/>
      <c r="AA29" s="731"/>
      <c r="AB29" s="731"/>
      <c r="AC29" s="731"/>
      <c r="AD29" s="731"/>
      <c r="AE29" s="731"/>
      <c r="AF29" s="731"/>
      <c r="AG29" s="347"/>
      <c r="AH29" s="347"/>
      <c r="AI29" s="347"/>
      <c r="AJ29" s="347"/>
      <c r="AK29" s="347"/>
      <c r="AL29" s="347"/>
      <c r="AM29" s="347"/>
      <c r="AN29" s="347"/>
      <c r="AO29" s="347"/>
      <c r="AP29" s="347"/>
      <c r="AQ29" s="347"/>
    </row>
    <row r="30" spans="4:43" s="63" customFormat="1" ht="15.95" customHeight="1" x14ac:dyDescent="0.25">
      <c r="D30" s="731"/>
      <c r="E30" s="731"/>
      <c r="F30" s="731"/>
      <c r="G30" s="731"/>
      <c r="H30" s="731"/>
      <c r="I30" s="731"/>
      <c r="J30" s="731"/>
      <c r="K30" s="731"/>
      <c r="L30" s="731"/>
      <c r="M30" s="731"/>
      <c r="N30" s="731"/>
      <c r="O30" s="731"/>
      <c r="P30" s="731"/>
      <c r="Q30" s="731"/>
      <c r="R30" s="731"/>
      <c r="S30" s="731"/>
      <c r="T30" s="731"/>
      <c r="U30" s="731"/>
      <c r="V30" s="731"/>
      <c r="W30" s="731"/>
      <c r="X30" s="731"/>
      <c r="Y30" s="731"/>
      <c r="Z30" s="731"/>
      <c r="AA30" s="731"/>
      <c r="AB30" s="731"/>
      <c r="AC30" s="731"/>
      <c r="AD30" s="731"/>
      <c r="AE30" s="731"/>
      <c r="AF30" s="731"/>
      <c r="AG30" s="347"/>
      <c r="AH30" s="347"/>
      <c r="AI30" s="347"/>
      <c r="AJ30" s="347"/>
      <c r="AK30" s="347"/>
      <c r="AL30" s="347"/>
      <c r="AM30" s="347"/>
      <c r="AN30" s="347"/>
      <c r="AO30" s="347"/>
      <c r="AP30" s="347"/>
      <c r="AQ30" s="347"/>
    </row>
    <row r="31" spans="4:43" s="63" customFormat="1" ht="15.95" customHeight="1" x14ac:dyDescent="0.25">
      <c r="D31" s="731"/>
      <c r="E31" s="731"/>
      <c r="F31" s="731"/>
      <c r="G31" s="731"/>
      <c r="H31" s="731"/>
      <c r="I31" s="731"/>
      <c r="J31" s="731"/>
      <c r="K31" s="731"/>
      <c r="L31" s="731"/>
      <c r="M31" s="731"/>
      <c r="N31" s="731"/>
      <c r="O31" s="731"/>
      <c r="P31" s="731"/>
      <c r="Q31" s="731"/>
      <c r="R31" s="731"/>
      <c r="S31" s="731"/>
      <c r="T31" s="731"/>
      <c r="U31" s="731"/>
      <c r="V31" s="731"/>
      <c r="W31" s="731"/>
      <c r="X31" s="731"/>
      <c r="Y31" s="731"/>
      <c r="Z31" s="731"/>
      <c r="AA31" s="731"/>
      <c r="AB31" s="731"/>
      <c r="AC31" s="731"/>
      <c r="AD31" s="731"/>
      <c r="AE31" s="731"/>
      <c r="AF31" s="731"/>
      <c r="AG31" s="347"/>
      <c r="AH31" s="347"/>
      <c r="AI31" s="347"/>
      <c r="AJ31" s="347"/>
      <c r="AK31" s="347"/>
      <c r="AL31" s="347"/>
      <c r="AM31" s="347"/>
      <c r="AN31" s="347"/>
      <c r="AO31" s="347"/>
      <c r="AP31" s="347"/>
      <c r="AQ31" s="347"/>
    </row>
    <row r="32" spans="4:43" s="63" customFormat="1" ht="15.95" customHeight="1" x14ac:dyDescent="0.25">
      <c r="D32" s="731"/>
      <c r="E32" s="731"/>
      <c r="F32" s="731"/>
      <c r="G32" s="731"/>
      <c r="H32" s="731"/>
      <c r="I32" s="731"/>
      <c r="J32" s="731"/>
      <c r="K32" s="731"/>
      <c r="L32" s="731"/>
      <c r="M32" s="731"/>
      <c r="N32" s="731"/>
      <c r="O32" s="731"/>
      <c r="P32" s="731"/>
      <c r="Q32" s="731"/>
      <c r="R32" s="731"/>
      <c r="S32" s="731"/>
      <c r="T32" s="731"/>
      <c r="U32" s="731"/>
      <c r="V32" s="731"/>
      <c r="W32" s="731"/>
      <c r="X32" s="731"/>
      <c r="Y32" s="731"/>
      <c r="Z32" s="731"/>
      <c r="AA32" s="731"/>
      <c r="AB32" s="731"/>
      <c r="AC32" s="731"/>
      <c r="AD32" s="731"/>
      <c r="AE32" s="731"/>
      <c r="AF32" s="731"/>
      <c r="AG32" s="347"/>
      <c r="AH32" s="347"/>
      <c r="AI32" s="347"/>
      <c r="AJ32" s="347"/>
      <c r="AK32" s="347"/>
      <c r="AL32" s="347"/>
      <c r="AM32" s="347"/>
      <c r="AN32" s="347"/>
      <c r="AO32" s="347"/>
      <c r="AP32" s="347"/>
      <c r="AQ32" s="347"/>
    </row>
    <row r="33" spans="4:43" ht="15.95" customHeight="1" x14ac:dyDescent="0.25">
      <c r="D33" s="347"/>
      <c r="E33" s="347"/>
      <c r="F33" s="347"/>
      <c r="G33" s="347"/>
      <c r="H33" s="347"/>
      <c r="I33" s="347"/>
      <c r="J33" s="347"/>
      <c r="K33" s="347"/>
      <c r="L33" s="347"/>
      <c r="M33" s="347"/>
      <c r="N33" s="347"/>
      <c r="O33" s="347"/>
      <c r="P33" s="347"/>
      <c r="Q33" s="347"/>
      <c r="R33" s="347"/>
      <c r="S33" s="347"/>
      <c r="T33" s="347"/>
      <c r="U33" s="347"/>
      <c r="V33" s="347"/>
      <c r="W33" s="347"/>
      <c r="X33" s="347"/>
      <c r="Y33" s="347"/>
      <c r="Z33" s="347"/>
      <c r="AA33" s="347"/>
      <c r="AB33" s="347"/>
      <c r="AC33" s="347"/>
      <c r="AD33" s="347"/>
      <c r="AE33" s="347"/>
      <c r="AF33" s="347"/>
      <c r="AG33" s="347"/>
      <c r="AH33" s="347"/>
      <c r="AI33" s="347"/>
      <c r="AJ33" s="347"/>
      <c r="AK33" s="347"/>
      <c r="AL33" s="347"/>
      <c r="AM33" s="347"/>
      <c r="AN33" s="347"/>
      <c r="AO33" s="347"/>
      <c r="AP33" s="347"/>
      <c r="AQ33" s="347"/>
    </row>
    <row r="34" spans="4:43" ht="15.95" customHeight="1" x14ac:dyDescent="0.25"/>
    <row r="35" spans="4:43" ht="15.95" hidden="1" customHeight="1" x14ac:dyDescent="0.25"/>
    <row r="36" spans="4:43" ht="15.95" hidden="1" customHeight="1" x14ac:dyDescent="0.25"/>
    <row r="37" spans="4:43" ht="15.95" hidden="1" customHeight="1" x14ac:dyDescent="0.25"/>
    <row r="38" spans="4:43" ht="15.95" hidden="1" customHeight="1" x14ac:dyDescent="0.25"/>
    <row r="39" spans="4:43" s="63" customFormat="1" ht="15.95" hidden="1" customHeight="1" x14ac:dyDescent="0.25"/>
    <row r="40" spans="4:43" s="63" customFormat="1" ht="15.95" hidden="1" customHeight="1" x14ac:dyDescent="0.25"/>
    <row r="41" spans="4:43" s="63" customFormat="1" ht="15.95" hidden="1" customHeight="1" x14ac:dyDescent="0.25"/>
    <row r="42" spans="4:43" s="63" customFormat="1" ht="15.95" hidden="1" customHeight="1" x14ac:dyDescent="0.25"/>
    <row r="43" spans="4:43" s="63" customFormat="1" ht="15.95" hidden="1" customHeight="1" x14ac:dyDescent="0.25"/>
    <row r="44" spans="4:43" s="63" customFormat="1" ht="15.95" hidden="1" customHeight="1" x14ac:dyDescent="0.25"/>
    <row r="45" spans="4:43" s="63" customFormat="1" ht="15.95" hidden="1" customHeight="1" x14ac:dyDescent="0.25"/>
    <row r="46" spans="4:43" s="63" customFormat="1" ht="15.95" hidden="1" customHeight="1" x14ac:dyDescent="0.25"/>
    <row r="47" spans="4:43" s="63" customFormat="1" ht="15.95" hidden="1" customHeight="1" x14ac:dyDescent="0.25"/>
    <row r="48" spans="4:43" ht="15.95" hidden="1" customHeight="1" x14ac:dyDescent="0.25"/>
    <row r="49" spans="3:31" ht="15.95" hidden="1" customHeight="1" x14ac:dyDescent="0.25"/>
    <row r="50" spans="3:31" ht="15.95" hidden="1" customHeight="1" x14ac:dyDescent="0.25"/>
    <row r="51" spans="3:31" s="63" customFormat="1" ht="15.95" hidden="1" customHeight="1" x14ac:dyDescent="0.25"/>
    <row r="52" spans="3:31" s="63" customFormat="1" ht="15.95" hidden="1" customHeight="1" x14ac:dyDescent="0.25"/>
    <row r="53" spans="3:31" s="63" customFormat="1" ht="15.95" hidden="1" customHeight="1" x14ac:dyDescent="0.25"/>
    <row r="54" spans="3:31" ht="15.95" hidden="1" customHeight="1" x14ac:dyDescent="0.25"/>
    <row r="55" spans="3:31" ht="15.95" hidden="1" customHeight="1" x14ac:dyDescent="0.25"/>
    <row r="56" spans="3:31" ht="15.95" hidden="1" customHeight="1" x14ac:dyDescent="0.25"/>
    <row r="57" spans="3:31" ht="15.95" hidden="1" customHeight="1" x14ac:dyDescent="0.25"/>
    <row r="58" spans="3:31" ht="15.95" hidden="1" customHeight="1" x14ac:dyDescent="0.25"/>
    <row r="59" spans="3:31" ht="15.95" hidden="1" customHeight="1" x14ac:dyDescent="0.25"/>
    <row r="60" spans="3:31" ht="15.95" hidden="1" customHeight="1" x14ac:dyDescent="0.25"/>
    <row r="61" spans="3:31" ht="15.95" hidden="1" customHeight="1" x14ac:dyDescent="0.25"/>
    <row r="62" spans="3:31" ht="15.95" customHeight="1" x14ac:dyDescent="0.25">
      <c r="C62" s="726" t="s">
        <v>80</v>
      </c>
      <c r="D62" s="726"/>
      <c r="E62" s="726"/>
      <c r="F62" s="726"/>
      <c r="G62" s="726"/>
      <c r="H62" s="726"/>
      <c r="I62" s="727">
        <v>44561</v>
      </c>
      <c r="J62" s="728"/>
      <c r="K62" s="728"/>
      <c r="L62" s="728"/>
      <c r="M62" s="728"/>
      <c r="N62" s="728"/>
      <c r="O62" s="730" t="str">
        <f ca="1">IF(I62&lt;TODAY(),"APPLICATION EXPIRED","")</f>
        <v/>
      </c>
      <c r="P62" s="730"/>
      <c r="Q62" s="730"/>
      <c r="R62" s="730"/>
      <c r="S62" s="730"/>
      <c r="T62" s="134"/>
      <c r="U62" s="135"/>
      <c r="V62" s="135"/>
      <c r="W62" s="135"/>
      <c r="X62" s="135"/>
      <c r="Y62" s="135"/>
      <c r="Z62" s="135"/>
      <c r="AA62" s="135"/>
      <c r="AB62" s="135"/>
      <c r="AC62" s="135"/>
      <c r="AD62" s="135"/>
      <c r="AE62" s="135"/>
    </row>
    <row r="63" spans="3:31" s="63" customFormat="1" ht="15.95" hidden="1" customHeight="1" x14ac:dyDescent="0.25">
      <c r="C63" s="119"/>
      <c r="D63" s="119"/>
      <c r="E63" s="119"/>
      <c r="F63" s="119"/>
      <c r="G63" s="119"/>
      <c r="H63" s="119"/>
      <c r="I63" s="120"/>
      <c r="J63" s="120"/>
      <c r="K63" s="120"/>
      <c r="L63" s="120"/>
      <c r="M63" s="120"/>
      <c r="N63" s="120"/>
      <c r="O63" s="121"/>
      <c r="P63" s="121"/>
      <c r="Q63" s="121"/>
      <c r="R63" s="121"/>
      <c r="S63" s="121"/>
      <c r="T63" s="122"/>
    </row>
    <row r="64" spans="3:31" s="63" customFormat="1" ht="15.95" hidden="1" customHeight="1" x14ac:dyDescent="0.25">
      <c r="C64" s="119"/>
      <c r="D64" s="119"/>
      <c r="E64" s="119"/>
      <c r="F64" s="119"/>
      <c r="G64" s="119"/>
      <c r="H64" s="119"/>
      <c r="I64" s="120"/>
      <c r="J64" s="120"/>
      <c r="K64" s="120"/>
      <c r="L64" s="120"/>
      <c r="M64" s="120"/>
      <c r="N64" s="120"/>
      <c r="O64" s="121"/>
      <c r="P64" s="121"/>
      <c r="Q64" s="121"/>
      <c r="R64" s="121"/>
      <c r="S64" s="121"/>
      <c r="T64" s="122"/>
    </row>
    <row r="65" spans="3:20" s="63" customFormat="1" ht="15.95" hidden="1" customHeight="1" x14ac:dyDescent="0.25">
      <c r="C65" s="119"/>
      <c r="D65" s="119"/>
      <c r="E65" s="119"/>
      <c r="F65" s="119"/>
      <c r="G65" s="119"/>
      <c r="H65" s="119"/>
      <c r="I65" s="120"/>
      <c r="J65" s="120"/>
      <c r="K65" s="120"/>
      <c r="L65" s="120"/>
      <c r="M65" s="120"/>
      <c r="N65" s="120"/>
      <c r="O65" s="121"/>
      <c r="P65" s="121"/>
      <c r="Q65" s="121"/>
      <c r="R65" s="121"/>
      <c r="S65" s="121"/>
      <c r="T65" s="122"/>
    </row>
    <row r="66" spans="3:20" s="63" customFormat="1" ht="15.95" hidden="1" customHeight="1" x14ac:dyDescent="0.25">
      <c r="C66" s="185"/>
      <c r="D66" s="185"/>
      <c r="E66" s="185"/>
      <c r="F66" s="185"/>
      <c r="G66" s="185"/>
      <c r="H66" s="185"/>
      <c r="I66" s="130"/>
      <c r="J66" s="130"/>
      <c r="K66" s="130"/>
      <c r="L66" s="130"/>
      <c r="M66" s="130"/>
      <c r="N66" s="130"/>
      <c r="O66" s="131"/>
      <c r="P66" s="131"/>
      <c r="Q66" s="131"/>
      <c r="R66" s="131"/>
      <c r="S66" s="131"/>
      <c r="T66" s="186"/>
    </row>
    <row r="67" spans="3:20" s="63" customFormat="1" ht="15.95" hidden="1" customHeight="1" x14ac:dyDescent="0.25">
      <c r="C67" s="119"/>
      <c r="D67" s="119"/>
      <c r="E67" s="119"/>
      <c r="F67" s="119"/>
      <c r="G67" s="119"/>
      <c r="H67" s="119"/>
      <c r="I67" s="120"/>
      <c r="J67" s="120"/>
      <c r="K67" s="120"/>
      <c r="L67" s="120"/>
      <c r="M67" s="120"/>
      <c r="N67" s="120"/>
      <c r="O67" s="121"/>
      <c r="P67" s="121"/>
      <c r="Q67" s="121"/>
      <c r="R67" s="121"/>
      <c r="S67" s="121"/>
      <c r="T67" s="122"/>
    </row>
    <row r="68" spans="3:20" s="63" customFormat="1" ht="15.95" hidden="1" customHeight="1" x14ac:dyDescent="0.25">
      <c r="C68" s="119"/>
      <c r="D68" s="119"/>
      <c r="E68" s="119"/>
      <c r="F68" s="119"/>
      <c r="G68" s="119"/>
      <c r="H68" s="119"/>
      <c r="I68" s="120"/>
      <c r="J68" s="120"/>
      <c r="K68" s="120"/>
      <c r="L68" s="120"/>
      <c r="M68" s="120"/>
      <c r="N68" s="120"/>
      <c r="O68" s="121"/>
      <c r="P68" s="121"/>
      <c r="Q68" s="121"/>
      <c r="R68" s="121"/>
      <c r="S68" s="121"/>
      <c r="T68" s="122"/>
    </row>
    <row r="69" spans="3:20" s="63" customFormat="1" ht="15.95" hidden="1" customHeight="1" x14ac:dyDescent="0.25">
      <c r="C69" s="119"/>
      <c r="D69" s="119"/>
      <c r="E69" s="119"/>
      <c r="F69" s="119"/>
      <c r="G69" s="119"/>
      <c r="H69" s="119"/>
      <c r="I69" s="120"/>
      <c r="J69" s="120"/>
      <c r="K69" s="120"/>
      <c r="L69" s="120"/>
      <c r="M69" s="120"/>
      <c r="N69" s="120"/>
      <c r="O69" s="121"/>
      <c r="P69" s="121"/>
      <c r="Q69" s="121"/>
      <c r="R69" s="121"/>
      <c r="S69" s="121"/>
      <c r="T69" s="122"/>
    </row>
    <row r="70" spans="3:20" s="63" customFormat="1" ht="15.95" hidden="1" customHeight="1" x14ac:dyDescent="0.25">
      <c r="C70" s="119"/>
      <c r="D70" s="119"/>
      <c r="E70" s="119"/>
      <c r="F70" s="119"/>
      <c r="G70" s="119"/>
      <c r="H70" s="119"/>
      <c r="I70" s="120"/>
      <c r="J70" s="120"/>
      <c r="K70" s="120"/>
      <c r="L70" s="120"/>
      <c r="M70" s="120"/>
      <c r="N70" s="120"/>
      <c r="O70" s="121"/>
      <c r="P70" s="121"/>
      <c r="Q70" s="121"/>
      <c r="R70" s="121"/>
      <c r="S70" s="121"/>
      <c r="T70" s="122"/>
    </row>
    <row r="71" spans="3:20" s="63" customFormat="1" ht="15.95" hidden="1" customHeight="1" x14ac:dyDescent="0.25">
      <c r="C71" s="119"/>
      <c r="D71" s="119"/>
      <c r="E71" s="119"/>
      <c r="F71" s="119"/>
      <c r="G71" s="119"/>
      <c r="H71" s="119"/>
      <c r="I71" s="120"/>
      <c r="J71" s="120"/>
      <c r="K71" s="120"/>
      <c r="L71" s="120"/>
      <c r="M71" s="120"/>
      <c r="N71" s="120"/>
      <c r="O71" s="121"/>
      <c r="P71" s="121"/>
      <c r="Q71" s="121"/>
      <c r="R71" s="121"/>
      <c r="S71" s="121"/>
      <c r="T71" s="122"/>
    </row>
    <row r="72" spans="3:20" s="63" customFormat="1" ht="15.95" hidden="1" customHeight="1" x14ac:dyDescent="0.25">
      <c r="C72" s="119"/>
      <c r="D72" s="119"/>
      <c r="E72" s="119"/>
      <c r="F72" s="119"/>
      <c r="G72" s="119"/>
      <c r="H72" s="119"/>
      <c r="I72" s="120"/>
      <c r="J72" s="120"/>
      <c r="K72" s="120"/>
      <c r="L72" s="120"/>
      <c r="M72" s="120"/>
      <c r="N72" s="120"/>
      <c r="O72" s="121"/>
      <c r="P72" s="121"/>
      <c r="Q72" s="121"/>
      <c r="R72" s="121"/>
      <c r="S72" s="121"/>
      <c r="T72" s="122"/>
    </row>
    <row r="73" spans="3:20" s="63" customFormat="1" ht="15.95" hidden="1" customHeight="1" x14ac:dyDescent="0.25">
      <c r="C73" s="119"/>
      <c r="D73" s="119"/>
      <c r="E73" s="119"/>
      <c r="F73" s="119"/>
      <c r="G73" s="119"/>
      <c r="H73" s="119"/>
      <c r="I73" s="120"/>
      <c r="J73" s="120"/>
      <c r="K73" s="120"/>
      <c r="L73" s="120"/>
      <c r="M73" s="120"/>
      <c r="N73" s="120"/>
      <c r="O73" s="121"/>
      <c r="P73" s="121"/>
      <c r="Q73" s="121"/>
      <c r="R73" s="121"/>
      <c r="S73" s="121"/>
      <c r="T73" s="122"/>
    </row>
    <row r="74" spans="3:20" s="63" customFormat="1" ht="15.95" hidden="1" customHeight="1" x14ac:dyDescent="0.25">
      <c r="C74" s="119"/>
      <c r="D74" s="119"/>
      <c r="E74" s="119"/>
      <c r="F74" s="119"/>
      <c r="G74" s="119"/>
      <c r="H74" s="119"/>
      <c r="I74" s="120"/>
      <c r="J74" s="120"/>
      <c r="K74" s="120"/>
      <c r="L74" s="120"/>
      <c r="M74" s="120"/>
      <c r="N74" s="120"/>
      <c r="O74" s="121"/>
      <c r="P74" s="121"/>
      <c r="Q74" s="121"/>
      <c r="R74" s="121"/>
      <c r="S74" s="121"/>
      <c r="T74" s="122"/>
    </row>
    <row r="75" spans="3:20" s="63" customFormat="1" ht="15.95" hidden="1" customHeight="1" x14ac:dyDescent="0.25">
      <c r="C75" s="119"/>
      <c r="D75" s="119"/>
      <c r="E75" s="119"/>
      <c r="F75" s="119"/>
      <c r="G75" s="119"/>
      <c r="H75" s="119"/>
      <c r="I75" s="120"/>
      <c r="J75" s="120"/>
      <c r="K75" s="120"/>
      <c r="L75" s="120"/>
      <c r="M75" s="120"/>
      <c r="N75" s="120"/>
      <c r="O75" s="121"/>
      <c r="P75" s="121"/>
      <c r="Q75" s="121"/>
      <c r="R75" s="121"/>
      <c r="S75" s="121"/>
      <c r="T75" s="122"/>
    </row>
    <row r="76" spans="3:20" s="63" customFormat="1" ht="15.95" hidden="1" customHeight="1" x14ac:dyDescent="0.25">
      <c r="C76" s="119"/>
      <c r="D76" s="119"/>
      <c r="E76" s="119"/>
      <c r="F76" s="119"/>
      <c r="G76" s="119"/>
      <c r="H76" s="119"/>
      <c r="I76" s="120"/>
      <c r="J76" s="120"/>
      <c r="K76" s="120"/>
      <c r="L76" s="120"/>
      <c r="M76" s="120"/>
      <c r="N76" s="120"/>
      <c r="O76" s="121"/>
      <c r="P76" s="121"/>
      <c r="Q76" s="121"/>
      <c r="R76" s="121"/>
      <c r="S76" s="121"/>
      <c r="T76" s="122"/>
    </row>
    <row r="77" spans="3:20" s="63" customFormat="1" ht="15.95" hidden="1" customHeight="1" x14ac:dyDescent="0.25">
      <c r="C77" s="119"/>
      <c r="D77" s="119"/>
      <c r="E77" s="119"/>
      <c r="F77" s="119"/>
      <c r="G77" s="119"/>
      <c r="H77" s="119"/>
      <c r="I77" s="120"/>
      <c r="J77" s="120"/>
      <c r="K77" s="120"/>
      <c r="L77" s="120"/>
      <c r="M77" s="120"/>
      <c r="N77" s="120"/>
      <c r="O77" s="121"/>
      <c r="P77" s="121"/>
      <c r="Q77" s="121"/>
      <c r="R77" s="121"/>
      <c r="S77" s="121"/>
      <c r="T77" s="122"/>
    </row>
    <row r="78" spans="3:20" s="63" customFormat="1" ht="15.95" hidden="1" customHeight="1" x14ac:dyDescent="0.25">
      <c r="C78" s="119"/>
      <c r="D78" s="119"/>
      <c r="E78" s="119"/>
      <c r="F78" s="119"/>
      <c r="G78" s="119"/>
      <c r="H78" s="119"/>
      <c r="I78" s="120"/>
      <c r="J78" s="120"/>
      <c r="K78" s="120"/>
      <c r="L78" s="120"/>
      <c r="M78" s="120"/>
      <c r="N78" s="120"/>
      <c r="O78" s="121"/>
      <c r="P78" s="121"/>
      <c r="Q78" s="121"/>
      <c r="R78" s="121"/>
      <c r="S78" s="121"/>
      <c r="T78" s="122"/>
    </row>
    <row r="79" spans="3:20" s="63" customFormat="1" ht="15.95" hidden="1" customHeight="1" x14ac:dyDescent="0.25">
      <c r="C79" s="119"/>
      <c r="D79" s="119"/>
      <c r="E79" s="119"/>
      <c r="F79" s="119"/>
      <c r="G79" s="119"/>
      <c r="H79" s="119"/>
      <c r="I79" s="120"/>
      <c r="J79" s="120"/>
      <c r="K79" s="120"/>
      <c r="L79" s="120"/>
      <c r="M79" s="120"/>
      <c r="N79" s="120"/>
      <c r="O79" s="121"/>
      <c r="P79" s="121"/>
      <c r="Q79" s="121"/>
      <c r="R79" s="121"/>
      <c r="S79" s="121"/>
      <c r="T79" s="122"/>
    </row>
    <row r="80" spans="3:20" s="63" customFormat="1" ht="15.95" hidden="1" customHeight="1" x14ac:dyDescent="0.25">
      <c r="C80" s="119"/>
      <c r="D80" s="119"/>
      <c r="E80" s="119"/>
      <c r="F80" s="119"/>
      <c r="G80" s="119"/>
      <c r="H80" s="119"/>
      <c r="I80" s="120"/>
      <c r="J80" s="120"/>
      <c r="K80" s="120"/>
      <c r="L80" s="120"/>
      <c r="M80" s="120"/>
      <c r="N80" s="120"/>
      <c r="O80" s="121"/>
      <c r="P80" s="121"/>
      <c r="Q80" s="121"/>
      <c r="R80" s="121"/>
      <c r="S80" s="121"/>
      <c r="T80" s="122"/>
    </row>
    <row r="81" spans="3:20" s="63" customFormat="1" ht="15.95" hidden="1" customHeight="1" x14ac:dyDescent="0.25">
      <c r="C81" s="119"/>
      <c r="D81" s="119"/>
      <c r="E81" s="119"/>
      <c r="F81" s="119"/>
      <c r="G81" s="119"/>
      <c r="H81" s="119"/>
      <c r="I81" s="120"/>
      <c r="J81" s="120"/>
      <c r="K81" s="120"/>
      <c r="L81" s="120"/>
      <c r="M81" s="120"/>
      <c r="N81" s="120"/>
      <c r="O81" s="121"/>
      <c r="P81" s="121"/>
      <c r="Q81" s="121"/>
      <c r="R81" s="121"/>
      <c r="S81" s="121"/>
      <c r="T81" s="122"/>
    </row>
    <row r="82" spans="3:20" s="63" customFormat="1" ht="15.95" hidden="1" customHeight="1" x14ac:dyDescent="0.25">
      <c r="C82" s="119"/>
      <c r="D82" s="119"/>
      <c r="E82" s="119"/>
      <c r="F82" s="119"/>
      <c r="G82" s="119"/>
      <c r="H82" s="119"/>
      <c r="I82" s="120"/>
      <c r="J82" s="120"/>
      <c r="K82" s="120"/>
      <c r="L82" s="120"/>
      <c r="M82" s="120"/>
      <c r="N82" s="120"/>
      <c r="O82" s="121"/>
      <c r="P82" s="121"/>
      <c r="Q82" s="121"/>
      <c r="R82" s="121"/>
      <c r="S82" s="121"/>
      <c r="T82" s="122"/>
    </row>
    <row r="83" spans="3:20" s="63" customFormat="1" ht="15.95" hidden="1" customHeight="1" x14ac:dyDescent="0.25">
      <c r="C83" s="119"/>
      <c r="D83" s="119"/>
      <c r="E83" s="119"/>
      <c r="F83" s="119"/>
      <c r="G83" s="119"/>
      <c r="H83" s="119"/>
      <c r="I83" s="120"/>
      <c r="J83" s="120"/>
      <c r="K83" s="120"/>
      <c r="L83" s="120"/>
      <c r="M83" s="120"/>
      <c r="N83" s="120"/>
      <c r="O83" s="121"/>
      <c r="P83" s="121"/>
      <c r="Q83" s="121"/>
      <c r="R83" s="121"/>
      <c r="S83" s="121"/>
      <c r="T83" s="122"/>
    </row>
    <row r="84" spans="3:20" s="63" customFormat="1" ht="15.95" hidden="1" customHeight="1" x14ac:dyDescent="0.25">
      <c r="C84" s="119"/>
      <c r="D84" s="119"/>
      <c r="E84" s="119"/>
      <c r="F84" s="119"/>
      <c r="G84" s="119"/>
      <c r="H84" s="119"/>
      <c r="I84" s="120"/>
      <c r="J84" s="120"/>
      <c r="K84" s="120"/>
      <c r="L84" s="120"/>
      <c r="M84" s="120"/>
      <c r="N84" s="120"/>
      <c r="O84" s="121"/>
      <c r="P84" s="121"/>
      <c r="Q84" s="121"/>
      <c r="R84" s="121"/>
      <c r="S84" s="121"/>
      <c r="T84" s="122"/>
    </row>
    <row r="85" spans="3:20" s="63" customFormat="1" ht="15.95" hidden="1" customHeight="1" x14ac:dyDescent="0.25">
      <c r="C85" s="119"/>
      <c r="D85" s="119"/>
      <c r="E85" s="119"/>
      <c r="F85" s="119"/>
      <c r="G85" s="119"/>
      <c r="H85" s="119"/>
      <c r="I85" s="120"/>
      <c r="J85" s="120"/>
      <c r="K85" s="120"/>
      <c r="L85" s="120"/>
      <c r="M85" s="120"/>
      <c r="N85" s="120"/>
      <c r="O85" s="121"/>
      <c r="P85" s="121"/>
      <c r="Q85" s="121"/>
      <c r="R85" s="121"/>
      <c r="S85" s="121"/>
      <c r="T85" s="122"/>
    </row>
    <row r="86" spans="3:20" s="63" customFormat="1" ht="15.95" hidden="1" customHeight="1" x14ac:dyDescent="0.25">
      <c r="C86" s="119"/>
      <c r="D86" s="119"/>
      <c r="E86" s="119"/>
      <c r="F86" s="119"/>
      <c r="G86" s="119"/>
      <c r="H86" s="119"/>
      <c r="I86" s="120"/>
      <c r="J86" s="120"/>
      <c r="K86" s="120"/>
      <c r="L86" s="120"/>
      <c r="M86" s="120"/>
      <c r="N86" s="120"/>
      <c r="O86" s="121"/>
      <c r="P86" s="121"/>
      <c r="Q86" s="121"/>
      <c r="R86" s="121"/>
      <c r="S86" s="121"/>
      <c r="T86" s="122"/>
    </row>
    <row r="87" spans="3:20" s="63" customFormat="1" ht="15.95" hidden="1" customHeight="1" x14ac:dyDescent="0.25">
      <c r="C87" s="119"/>
      <c r="D87" s="119"/>
      <c r="E87" s="119"/>
      <c r="F87" s="119"/>
      <c r="G87" s="119"/>
      <c r="H87" s="119"/>
      <c r="I87" s="120"/>
      <c r="J87" s="120"/>
      <c r="K87" s="120"/>
      <c r="L87" s="120"/>
      <c r="M87" s="120"/>
      <c r="N87" s="120"/>
      <c r="O87" s="121"/>
      <c r="P87" s="121"/>
      <c r="Q87" s="121"/>
      <c r="R87" s="121"/>
      <c r="S87" s="121"/>
      <c r="T87" s="122"/>
    </row>
    <row r="88" spans="3:20" s="63" customFormat="1" ht="15.95" hidden="1" customHeight="1" x14ac:dyDescent="0.25">
      <c r="C88" s="119"/>
      <c r="D88" s="119"/>
      <c r="E88" s="119"/>
      <c r="F88" s="119"/>
      <c r="G88" s="119"/>
      <c r="H88" s="119"/>
      <c r="I88" s="120"/>
      <c r="J88" s="120"/>
      <c r="K88" s="120"/>
      <c r="L88" s="120"/>
      <c r="M88" s="120"/>
      <c r="N88" s="120"/>
      <c r="O88" s="121"/>
      <c r="P88" s="121"/>
      <c r="Q88" s="121"/>
      <c r="R88" s="121"/>
      <c r="S88" s="121"/>
      <c r="T88" s="122"/>
    </row>
    <row r="89" spans="3:20" s="63" customFormat="1" ht="15.95" hidden="1" customHeight="1" x14ac:dyDescent="0.25">
      <c r="C89" s="119"/>
      <c r="D89" s="119"/>
      <c r="E89" s="119"/>
      <c r="F89" s="119"/>
      <c r="G89" s="119"/>
      <c r="H89" s="119"/>
      <c r="I89" s="120"/>
      <c r="J89" s="120"/>
      <c r="K89" s="120"/>
      <c r="L89" s="120"/>
      <c r="M89" s="120"/>
      <c r="N89" s="120"/>
      <c r="O89" s="121"/>
      <c r="P89" s="121"/>
      <c r="Q89" s="121"/>
      <c r="R89" s="121"/>
      <c r="S89" s="121"/>
      <c r="T89" s="122"/>
    </row>
    <row r="90" spans="3:20" s="63" customFormat="1" ht="15.95" hidden="1" customHeight="1" x14ac:dyDescent="0.25">
      <c r="C90" s="119"/>
      <c r="D90" s="119"/>
      <c r="E90" s="119"/>
      <c r="F90" s="119"/>
      <c r="G90" s="119"/>
      <c r="H90" s="119"/>
      <c r="I90" s="120"/>
      <c r="J90" s="120"/>
      <c r="K90" s="120"/>
      <c r="L90" s="120"/>
      <c r="M90" s="120"/>
      <c r="N90" s="120"/>
      <c r="O90" s="121"/>
      <c r="P90" s="121"/>
      <c r="Q90" s="121"/>
      <c r="R90" s="121"/>
      <c r="S90" s="121"/>
      <c r="T90" s="122"/>
    </row>
    <row r="91" spans="3:20" s="63" customFormat="1" ht="15.95" hidden="1" customHeight="1" x14ac:dyDescent="0.25">
      <c r="C91" s="119"/>
      <c r="D91" s="119"/>
      <c r="E91" s="119"/>
      <c r="F91" s="119"/>
      <c r="G91" s="119"/>
      <c r="H91" s="119"/>
      <c r="I91" s="120"/>
      <c r="J91" s="120"/>
      <c r="K91" s="120"/>
      <c r="L91" s="120"/>
      <c r="M91" s="120"/>
      <c r="N91" s="120"/>
      <c r="O91" s="121"/>
      <c r="P91" s="121"/>
      <c r="Q91" s="121"/>
      <c r="R91" s="121"/>
      <c r="S91" s="121"/>
      <c r="T91" s="122"/>
    </row>
    <row r="92" spans="3:20" s="63" customFormat="1" ht="15.95" hidden="1" customHeight="1" x14ac:dyDescent="0.25">
      <c r="C92" s="119"/>
      <c r="D92" s="119"/>
      <c r="E92" s="119"/>
      <c r="F92" s="119"/>
      <c r="G92" s="119"/>
      <c r="H92" s="119"/>
      <c r="I92" s="120"/>
      <c r="J92" s="120"/>
      <c r="K92" s="120"/>
      <c r="L92" s="120"/>
      <c r="M92" s="120"/>
      <c r="N92" s="120"/>
      <c r="O92" s="121"/>
      <c r="P92" s="121"/>
      <c r="Q92" s="121"/>
      <c r="R92" s="121"/>
      <c r="S92" s="121"/>
      <c r="T92" s="122"/>
    </row>
    <row r="93" spans="3:20" s="63" customFormat="1" ht="15.95" hidden="1" customHeight="1" x14ac:dyDescent="0.25">
      <c r="C93" s="119"/>
      <c r="D93" s="119"/>
      <c r="E93" s="119"/>
      <c r="F93" s="119"/>
      <c r="G93" s="119"/>
      <c r="H93" s="119"/>
      <c r="I93" s="120"/>
      <c r="J93" s="120"/>
      <c r="K93" s="120"/>
      <c r="L93" s="120"/>
      <c r="M93" s="120"/>
      <c r="N93" s="120"/>
      <c r="O93" s="121"/>
      <c r="P93" s="121"/>
      <c r="Q93" s="121"/>
      <c r="R93" s="121"/>
      <c r="S93" s="121"/>
      <c r="T93" s="122"/>
    </row>
    <row r="94" spans="3:20" s="63" customFormat="1" ht="15.95" hidden="1" customHeight="1" x14ac:dyDescent="0.25">
      <c r="C94" s="119"/>
      <c r="D94" s="119"/>
      <c r="E94" s="119"/>
      <c r="F94" s="119"/>
      <c r="G94" s="119"/>
      <c r="H94" s="119"/>
      <c r="I94" s="120"/>
      <c r="J94" s="120"/>
      <c r="K94" s="120"/>
      <c r="L94" s="120"/>
      <c r="M94" s="120"/>
      <c r="N94" s="120"/>
      <c r="O94" s="121"/>
      <c r="P94" s="121"/>
      <c r="Q94" s="121"/>
      <c r="R94" s="121"/>
      <c r="S94" s="121"/>
      <c r="T94" s="122"/>
    </row>
    <row r="95" spans="3:20" s="63" customFormat="1" ht="15.95" hidden="1" customHeight="1" x14ac:dyDescent="0.25">
      <c r="C95" s="119"/>
      <c r="D95" s="119"/>
      <c r="E95" s="119"/>
      <c r="F95" s="119"/>
      <c r="G95" s="119"/>
      <c r="H95" s="119"/>
      <c r="I95" s="120"/>
      <c r="J95" s="120"/>
      <c r="K95" s="120"/>
      <c r="L95" s="120"/>
      <c r="M95" s="120"/>
      <c r="N95" s="120"/>
      <c r="O95" s="121"/>
      <c r="P95" s="121"/>
      <c r="Q95" s="121"/>
      <c r="R95" s="121"/>
      <c r="S95" s="121"/>
      <c r="T95" s="122"/>
    </row>
    <row r="96" spans="3:20" s="63" customFormat="1" ht="15.95" hidden="1" customHeight="1" x14ac:dyDescent="0.25">
      <c r="C96" s="119"/>
      <c r="D96" s="119"/>
      <c r="E96" s="119"/>
      <c r="F96" s="119"/>
      <c r="G96" s="119"/>
      <c r="H96" s="119"/>
      <c r="I96" s="120"/>
      <c r="J96" s="120"/>
      <c r="K96" s="120"/>
      <c r="L96" s="120"/>
      <c r="M96" s="120"/>
      <c r="N96" s="120"/>
      <c r="O96" s="121"/>
      <c r="P96" s="121"/>
      <c r="Q96" s="121"/>
      <c r="R96" s="121"/>
      <c r="S96" s="121"/>
      <c r="T96" s="122"/>
    </row>
    <row r="97" spans="3:20" s="63" customFormat="1" ht="15.95" hidden="1" customHeight="1" x14ac:dyDescent="0.25">
      <c r="C97" s="119"/>
      <c r="D97" s="119"/>
      <c r="E97" s="119"/>
      <c r="F97" s="119"/>
      <c r="G97" s="119"/>
      <c r="H97" s="119"/>
      <c r="I97" s="120"/>
      <c r="J97" s="120"/>
      <c r="K97" s="120"/>
      <c r="L97" s="120"/>
      <c r="M97" s="120"/>
      <c r="N97" s="120"/>
      <c r="O97" s="121"/>
      <c r="P97" s="121"/>
      <c r="Q97" s="121"/>
      <c r="R97" s="121"/>
      <c r="S97" s="121"/>
      <c r="T97" s="122"/>
    </row>
    <row r="98" spans="3:20" s="63" customFormat="1" ht="15.95" hidden="1" customHeight="1" x14ac:dyDescent="0.25">
      <c r="C98" s="119"/>
      <c r="D98" s="119"/>
      <c r="E98" s="119"/>
      <c r="F98" s="119"/>
      <c r="G98" s="119"/>
      <c r="H98" s="119"/>
      <c r="I98" s="120"/>
      <c r="J98" s="120"/>
      <c r="K98" s="120"/>
      <c r="L98" s="120"/>
      <c r="M98" s="120"/>
      <c r="N98" s="120"/>
      <c r="O98" s="121"/>
      <c r="P98" s="121"/>
      <c r="Q98" s="121"/>
      <c r="R98" s="121"/>
      <c r="S98" s="121"/>
      <c r="T98" s="122"/>
    </row>
    <row r="99" spans="3:20" s="63" customFormat="1" ht="15.95" hidden="1" customHeight="1" x14ac:dyDescent="0.25">
      <c r="C99" s="119"/>
      <c r="D99" s="119"/>
      <c r="E99" s="119"/>
      <c r="F99" s="119"/>
      <c r="G99" s="119"/>
      <c r="H99" s="119"/>
      <c r="I99" s="120"/>
      <c r="J99" s="120"/>
      <c r="K99" s="120"/>
      <c r="L99" s="120"/>
      <c r="M99" s="120"/>
      <c r="N99" s="120"/>
      <c r="O99" s="121"/>
      <c r="P99" s="121"/>
      <c r="Q99" s="121"/>
      <c r="R99" s="121"/>
      <c r="S99" s="121"/>
      <c r="T99" s="122"/>
    </row>
    <row r="100" spans="3:20" s="63" customFormat="1" ht="15.95" hidden="1" customHeight="1" x14ac:dyDescent="0.25">
      <c r="C100" s="119"/>
      <c r="D100" s="119"/>
      <c r="E100" s="119"/>
      <c r="F100" s="119"/>
      <c r="G100" s="119"/>
      <c r="H100" s="119"/>
      <c r="I100" s="120"/>
      <c r="J100" s="120"/>
      <c r="K100" s="120"/>
      <c r="L100" s="120"/>
      <c r="M100" s="120"/>
      <c r="N100" s="120"/>
      <c r="O100" s="121"/>
      <c r="P100" s="121"/>
      <c r="Q100" s="121"/>
      <c r="R100" s="121"/>
      <c r="S100" s="121"/>
      <c r="T100" s="122"/>
    </row>
    <row r="101" spans="3:20" s="63" customFormat="1" ht="15.95" hidden="1" customHeight="1" x14ac:dyDescent="0.25">
      <c r="C101" s="119"/>
      <c r="D101" s="119"/>
      <c r="E101" s="119"/>
      <c r="F101" s="119"/>
      <c r="G101" s="119"/>
      <c r="H101" s="119"/>
      <c r="I101" s="120"/>
      <c r="J101" s="120"/>
      <c r="K101" s="120"/>
      <c r="L101" s="120"/>
      <c r="M101" s="120"/>
      <c r="N101" s="120"/>
      <c r="O101" s="121"/>
      <c r="P101" s="121"/>
      <c r="Q101" s="121"/>
      <c r="R101" s="121"/>
      <c r="S101" s="121"/>
      <c r="T101" s="122"/>
    </row>
    <row r="102" spans="3:20" s="63" customFormat="1" ht="15.95" hidden="1" customHeight="1" x14ac:dyDescent="0.25">
      <c r="C102" s="119"/>
      <c r="D102" s="119"/>
      <c r="E102" s="119"/>
      <c r="F102" s="119"/>
      <c r="G102" s="119"/>
      <c r="H102" s="119"/>
      <c r="I102" s="120"/>
      <c r="J102" s="120"/>
      <c r="K102" s="120"/>
      <c r="L102" s="120"/>
      <c r="M102" s="120"/>
      <c r="N102" s="120"/>
      <c r="O102" s="121"/>
      <c r="P102" s="121"/>
      <c r="Q102" s="121"/>
      <c r="R102" s="121"/>
      <c r="S102" s="121"/>
      <c r="T102" s="122"/>
    </row>
    <row r="103" spans="3:20" s="63" customFormat="1" ht="15.95" hidden="1" customHeight="1" x14ac:dyDescent="0.25">
      <c r="C103" s="119"/>
      <c r="D103" s="119"/>
      <c r="E103" s="119"/>
      <c r="F103" s="119"/>
      <c r="G103" s="119"/>
      <c r="H103" s="119"/>
      <c r="I103" s="120"/>
      <c r="J103" s="120"/>
      <c r="K103" s="120"/>
      <c r="L103" s="120"/>
      <c r="M103" s="120"/>
      <c r="N103" s="120"/>
      <c r="O103" s="121"/>
      <c r="P103" s="121"/>
      <c r="Q103" s="121"/>
      <c r="R103" s="121"/>
      <c r="S103" s="121"/>
      <c r="T103" s="122"/>
    </row>
    <row r="104" spans="3:20" s="63" customFormat="1" ht="15.95" hidden="1" customHeight="1" x14ac:dyDescent="0.25">
      <c r="C104" s="119"/>
      <c r="D104" s="119"/>
      <c r="E104" s="119"/>
      <c r="F104" s="119"/>
      <c r="G104" s="119"/>
      <c r="H104" s="119"/>
      <c r="I104" s="120"/>
      <c r="J104" s="120"/>
      <c r="K104" s="120"/>
      <c r="L104" s="120"/>
      <c r="M104" s="120"/>
      <c r="N104" s="120"/>
      <c r="O104" s="121"/>
      <c r="P104" s="121"/>
      <c r="Q104" s="121"/>
      <c r="R104" s="121"/>
      <c r="S104" s="121"/>
      <c r="T104" s="122"/>
    </row>
    <row r="105" spans="3:20" s="63" customFormat="1" ht="15.95" hidden="1" customHeight="1" x14ac:dyDescent="0.25">
      <c r="C105" s="119"/>
      <c r="D105" s="119"/>
      <c r="E105" s="119"/>
      <c r="F105" s="119"/>
      <c r="G105" s="119"/>
      <c r="H105" s="119"/>
      <c r="I105" s="120"/>
      <c r="J105" s="120"/>
      <c r="K105" s="120"/>
      <c r="L105" s="120"/>
      <c r="M105" s="120"/>
      <c r="N105" s="120"/>
      <c r="O105" s="121"/>
      <c r="P105" s="121"/>
      <c r="Q105" s="121"/>
      <c r="R105" s="121"/>
      <c r="S105" s="121"/>
      <c r="T105" s="122"/>
    </row>
    <row r="106" spans="3:20" s="63" customFormat="1" ht="15.95" hidden="1" customHeight="1" x14ac:dyDescent="0.25">
      <c r="C106" s="119"/>
      <c r="D106" s="119"/>
      <c r="E106" s="119"/>
      <c r="F106" s="119"/>
      <c r="G106" s="119"/>
      <c r="H106" s="119"/>
      <c r="I106" s="120"/>
      <c r="J106" s="120"/>
      <c r="K106" s="120"/>
      <c r="L106" s="120"/>
      <c r="M106" s="120"/>
      <c r="N106" s="120"/>
      <c r="O106" s="121"/>
      <c r="P106" s="121"/>
      <c r="Q106" s="121"/>
      <c r="R106" s="121"/>
      <c r="S106" s="121"/>
      <c r="T106" s="122"/>
    </row>
    <row r="107" spans="3:20" s="63" customFormat="1" ht="15.95" hidden="1" customHeight="1" x14ac:dyDescent="0.25">
      <c r="C107" s="119"/>
      <c r="D107" s="119"/>
      <c r="E107" s="119"/>
      <c r="F107" s="119"/>
      <c r="G107" s="119"/>
      <c r="H107" s="119"/>
      <c r="I107" s="120"/>
      <c r="J107" s="120"/>
      <c r="K107" s="120"/>
      <c r="L107" s="120"/>
      <c r="M107" s="120"/>
      <c r="N107" s="120"/>
      <c r="O107" s="121"/>
      <c r="P107" s="121"/>
      <c r="Q107" s="121"/>
      <c r="R107" s="121"/>
      <c r="S107" s="121"/>
      <c r="T107" s="122"/>
    </row>
    <row r="108" spans="3:20" s="63" customFormat="1" ht="15.95" hidden="1" customHeight="1" x14ac:dyDescent="0.25">
      <c r="C108" s="119"/>
      <c r="D108" s="119"/>
      <c r="E108" s="119"/>
      <c r="F108" s="119"/>
      <c r="G108" s="119"/>
      <c r="H108" s="119"/>
      <c r="I108" s="120"/>
      <c r="J108" s="120"/>
      <c r="K108" s="120"/>
      <c r="L108" s="120"/>
      <c r="M108" s="120"/>
      <c r="N108" s="120"/>
      <c r="O108" s="121"/>
      <c r="P108" s="121"/>
      <c r="Q108" s="121"/>
      <c r="R108" s="121"/>
      <c r="S108" s="121"/>
      <c r="T108" s="122"/>
    </row>
    <row r="109" spans="3:20" s="63" customFormat="1" ht="15.95" hidden="1" customHeight="1" x14ac:dyDescent="0.25">
      <c r="C109" s="119"/>
      <c r="D109" s="119"/>
      <c r="E109" s="119"/>
      <c r="F109" s="119"/>
      <c r="G109" s="119"/>
      <c r="H109" s="119"/>
      <c r="I109" s="120"/>
      <c r="J109" s="120"/>
      <c r="K109" s="120"/>
      <c r="L109" s="120"/>
      <c r="M109" s="120"/>
      <c r="N109" s="120"/>
      <c r="O109" s="121"/>
      <c r="P109" s="121"/>
      <c r="Q109" s="121"/>
      <c r="R109" s="121"/>
      <c r="S109" s="121"/>
      <c r="T109" s="122"/>
    </row>
    <row r="110" spans="3:20" s="63" customFormat="1" ht="15.95" hidden="1" customHeight="1" x14ac:dyDescent="0.25">
      <c r="C110" s="119"/>
      <c r="D110" s="119"/>
      <c r="E110" s="119"/>
      <c r="F110" s="119"/>
      <c r="G110" s="119"/>
      <c r="H110" s="119"/>
      <c r="I110" s="120"/>
      <c r="J110" s="120"/>
      <c r="K110" s="120"/>
      <c r="L110" s="120"/>
      <c r="M110" s="120"/>
      <c r="N110" s="120"/>
      <c r="O110" s="121"/>
      <c r="P110" s="121"/>
      <c r="Q110" s="121"/>
      <c r="R110" s="121"/>
      <c r="S110" s="121"/>
      <c r="T110" s="122"/>
    </row>
    <row r="111" spans="3:20" s="63" customFormat="1" ht="15.95" hidden="1" customHeight="1" x14ac:dyDescent="0.25">
      <c r="C111" s="119"/>
      <c r="D111" s="119"/>
      <c r="E111" s="119"/>
      <c r="F111" s="119"/>
      <c r="G111" s="119"/>
      <c r="H111" s="119"/>
      <c r="I111" s="120"/>
      <c r="J111" s="120"/>
      <c r="K111" s="120"/>
      <c r="L111" s="120"/>
      <c r="M111" s="120"/>
      <c r="N111" s="120"/>
      <c r="O111" s="121"/>
      <c r="P111" s="121"/>
      <c r="Q111" s="121"/>
      <c r="R111" s="121"/>
      <c r="S111" s="121"/>
      <c r="T111" s="122"/>
    </row>
    <row r="112" spans="3:20" s="63" customFormat="1" ht="15.95" hidden="1" customHeight="1" x14ac:dyDescent="0.25">
      <c r="C112" s="119"/>
      <c r="D112" s="119"/>
      <c r="E112" s="119"/>
      <c r="F112" s="119"/>
      <c r="G112" s="119"/>
      <c r="H112" s="119"/>
      <c r="I112" s="120"/>
      <c r="J112" s="120"/>
      <c r="K112" s="120"/>
      <c r="L112" s="120"/>
      <c r="M112" s="120"/>
      <c r="N112" s="120"/>
      <c r="O112" s="121"/>
      <c r="P112" s="121"/>
      <c r="Q112" s="121"/>
      <c r="R112" s="121"/>
      <c r="S112" s="121"/>
      <c r="T112" s="122"/>
    </row>
    <row r="113" spans="3:20" s="63" customFormat="1" ht="15.95" hidden="1" customHeight="1" x14ac:dyDescent="0.25">
      <c r="C113" s="119"/>
      <c r="D113" s="119"/>
      <c r="E113" s="119"/>
      <c r="F113" s="119"/>
      <c r="G113" s="119"/>
      <c r="H113" s="119"/>
      <c r="I113" s="120"/>
      <c r="J113" s="120"/>
      <c r="K113" s="120"/>
      <c r="L113" s="120"/>
      <c r="M113" s="120"/>
      <c r="N113" s="120"/>
      <c r="O113" s="121"/>
      <c r="P113" s="121"/>
      <c r="Q113" s="121"/>
      <c r="R113" s="121"/>
      <c r="S113" s="121"/>
      <c r="T113" s="122"/>
    </row>
    <row r="114" spans="3:20" s="63" customFormat="1" ht="15.95" hidden="1" customHeight="1" x14ac:dyDescent="0.25">
      <c r="C114" s="119"/>
      <c r="D114" s="119"/>
      <c r="E114" s="119"/>
      <c r="F114" s="119"/>
      <c r="G114" s="119"/>
      <c r="H114" s="119"/>
      <c r="I114" s="120"/>
      <c r="J114" s="120"/>
      <c r="K114" s="120"/>
      <c r="L114" s="120"/>
      <c r="M114" s="120"/>
      <c r="N114" s="120"/>
      <c r="O114" s="121"/>
      <c r="P114" s="121"/>
      <c r="Q114" s="121"/>
      <c r="R114" s="121"/>
      <c r="S114" s="121"/>
      <c r="T114" s="122"/>
    </row>
    <row r="115" spans="3:20" s="63" customFormat="1" ht="15.95" hidden="1" customHeight="1" x14ac:dyDescent="0.25">
      <c r="C115" s="119"/>
      <c r="D115" s="119"/>
      <c r="E115" s="119"/>
      <c r="F115" s="119"/>
      <c r="G115" s="119"/>
      <c r="H115" s="119"/>
      <c r="I115" s="120"/>
      <c r="J115" s="120"/>
      <c r="K115" s="120"/>
      <c r="L115" s="120"/>
      <c r="M115" s="120"/>
      <c r="N115" s="120"/>
      <c r="O115" s="121"/>
      <c r="P115" s="121"/>
      <c r="Q115" s="121"/>
      <c r="R115" s="121"/>
      <c r="S115" s="121"/>
      <c r="T115" s="122"/>
    </row>
    <row r="116" spans="3:20" s="63" customFormat="1" ht="15.95" hidden="1" customHeight="1" x14ac:dyDescent="0.25">
      <c r="C116" s="119"/>
      <c r="D116" s="119"/>
      <c r="E116" s="119"/>
      <c r="F116" s="119"/>
      <c r="G116" s="119"/>
      <c r="H116" s="119"/>
      <c r="I116" s="120"/>
      <c r="J116" s="120"/>
      <c r="K116" s="120"/>
      <c r="L116" s="120"/>
      <c r="M116" s="120"/>
      <c r="N116" s="120"/>
      <c r="O116" s="121"/>
      <c r="P116" s="121"/>
      <c r="Q116" s="121"/>
      <c r="R116" s="121"/>
      <c r="S116" s="121"/>
      <c r="T116" s="122"/>
    </row>
    <row r="117" spans="3:20" s="63" customFormat="1" ht="15.95" hidden="1" customHeight="1" x14ac:dyDescent="0.25">
      <c r="C117" s="119"/>
      <c r="D117" s="119"/>
      <c r="E117" s="119"/>
      <c r="F117" s="119"/>
      <c r="G117" s="119"/>
      <c r="H117" s="119"/>
      <c r="I117" s="120"/>
      <c r="J117" s="120"/>
      <c r="K117" s="120"/>
      <c r="L117" s="120"/>
      <c r="M117" s="120"/>
      <c r="N117" s="120"/>
      <c r="O117" s="121"/>
      <c r="P117" s="121"/>
      <c r="Q117" s="121"/>
      <c r="R117" s="121"/>
      <c r="S117" s="121"/>
      <c r="T117" s="122"/>
    </row>
    <row r="118" spans="3:20" s="63" customFormat="1" ht="15.95" hidden="1" customHeight="1" x14ac:dyDescent="0.25">
      <c r="C118" s="119"/>
      <c r="D118" s="119"/>
      <c r="E118" s="119"/>
      <c r="F118" s="119"/>
      <c r="G118" s="119"/>
      <c r="H118" s="119"/>
      <c r="I118" s="120"/>
      <c r="J118" s="120"/>
      <c r="K118" s="120"/>
      <c r="L118" s="120"/>
      <c r="M118" s="120"/>
      <c r="N118" s="120"/>
      <c r="O118" s="121"/>
      <c r="P118" s="121"/>
      <c r="Q118" s="121"/>
      <c r="R118" s="121"/>
      <c r="S118" s="121"/>
      <c r="T118" s="122"/>
    </row>
    <row r="119" spans="3:20" s="63" customFormat="1" ht="15.95" hidden="1" customHeight="1" x14ac:dyDescent="0.25">
      <c r="C119" s="119"/>
      <c r="D119" s="119"/>
      <c r="E119" s="119"/>
      <c r="F119" s="119"/>
      <c r="G119" s="119"/>
      <c r="H119" s="119"/>
      <c r="I119" s="120"/>
      <c r="J119" s="120"/>
      <c r="K119" s="120"/>
      <c r="L119" s="120"/>
      <c r="M119" s="120"/>
      <c r="N119" s="120"/>
      <c r="O119" s="121"/>
      <c r="P119" s="121"/>
      <c r="Q119" s="121"/>
      <c r="R119" s="121"/>
      <c r="S119" s="121"/>
      <c r="T119" s="122"/>
    </row>
    <row r="120" spans="3:20" s="63" customFormat="1" ht="15.95" hidden="1" customHeight="1" x14ac:dyDescent="0.25">
      <c r="C120" s="119"/>
      <c r="D120" s="119"/>
      <c r="E120" s="119"/>
      <c r="F120" s="119"/>
      <c r="G120" s="119"/>
      <c r="H120" s="119"/>
      <c r="I120" s="120"/>
      <c r="J120" s="120"/>
      <c r="K120" s="120"/>
      <c r="L120" s="120"/>
      <c r="M120" s="120"/>
      <c r="N120" s="120"/>
      <c r="O120" s="121"/>
      <c r="P120" s="121"/>
      <c r="Q120" s="121"/>
      <c r="R120" s="121"/>
      <c r="S120" s="121"/>
      <c r="T120" s="122"/>
    </row>
    <row r="121" spans="3:20" s="63" customFormat="1" ht="15.95" hidden="1" customHeight="1" x14ac:dyDescent="0.25">
      <c r="C121" s="119"/>
      <c r="D121" s="119"/>
      <c r="E121" s="119"/>
      <c r="F121" s="119"/>
      <c r="G121" s="119"/>
      <c r="H121" s="119"/>
      <c r="I121" s="120"/>
      <c r="J121" s="120"/>
      <c r="K121" s="120"/>
      <c r="L121" s="120"/>
      <c r="M121" s="120"/>
      <c r="N121" s="120"/>
      <c r="O121" s="121"/>
      <c r="P121" s="121"/>
      <c r="Q121" s="121"/>
      <c r="R121" s="121"/>
      <c r="S121" s="121"/>
      <c r="T121" s="122"/>
    </row>
    <row r="122" spans="3:20" s="63" customFormat="1" ht="15.95" hidden="1" customHeight="1" x14ac:dyDescent="0.25">
      <c r="C122" s="119"/>
      <c r="D122" s="119"/>
      <c r="E122" s="119"/>
      <c r="F122" s="119"/>
      <c r="G122" s="119"/>
      <c r="H122" s="119"/>
      <c r="I122" s="120"/>
      <c r="J122" s="120"/>
      <c r="K122" s="120"/>
      <c r="L122" s="120"/>
      <c r="M122" s="120"/>
      <c r="N122" s="120"/>
      <c r="O122" s="121"/>
      <c r="P122" s="121"/>
      <c r="Q122" s="121"/>
      <c r="R122" s="121"/>
      <c r="S122" s="121"/>
      <c r="T122" s="122"/>
    </row>
    <row r="123" spans="3:20" s="63" customFormat="1" ht="15.95" hidden="1" customHeight="1" x14ac:dyDescent="0.25">
      <c r="C123" s="119"/>
      <c r="D123" s="119"/>
      <c r="E123" s="119"/>
      <c r="F123" s="119"/>
      <c r="G123" s="119"/>
      <c r="H123" s="119"/>
      <c r="I123" s="120"/>
      <c r="J123" s="120"/>
      <c r="K123" s="120"/>
      <c r="L123" s="120"/>
      <c r="M123" s="120"/>
      <c r="N123" s="120"/>
      <c r="O123" s="121"/>
      <c r="P123" s="121"/>
      <c r="Q123" s="121"/>
      <c r="R123" s="121"/>
      <c r="S123" s="121"/>
      <c r="T123" s="122"/>
    </row>
    <row r="124" spans="3:20" s="63" customFormat="1" ht="15.95" hidden="1" customHeight="1" x14ac:dyDescent="0.25">
      <c r="C124" s="119"/>
      <c r="D124" s="119"/>
      <c r="E124" s="119"/>
      <c r="F124" s="119"/>
      <c r="G124" s="119"/>
      <c r="H124" s="119"/>
      <c r="I124" s="120"/>
      <c r="J124" s="120"/>
      <c r="K124" s="120"/>
      <c r="L124" s="120"/>
      <c r="M124" s="120"/>
      <c r="N124" s="120"/>
      <c r="O124" s="121"/>
      <c r="P124" s="121"/>
      <c r="Q124" s="121"/>
      <c r="R124" s="121"/>
      <c r="S124" s="121"/>
      <c r="T124" s="122"/>
    </row>
    <row r="125" spans="3:20" s="63" customFormat="1" ht="15.95" hidden="1" customHeight="1" x14ac:dyDescent="0.25">
      <c r="C125" s="119"/>
      <c r="D125" s="119"/>
      <c r="E125" s="119"/>
      <c r="F125" s="119"/>
      <c r="G125" s="119"/>
      <c r="H125" s="119"/>
      <c r="I125" s="120"/>
      <c r="J125" s="120"/>
      <c r="K125" s="120"/>
      <c r="L125" s="120"/>
      <c r="M125" s="120"/>
      <c r="N125" s="120"/>
      <c r="O125" s="121"/>
      <c r="P125" s="121"/>
      <c r="Q125" s="121"/>
      <c r="R125" s="121"/>
      <c r="S125" s="121"/>
      <c r="T125" s="122"/>
    </row>
    <row r="126" spans="3:20" s="63" customFormat="1" ht="15.95" hidden="1" customHeight="1" x14ac:dyDescent="0.25">
      <c r="C126" s="119"/>
      <c r="D126" s="119"/>
      <c r="E126" s="119"/>
      <c r="F126" s="119"/>
      <c r="G126" s="119"/>
      <c r="H126" s="119"/>
      <c r="I126" s="120"/>
      <c r="J126" s="120"/>
      <c r="K126" s="120"/>
      <c r="L126" s="120"/>
      <c r="M126" s="120"/>
      <c r="N126" s="120"/>
      <c r="O126" s="121"/>
      <c r="P126" s="121"/>
      <c r="Q126" s="121"/>
      <c r="R126" s="121"/>
      <c r="S126" s="121"/>
      <c r="T126" s="122"/>
    </row>
    <row r="127" spans="3:20" s="63" customFormat="1" ht="15.95" hidden="1" customHeight="1" x14ac:dyDescent="0.25">
      <c r="C127" s="119"/>
      <c r="D127" s="119"/>
      <c r="E127" s="119"/>
      <c r="F127" s="119"/>
      <c r="G127" s="119"/>
      <c r="H127" s="119"/>
      <c r="I127" s="120"/>
      <c r="J127" s="120"/>
      <c r="K127" s="120"/>
      <c r="L127" s="120"/>
      <c r="M127" s="120"/>
      <c r="N127" s="120"/>
      <c r="O127" s="121"/>
      <c r="P127" s="121"/>
      <c r="Q127" s="121"/>
      <c r="R127" s="121"/>
      <c r="S127" s="121"/>
      <c r="T127" s="122"/>
    </row>
    <row r="128" spans="3:20" s="63" customFormat="1" ht="15.95" hidden="1" customHeight="1" x14ac:dyDescent="0.25">
      <c r="C128" s="119"/>
      <c r="D128" s="119"/>
      <c r="E128" s="119"/>
      <c r="F128" s="119"/>
      <c r="G128" s="119"/>
      <c r="H128" s="119"/>
      <c r="I128" s="120"/>
      <c r="J128" s="120"/>
      <c r="K128" s="120"/>
      <c r="L128" s="120"/>
      <c r="M128" s="120"/>
      <c r="N128" s="120"/>
      <c r="O128" s="121"/>
      <c r="P128" s="121"/>
      <c r="Q128" s="121"/>
      <c r="R128" s="121"/>
      <c r="S128" s="121"/>
      <c r="T128" s="122"/>
    </row>
    <row r="129" spans="3:20" s="63" customFormat="1" ht="15.95" hidden="1" customHeight="1" x14ac:dyDescent="0.25">
      <c r="C129" s="119"/>
      <c r="D129" s="119"/>
      <c r="E129" s="119"/>
      <c r="F129" s="119"/>
      <c r="G129" s="119"/>
      <c r="H129" s="119"/>
      <c r="I129" s="120"/>
      <c r="J129" s="120"/>
      <c r="K129" s="120"/>
      <c r="L129" s="120"/>
      <c r="M129" s="120"/>
      <c r="N129" s="120"/>
      <c r="O129" s="121"/>
      <c r="P129" s="121"/>
      <c r="Q129" s="121"/>
      <c r="R129" s="121"/>
      <c r="S129" s="121"/>
      <c r="T129" s="122"/>
    </row>
    <row r="130" spans="3:20" s="63" customFormat="1" ht="15.95" hidden="1" customHeight="1" x14ac:dyDescent="0.25">
      <c r="C130" s="119"/>
      <c r="D130" s="119"/>
      <c r="E130" s="119"/>
      <c r="F130" s="119"/>
      <c r="G130" s="119"/>
      <c r="H130" s="119"/>
      <c r="I130" s="120"/>
      <c r="J130" s="120"/>
      <c r="K130" s="120"/>
      <c r="L130" s="120"/>
      <c r="M130" s="120"/>
      <c r="N130" s="120"/>
      <c r="O130" s="121"/>
      <c r="P130" s="121"/>
      <c r="Q130" s="121"/>
      <c r="R130" s="121"/>
      <c r="S130" s="121"/>
      <c r="T130" s="122"/>
    </row>
    <row r="131" spans="3:20" s="63" customFormat="1" ht="15.95" hidden="1" customHeight="1" x14ac:dyDescent="0.25">
      <c r="C131" s="119"/>
      <c r="D131" s="119"/>
      <c r="E131" s="119"/>
      <c r="F131" s="119"/>
      <c r="G131" s="119"/>
      <c r="H131" s="119"/>
      <c r="I131" s="120"/>
      <c r="J131" s="120"/>
      <c r="K131" s="120"/>
      <c r="L131" s="120"/>
      <c r="M131" s="120"/>
      <c r="N131" s="120"/>
      <c r="O131" s="121"/>
      <c r="P131" s="121"/>
      <c r="Q131" s="121"/>
      <c r="R131" s="121"/>
      <c r="S131" s="121"/>
      <c r="T131" s="122"/>
    </row>
    <row r="132" spans="3:20" s="63" customFormat="1" ht="15.95" hidden="1" customHeight="1" x14ac:dyDescent="0.25">
      <c r="C132" s="119"/>
      <c r="D132" s="119"/>
      <c r="E132" s="119"/>
      <c r="F132" s="119"/>
      <c r="G132" s="119"/>
      <c r="H132" s="119"/>
      <c r="I132" s="120"/>
      <c r="J132" s="120"/>
      <c r="K132" s="120"/>
      <c r="L132" s="120"/>
      <c r="M132" s="120"/>
      <c r="N132" s="120"/>
      <c r="O132" s="121"/>
      <c r="P132" s="121"/>
      <c r="Q132" s="121"/>
      <c r="R132" s="121"/>
      <c r="S132" s="121"/>
      <c r="T132" s="122"/>
    </row>
    <row r="133" spans="3:20" s="63" customFormat="1" ht="15.95" hidden="1" customHeight="1" x14ac:dyDescent="0.25">
      <c r="C133" s="119"/>
      <c r="D133" s="119"/>
      <c r="E133" s="119"/>
      <c r="F133" s="119"/>
      <c r="G133" s="119"/>
      <c r="H133" s="119"/>
      <c r="I133" s="120"/>
      <c r="J133" s="120"/>
      <c r="K133" s="120"/>
      <c r="L133" s="120"/>
      <c r="M133" s="120"/>
      <c r="N133" s="120"/>
      <c r="O133" s="121"/>
      <c r="P133" s="121"/>
      <c r="Q133" s="121"/>
      <c r="R133" s="121"/>
      <c r="S133" s="121"/>
      <c r="T133" s="122"/>
    </row>
    <row r="134" spans="3:20" s="63" customFormat="1" ht="15.95" hidden="1" customHeight="1" x14ac:dyDescent="0.25">
      <c r="C134" s="119"/>
      <c r="D134" s="119"/>
      <c r="E134" s="119"/>
      <c r="F134" s="119"/>
      <c r="G134" s="119"/>
      <c r="H134" s="119"/>
      <c r="I134" s="120"/>
      <c r="J134" s="120"/>
      <c r="K134" s="120"/>
      <c r="L134" s="120"/>
      <c r="M134" s="120"/>
      <c r="N134" s="120"/>
      <c r="O134" s="121"/>
      <c r="P134" s="121"/>
      <c r="Q134" s="121"/>
      <c r="R134" s="121"/>
      <c r="S134" s="121"/>
      <c r="T134" s="122"/>
    </row>
    <row r="135" spans="3:20" s="63" customFormat="1" ht="15.95" hidden="1" customHeight="1" x14ac:dyDescent="0.25">
      <c r="C135" s="119"/>
      <c r="D135" s="119"/>
      <c r="E135" s="119"/>
      <c r="F135" s="119"/>
      <c r="G135" s="119"/>
      <c r="H135" s="119"/>
      <c r="I135" s="120"/>
      <c r="J135" s="120"/>
      <c r="K135" s="120"/>
      <c r="L135" s="120"/>
      <c r="M135" s="120"/>
      <c r="N135" s="120"/>
      <c r="O135" s="121"/>
      <c r="P135" s="121"/>
      <c r="Q135" s="121"/>
      <c r="R135" s="121"/>
      <c r="S135" s="121"/>
      <c r="T135" s="122"/>
    </row>
    <row r="136" spans="3:20" s="63" customFormat="1" ht="15.95" hidden="1" customHeight="1" x14ac:dyDescent="0.25">
      <c r="C136" s="119"/>
      <c r="D136" s="119"/>
      <c r="E136" s="119"/>
      <c r="F136" s="119"/>
      <c r="G136" s="119"/>
      <c r="H136" s="119"/>
      <c r="I136" s="120"/>
      <c r="J136" s="120"/>
      <c r="K136" s="120"/>
      <c r="L136" s="120"/>
      <c r="M136" s="120"/>
      <c r="N136" s="120"/>
      <c r="O136" s="121"/>
      <c r="P136" s="121"/>
      <c r="Q136" s="121"/>
      <c r="R136" s="121"/>
      <c r="S136" s="121"/>
      <c r="T136" s="122"/>
    </row>
    <row r="137" spans="3:20" s="63" customFormat="1" ht="15.95" hidden="1" customHeight="1" x14ac:dyDescent="0.25">
      <c r="C137" s="119"/>
      <c r="D137" s="119"/>
      <c r="E137" s="119"/>
      <c r="F137" s="119"/>
      <c r="G137" s="119"/>
      <c r="H137" s="119"/>
      <c r="I137" s="120"/>
      <c r="J137" s="120"/>
      <c r="K137" s="120"/>
      <c r="L137" s="120"/>
      <c r="M137" s="120"/>
      <c r="N137" s="120"/>
      <c r="O137" s="121"/>
      <c r="P137" s="121"/>
      <c r="Q137" s="121"/>
      <c r="R137" s="121"/>
      <c r="S137" s="121"/>
      <c r="T137" s="122"/>
    </row>
    <row r="138" spans="3:20" s="63" customFormat="1" ht="15.95" hidden="1" customHeight="1" x14ac:dyDescent="0.25">
      <c r="C138" s="119"/>
      <c r="D138" s="119"/>
      <c r="E138" s="119"/>
      <c r="F138" s="119"/>
      <c r="G138" s="119"/>
      <c r="H138" s="119"/>
      <c r="I138" s="120"/>
      <c r="J138" s="120"/>
      <c r="K138" s="120"/>
      <c r="L138" s="120"/>
      <c r="M138" s="120"/>
      <c r="N138" s="120"/>
      <c r="O138" s="121"/>
      <c r="P138" s="121"/>
      <c r="Q138" s="121"/>
      <c r="R138" s="121"/>
      <c r="S138" s="121"/>
      <c r="T138" s="122"/>
    </row>
    <row r="139" spans="3:20" s="63" customFormat="1" ht="15.95" hidden="1" customHeight="1" x14ac:dyDescent="0.25">
      <c r="C139" s="119"/>
      <c r="D139" s="119"/>
      <c r="E139" s="119"/>
      <c r="F139" s="119"/>
      <c r="G139" s="119"/>
      <c r="H139" s="119"/>
      <c r="I139" s="120"/>
      <c r="J139" s="120"/>
      <c r="K139" s="120"/>
      <c r="L139" s="120"/>
      <c r="M139" s="120"/>
      <c r="N139" s="120"/>
      <c r="O139" s="121"/>
      <c r="P139" s="121"/>
      <c r="Q139" s="121"/>
      <c r="R139" s="121"/>
      <c r="S139" s="121"/>
      <c r="T139" s="122"/>
    </row>
    <row r="140" spans="3:20" s="63" customFormat="1" ht="15.95" hidden="1" customHeight="1" x14ac:dyDescent="0.25">
      <c r="C140" s="119"/>
      <c r="D140" s="119"/>
      <c r="E140" s="119"/>
      <c r="F140" s="119"/>
      <c r="G140" s="119"/>
      <c r="H140" s="119"/>
      <c r="I140" s="120"/>
      <c r="J140" s="120"/>
      <c r="K140" s="120"/>
      <c r="L140" s="120"/>
      <c r="M140" s="120"/>
      <c r="N140" s="120"/>
      <c r="O140" s="121"/>
      <c r="P140" s="121"/>
      <c r="Q140" s="121"/>
      <c r="R140" s="121"/>
      <c r="S140" s="121"/>
      <c r="T140" s="122"/>
    </row>
    <row r="141" spans="3:20" s="63" customFormat="1" ht="15.95" hidden="1" customHeight="1" x14ac:dyDescent="0.25">
      <c r="C141" s="119"/>
      <c r="D141" s="119"/>
      <c r="E141" s="119"/>
      <c r="F141" s="119"/>
      <c r="G141" s="119"/>
      <c r="H141" s="119"/>
      <c r="I141" s="120"/>
      <c r="J141" s="120"/>
      <c r="K141" s="120"/>
      <c r="L141" s="120"/>
      <c r="M141" s="120"/>
      <c r="N141" s="120"/>
      <c r="O141" s="121"/>
      <c r="P141" s="121"/>
      <c r="Q141" s="121"/>
      <c r="R141" s="121"/>
      <c r="S141" s="121"/>
      <c r="T141" s="122"/>
    </row>
    <row r="142" spans="3:20" s="63" customFormat="1" ht="15.95" hidden="1" customHeight="1" x14ac:dyDescent="0.25">
      <c r="C142" s="119"/>
      <c r="D142" s="119"/>
      <c r="E142" s="119"/>
      <c r="F142" s="119"/>
      <c r="G142" s="119"/>
      <c r="H142" s="119"/>
      <c r="I142" s="120"/>
      <c r="J142" s="120"/>
      <c r="K142" s="120"/>
      <c r="L142" s="120"/>
      <c r="M142" s="120"/>
      <c r="N142" s="120"/>
      <c r="O142" s="121"/>
      <c r="P142" s="121"/>
      <c r="Q142" s="121"/>
      <c r="R142" s="121"/>
      <c r="S142" s="121"/>
      <c r="T142" s="122"/>
    </row>
    <row r="143" spans="3:20" s="63" customFormat="1" ht="15.95" hidden="1" customHeight="1" x14ac:dyDescent="0.25">
      <c r="C143" s="119"/>
      <c r="D143" s="119"/>
      <c r="E143" s="119"/>
      <c r="F143" s="119"/>
      <c r="G143" s="119"/>
      <c r="H143" s="119"/>
      <c r="I143" s="120"/>
      <c r="J143" s="120"/>
      <c r="K143" s="120"/>
      <c r="L143" s="120"/>
      <c r="M143" s="120"/>
      <c r="N143" s="120"/>
      <c r="O143" s="121"/>
      <c r="P143" s="121"/>
      <c r="Q143" s="121"/>
      <c r="R143" s="121"/>
      <c r="S143" s="121"/>
      <c r="T143" s="122"/>
    </row>
    <row r="144" spans="3:20" s="63" customFormat="1" ht="15.95" hidden="1" customHeight="1" x14ac:dyDescent="0.25">
      <c r="C144" s="119"/>
      <c r="D144" s="119"/>
      <c r="E144" s="119"/>
      <c r="F144" s="119"/>
      <c r="G144" s="119"/>
      <c r="H144" s="119"/>
      <c r="I144" s="120"/>
      <c r="J144" s="120"/>
      <c r="K144" s="120"/>
      <c r="L144" s="120"/>
      <c r="M144" s="120"/>
      <c r="N144" s="120"/>
      <c r="O144" s="121"/>
      <c r="P144" s="121"/>
      <c r="Q144" s="121"/>
      <c r="R144" s="121"/>
      <c r="S144" s="121"/>
      <c r="T144" s="122"/>
    </row>
    <row r="145" spans="3:20" s="63" customFormat="1" ht="15.95" hidden="1" customHeight="1" x14ac:dyDescent="0.25">
      <c r="C145" s="119"/>
      <c r="D145" s="119"/>
      <c r="E145" s="119"/>
      <c r="F145" s="119"/>
      <c r="G145" s="119"/>
      <c r="H145" s="119"/>
      <c r="I145" s="120"/>
      <c r="J145" s="120"/>
      <c r="K145" s="120"/>
      <c r="L145" s="120"/>
      <c r="M145" s="120"/>
      <c r="N145" s="120"/>
      <c r="O145" s="121"/>
      <c r="P145" s="121"/>
      <c r="Q145" s="121"/>
      <c r="R145" s="121"/>
      <c r="S145" s="121"/>
      <c r="T145" s="122"/>
    </row>
    <row r="146" spans="3:20" s="63" customFormat="1" ht="15.95" hidden="1" customHeight="1" x14ac:dyDescent="0.25">
      <c r="C146" s="119"/>
      <c r="D146" s="119"/>
      <c r="E146" s="119"/>
      <c r="F146" s="119"/>
      <c r="G146" s="119"/>
      <c r="H146" s="119"/>
      <c r="I146" s="120"/>
      <c r="J146" s="120"/>
      <c r="K146" s="120"/>
      <c r="L146" s="120"/>
      <c r="M146" s="120"/>
      <c r="N146" s="120"/>
      <c r="O146" s="121"/>
      <c r="P146" s="121"/>
      <c r="Q146" s="121"/>
      <c r="R146" s="121"/>
      <c r="S146" s="121"/>
      <c r="T146" s="122"/>
    </row>
    <row r="147" spans="3:20" s="63" customFormat="1" ht="15.95" hidden="1" customHeight="1" x14ac:dyDescent="0.25">
      <c r="C147" s="119"/>
      <c r="D147" s="119"/>
      <c r="E147" s="119"/>
      <c r="F147" s="119"/>
      <c r="G147" s="119"/>
      <c r="H147" s="119"/>
      <c r="I147" s="120"/>
      <c r="J147" s="120"/>
      <c r="K147" s="120"/>
      <c r="L147" s="120"/>
      <c r="M147" s="120"/>
      <c r="N147" s="120"/>
      <c r="O147" s="121"/>
      <c r="P147" s="121"/>
      <c r="Q147" s="121"/>
      <c r="R147" s="121"/>
      <c r="S147" s="121"/>
      <c r="T147" s="122"/>
    </row>
    <row r="148" spans="3:20" s="63" customFormat="1" ht="15.95" hidden="1" customHeight="1" x14ac:dyDescent="0.25">
      <c r="C148" s="119"/>
      <c r="D148" s="119"/>
      <c r="E148" s="119"/>
      <c r="F148" s="119"/>
      <c r="G148" s="119"/>
      <c r="H148" s="119"/>
      <c r="I148" s="120"/>
      <c r="J148" s="120"/>
      <c r="K148" s="120"/>
      <c r="L148" s="120"/>
      <c r="M148" s="120"/>
      <c r="N148" s="120"/>
      <c r="O148" s="121"/>
      <c r="P148" s="121"/>
      <c r="Q148" s="121"/>
      <c r="R148" s="121"/>
      <c r="S148" s="121"/>
      <c r="T148" s="122"/>
    </row>
    <row r="149" spans="3:20" s="63" customFormat="1" ht="15.95" hidden="1" customHeight="1" x14ac:dyDescent="0.25">
      <c r="C149" s="119"/>
      <c r="D149" s="119"/>
      <c r="E149" s="119"/>
      <c r="F149" s="119"/>
      <c r="G149" s="119"/>
      <c r="H149" s="119"/>
      <c r="I149" s="120"/>
      <c r="J149" s="120"/>
      <c r="K149" s="120"/>
      <c r="L149" s="120"/>
      <c r="M149" s="120"/>
      <c r="N149" s="120"/>
      <c r="O149" s="121"/>
      <c r="P149" s="121"/>
      <c r="Q149" s="121"/>
      <c r="R149" s="121"/>
      <c r="S149" s="121"/>
      <c r="T149" s="122"/>
    </row>
    <row r="150" spans="3:20" s="63" customFormat="1" ht="15.95" hidden="1" customHeight="1" x14ac:dyDescent="0.25">
      <c r="C150" s="119"/>
      <c r="D150" s="119"/>
      <c r="E150" s="119"/>
      <c r="F150" s="119"/>
      <c r="G150" s="119"/>
      <c r="H150" s="119"/>
      <c r="I150" s="120"/>
      <c r="J150" s="120"/>
      <c r="K150" s="120"/>
      <c r="L150" s="120"/>
      <c r="M150" s="120"/>
      <c r="N150" s="120"/>
      <c r="O150" s="121"/>
      <c r="P150" s="121"/>
      <c r="Q150" s="121"/>
      <c r="R150" s="121"/>
      <c r="S150" s="121"/>
      <c r="T150" s="122"/>
    </row>
    <row r="151" spans="3:20" s="63" customFormat="1" ht="15.95" hidden="1" customHeight="1" x14ac:dyDescent="0.25">
      <c r="C151" s="119"/>
      <c r="D151" s="119"/>
      <c r="E151" s="119"/>
      <c r="F151" s="119"/>
      <c r="G151" s="119"/>
      <c r="H151" s="119"/>
      <c r="I151" s="120"/>
      <c r="J151" s="120"/>
      <c r="K151" s="120"/>
      <c r="L151" s="120"/>
      <c r="M151" s="120"/>
      <c r="N151" s="120"/>
      <c r="O151" s="121"/>
      <c r="P151" s="121"/>
      <c r="Q151" s="121"/>
      <c r="R151" s="121"/>
      <c r="S151" s="121"/>
      <c r="T151" s="122"/>
    </row>
    <row r="152" spans="3:20" s="63" customFormat="1" ht="15.95" hidden="1" customHeight="1" x14ac:dyDescent="0.25">
      <c r="C152" s="119"/>
      <c r="D152" s="119"/>
      <c r="E152" s="119"/>
      <c r="F152" s="119"/>
      <c r="G152" s="119"/>
      <c r="H152" s="119"/>
      <c r="I152" s="120"/>
      <c r="J152" s="120"/>
      <c r="K152" s="120"/>
      <c r="L152" s="120"/>
      <c r="M152" s="120"/>
      <c r="N152" s="120"/>
      <c r="O152" s="121"/>
      <c r="P152" s="121"/>
      <c r="Q152" s="121"/>
      <c r="R152" s="121"/>
      <c r="S152" s="121"/>
      <c r="T152" s="122"/>
    </row>
    <row r="153" spans="3:20" s="63" customFormat="1" ht="15.95" hidden="1" customHeight="1" x14ac:dyDescent="0.25">
      <c r="C153" s="119"/>
      <c r="D153" s="119"/>
      <c r="E153" s="119"/>
      <c r="F153" s="119"/>
      <c r="G153" s="119"/>
      <c r="H153" s="119"/>
      <c r="I153" s="120"/>
      <c r="J153" s="120"/>
      <c r="K153" s="120"/>
      <c r="L153" s="120"/>
      <c r="M153" s="120"/>
      <c r="N153" s="120"/>
      <c r="O153" s="121"/>
      <c r="P153" s="121"/>
      <c r="Q153" s="121"/>
      <c r="R153" s="121"/>
      <c r="S153" s="121"/>
      <c r="T153" s="122"/>
    </row>
    <row r="154" spans="3:20" s="63" customFormat="1" ht="15.95" hidden="1" customHeight="1" x14ac:dyDescent="0.25">
      <c r="C154" s="119"/>
      <c r="D154" s="119"/>
      <c r="E154" s="119"/>
      <c r="F154" s="119"/>
      <c r="G154" s="119"/>
      <c r="H154" s="119"/>
      <c r="I154" s="120"/>
      <c r="J154" s="120"/>
      <c r="K154" s="120"/>
      <c r="L154" s="120"/>
      <c r="M154" s="120"/>
      <c r="N154" s="120"/>
      <c r="O154" s="121"/>
      <c r="P154" s="121"/>
      <c r="Q154" s="121"/>
      <c r="R154" s="121"/>
      <c r="S154" s="121"/>
      <c r="T154" s="122"/>
    </row>
    <row r="155" spans="3:20" s="63" customFormat="1" ht="15.95" hidden="1" customHeight="1" x14ac:dyDescent="0.25">
      <c r="C155" s="119"/>
      <c r="D155" s="119"/>
      <c r="E155" s="119"/>
      <c r="F155" s="119"/>
      <c r="G155" s="119"/>
      <c r="H155" s="119"/>
      <c r="I155" s="120"/>
      <c r="J155" s="120"/>
      <c r="K155" s="120"/>
      <c r="L155" s="120"/>
      <c r="M155" s="120"/>
      <c r="N155" s="120"/>
      <c r="O155" s="121"/>
      <c r="P155" s="121"/>
      <c r="Q155" s="121"/>
      <c r="R155" s="121"/>
      <c r="S155" s="121"/>
      <c r="T155" s="122"/>
    </row>
    <row r="156" spans="3:20" s="63" customFormat="1" ht="15.95" hidden="1" customHeight="1" x14ac:dyDescent="0.25">
      <c r="C156" s="119"/>
      <c r="D156" s="119"/>
      <c r="E156" s="119"/>
      <c r="F156" s="119"/>
      <c r="G156" s="119"/>
      <c r="H156" s="119"/>
      <c r="I156" s="120"/>
      <c r="J156" s="120"/>
      <c r="K156" s="120"/>
      <c r="L156" s="120"/>
      <c r="M156" s="120"/>
      <c r="N156" s="120"/>
      <c r="O156" s="121"/>
      <c r="P156" s="121"/>
      <c r="Q156" s="121"/>
      <c r="R156" s="121"/>
      <c r="S156" s="121"/>
      <c r="T156" s="122"/>
    </row>
    <row r="157" spans="3:20" s="63" customFormat="1" ht="15.95" hidden="1" customHeight="1" x14ac:dyDescent="0.25">
      <c r="C157" s="119"/>
      <c r="D157" s="119"/>
      <c r="E157" s="119"/>
      <c r="F157" s="119"/>
      <c r="G157" s="119"/>
      <c r="H157" s="119"/>
      <c r="I157" s="120"/>
      <c r="J157" s="120"/>
      <c r="K157" s="120"/>
      <c r="L157" s="120"/>
      <c r="M157" s="120"/>
      <c r="N157" s="120"/>
      <c r="O157" s="121"/>
      <c r="P157" s="121"/>
      <c r="Q157" s="121"/>
      <c r="R157" s="121"/>
      <c r="S157" s="121"/>
      <c r="T157" s="122"/>
    </row>
    <row r="158" spans="3:20" s="63" customFormat="1" ht="15.95" hidden="1" customHeight="1" x14ac:dyDescent="0.25">
      <c r="C158" s="119"/>
      <c r="D158" s="119"/>
      <c r="E158" s="119"/>
      <c r="F158" s="119"/>
      <c r="G158" s="119"/>
      <c r="H158" s="119"/>
      <c r="I158" s="120"/>
      <c r="J158" s="120"/>
      <c r="K158" s="120"/>
      <c r="L158" s="120"/>
      <c r="M158" s="120"/>
      <c r="N158" s="120"/>
      <c r="O158" s="121"/>
      <c r="P158" s="121"/>
      <c r="Q158" s="121"/>
      <c r="R158" s="121"/>
      <c r="S158" s="121"/>
      <c r="T158" s="122"/>
    </row>
    <row r="159" spans="3:20" s="63" customFormat="1" ht="15.95" hidden="1" customHeight="1" x14ac:dyDescent="0.25">
      <c r="C159" s="119"/>
      <c r="D159" s="119"/>
      <c r="E159" s="119"/>
      <c r="F159" s="119"/>
      <c r="G159" s="119"/>
      <c r="H159" s="119"/>
      <c r="I159" s="120"/>
      <c r="J159" s="120"/>
      <c r="K159" s="120"/>
      <c r="L159" s="120"/>
      <c r="M159" s="120"/>
      <c r="N159" s="120"/>
      <c r="O159" s="121"/>
      <c r="P159" s="121"/>
      <c r="Q159" s="121"/>
      <c r="R159" s="121"/>
      <c r="S159" s="121"/>
      <c r="T159" s="122"/>
    </row>
    <row r="160" spans="3:20" s="63" customFormat="1" ht="15.95" hidden="1" customHeight="1" x14ac:dyDescent="0.25">
      <c r="C160" s="119"/>
      <c r="D160" s="119"/>
      <c r="E160" s="119"/>
      <c r="F160" s="119"/>
      <c r="G160" s="119"/>
      <c r="H160" s="119"/>
      <c r="I160" s="120"/>
      <c r="J160" s="120"/>
      <c r="K160" s="120"/>
      <c r="L160" s="120"/>
      <c r="M160" s="120"/>
      <c r="N160" s="120"/>
      <c r="O160" s="121"/>
      <c r="P160" s="121"/>
      <c r="Q160" s="121"/>
      <c r="R160" s="121"/>
      <c r="S160" s="121"/>
      <c r="T160" s="122"/>
    </row>
    <row r="161" spans="3:20" s="63" customFormat="1" ht="15.95" hidden="1" customHeight="1" x14ac:dyDescent="0.25">
      <c r="C161" s="119"/>
      <c r="D161" s="119"/>
      <c r="E161" s="119"/>
      <c r="F161" s="119"/>
      <c r="G161" s="119"/>
      <c r="H161" s="119"/>
      <c r="I161" s="120"/>
      <c r="J161" s="120"/>
      <c r="K161" s="120"/>
      <c r="L161" s="120"/>
      <c r="M161" s="120"/>
      <c r="N161" s="120"/>
      <c r="O161" s="121"/>
      <c r="P161" s="121"/>
      <c r="Q161" s="121"/>
      <c r="R161" s="121"/>
      <c r="S161" s="121"/>
      <c r="T161" s="122"/>
    </row>
    <row r="162" spans="3:20" s="63" customFormat="1" ht="15.95" hidden="1" customHeight="1" x14ac:dyDescent="0.25">
      <c r="C162" s="119"/>
      <c r="D162" s="119"/>
      <c r="E162" s="119"/>
      <c r="F162" s="119"/>
      <c r="G162" s="119"/>
      <c r="H162" s="119"/>
      <c r="I162" s="120"/>
      <c r="J162" s="120"/>
      <c r="K162" s="120"/>
      <c r="L162" s="120"/>
      <c r="M162" s="120"/>
      <c r="N162" s="120"/>
      <c r="O162" s="121"/>
      <c r="P162" s="121"/>
      <c r="Q162" s="121"/>
      <c r="R162" s="121"/>
      <c r="S162" s="121"/>
      <c r="T162" s="122"/>
    </row>
    <row r="163" spans="3:20" s="63" customFormat="1" ht="15.95" hidden="1" customHeight="1" x14ac:dyDescent="0.25">
      <c r="C163" s="119"/>
      <c r="D163" s="119"/>
      <c r="E163" s="119"/>
      <c r="F163" s="119"/>
      <c r="G163" s="119"/>
      <c r="H163" s="119"/>
      <c r="I163" s="120"/>
      <c r="J163" s="120"/>
      <c r="K163" s="120"/>
      <c r="L163" s="120"/>
      <c r="M163" s="120"/>
      <c r="N163" s="120"/>
      <c r="O163" s="121"/>
      <c r="P163" s="121"/>
      <c r="Q163" s="121"/>
      <c r="R163" s="121"/>
      <c r="S163" s="121"/>
      <c r="T163" s="122"/>
    </row>
    <row r="164" spans="3:20" s="63" customFormat="1" ht="15.95" hidden="1" customHeight="1" x14ac:dyDescent="0.25">
      <c r="C164" s="119"/>
      <c r="D164" s="119"/>
      <c r="E164" s="119"/>
      <c r="F164" s="119"/>
      <c r="G164" s="119"/>
      <c r="H164" s="119"/>
      <c r="I164" s="120"/>
      <c r="J164" s="120"/>
      <c r="K164" s="120"/>
      <c r="L164" s="120"/>
      <c r="M164" s="120"/>
      <c r="N164" s="120"/>
      <c r="O164" s="121"/>
      <c r="P164" s="121"/>
      <c r="Q164" s="121"/>
      <c r="R164" s="121"/>
      <c r="S164" s="121"/>
      <c r="T164" s="122"/>
    </row>
    <row r="165" spans="3:20" s="63" customFormat="1" ht="15.95" hidden="1" customHeight="1" x14ac:dyDescent="0.25">
      <c r="C165" s="119"/>
      <c r="D165" s="119"/>
      <c r="E165" s="119"/>
      <c r="F165" s="119"/>
      <c r="G165" s="119"/>
      <c r="H165" s="119"/>
      <c r="I165" s="120"/>
      <c r="J165" s="120"/>
      <c r="K165" s="120"/>
      <c r="L165" s="120"/>
      <c r="M165" s="120"/>
      <c r="N165" s="120"/>
      <c r="O165" s="121"/>
      <c r="P165" s="121"/>
      <c r="Q165" s="121"/>
      <c r="R165" s="121"/>
      <c r="S165" s="121"/>
      <c r="T165" s="122"/>
    </row>
    <row r="166" spans="3:20" s="63" customFormat="1" ht="15.95" hidden="1" customHeight="1" x14ac:dyDescent="0.25">
      <c r="C166" s="119"/>
      <c r="D166" s="119"/>
      <c r="E166" s="119"/>
      <c r="F166" s="119"/>
      <c r="G166" s="119"/>
      <c r="H166" s="119"/>
      <c r="I166" s="120"/>
      <c r="J166" s="120"/>
      <c r="K166" s="120"/>
      <c r="L166" s="120"/>
      <c r="M166" s="120"/>
      <c r="N166" s="120"/>
      <c r="O166" s="121"/>
      <c r="P166" s="121"/>
      <c r="Q166" s="121"/>
      <c r="R166" s="121"/>
      <c r="S166" s="121"/>
      <c r="T166" s="122"/>
    </row>
    <row r="167" spans="3:20" s="63" customFormat="1" ht="15.95" hidden="1" customHeight="1" x14ac:dyDescent="0.25">
      <c r="C167" s="119"/>
      <c r="D167" s="119"/>
      <c r="E167" s="119"/>
      <c r="F167" s="119"/>
      <c r="G167" s="119"/>
      <c r="H167" s="119"/>
      <c r="I167" s="120"/>
      <c r="J167" s="120"/>
      <c r="K167" s="120"/>
      <c r="L167" s="120"/>
      <c r="M167" s="120"/>
      <c r="N167" s="120"/>
      <c r="O167" s="121"/>
      <c r="P167" s="121"/>
      <c r="Q167" s="121"/>
      <c r="R167" s="121"/>
      <c r="S167" s="121"/>
      <c r="T167" s="122"/>
    </row>
    <row r="168" spans="3:20" s="63" customFormat="1" ht="15.95" hidden="1" customHeight="1" x14ac:dyDescent="0.25">
      <c r="C168" s="119"/>
      <c r="D168" s="119"/>
      <c r="E168" s="119"/>
      <c r="F168" s="119"/>
      <c r="G168" s="119"/>
      <c r="H168" s="119"/>
      <c r="I168" s="120"/>
      <c r="J168" s="120"/>
      <c r="K168" s="120"/>
      <c r="L168" s="120"/>
      <c r="M168" s="120"/>
      <c r="N168" s="120"/>
      <c r="O168" s="121"/>
      <c r="P168" s="121"/>
      <c r="Q168" s="121"/>
      <c r="R168" s="121"/>
      <c r="S168" s="121"/>
      <c r="T168" s="122"/>
    </row>
    <row r="169" spans="3:20" s="63" customFormat="1" ht="15.95" hidden="1" customHeight="1" x14ac:dyDescent="0.25">
      <c r="C169" s="119"/>
      <c r="D169" s="119"/>
      <c r="E169" s="119"/>
      <c r="F169" s="119"/>
      <c r="G169" s="119"/>
      <c r="H169" s="119"/>
      <c r="I169" s="120"/>
      <c r="J169" s="120"/>
      <c r="K169" s="120"/>
      <c r="L169" s="120"/>
      <c r="M169" s="120"/>
      <c r="N169" s="120"/>
      <c r="O169" s="121"/>
      <c r="P169" s="121"/>
      <c r="Q169" s="121"/>
      <c r="R169" s="121"/>
      <c r="S169" s="121"/>
      <c r="T169" s="122"/>
    </row>
    <row r="170" spans="3:20" s="63" customFormat="1" ht="15.95" hidden="1" customHeight="1" x14ac:dyDescent="0.25">
      <c r="C170" s="119"/>
      <c r="D170" s="119"/>
      <c r="E170" s="119"/>
      <c r="F170" s="119"/>
      <c r="G170" s="119"/>
      <c r="H170" s="119"/>
      <c r="I170" s="120"/>
      <c r="J170" s="120"/>
      <c r="K170" s="120"/>
      <c r="L170" s="120"/>
      <c r="M170" s="120"/>
      <c r="N170" s="120"/>
      <c r="O170" s="121"/>
      <c r="P170" s="121"/>
      <c r="Q170" s="121"/>
      <c r="R170" s="121"/>
      <c r="S170" s="121"/>
      <c r="T170" s="122"/>
    </row>
    <row r="171" spans="3:20" s="63" customFormat="1" ht="15.95" hidden="1" customHeight="1" x14ac:dyDescent="0.25">
      <c r="C171" s="119"/>
      <c r="D171" s="119"/>
      <c r="E171" s="119"/>
      <c r="F171" s="119"/>
      <c r="G171" s="119"/>
      <c r="H171" s="119"/>
      <c r="I171" s="120"/>
      <c r="J171" s="120"/>
      <c r="K171" s="120"/>
      <c r="L171" s="120"/>
      <c r="M171" s="120"/>
      <c r="N171" s="120"/>
      <c r="O171" s="121"/>
      <c r="P171" s="121"/>
      <c r="Q171" s="121"/>
      <c r="R171" s="121"/>
      <c r="S171" s="121"/>
      <c r="T171" s="122"/>
    </row>
    <row r="172" spans="3:20" s="63" customFormat="1" ht="15.95" hidden="1" customHeight="1" x14ac:dyDescent="0.25">
      <c r="C172" s="119"/>
      <c r="D172" s="119"/>
      <c r="E172" s="119"/>
      <c r="F172" s="119"/>
      <c r="G172" s="119"/>
      <c r="H172" s="119"/>
      <c r="I172" s="120"/>
      <c r="J172" s="120"/>
      <c r="K172" s="120"/>
      <c r="L172" s="120"/>
      <c r="M172" s="120"/>
      <c r="N172" s="120"/>
      <c r="O172" s="121"/>
      <c r="P172" s="121"/>
      <c r="Q172" s="121"/>
      <c r="R172" s="121"/>
      <c r="S172" s="121"/>
      <c r="T172" s="122"/>
    </row>
    <row r="173" spans="3:20" s="63" customFormat="1" ht="15.95" hidden="1" customHeight="1" x14ac:dyDescent="0.25">
      <c r="C173" s="119"/>
      <c r="D173" s="119"/>
      <c r="E173" s="119"/>
      <c r="F173" s="119"/>
      <c r="G173" s="119"/>
      <c r="H173" s="119"/>
      <c r="I173" s="120"/>
      <c r="J173" s="120"/>
      <c r="K173" s="120"/>
      <c r="L173" s="120"/>
      <c r="M173" s="120"/>
      <c r="N173" s="120"/>
      <c r="O173" s="121"/>
      <c r="P173" s="121"/>
      <c r="Q173" s="121"/>
      <c r="R173" s="121"/>
      <c r="S173" s="121"/>
      <c r="T173" s="122"/>
    </row>
    <row r="174" spans="3:20" s="63" customFormat="1" ht="15.95" hidden="1" customHeight="1" x14ac:dyDescent="0.25">
      <c r="C174" s="119"/>
      <c r="D174" s="119"/>
      <c r="E174" s="119"/>
      <c r="F174" s="119"/>
      <c r="G174" s="119"/>
      <c r="H174" s="119"/>
      <c r="I174" s="120"/>
      <c r="J174" s="120"/>
      <c r="K174" s="120"/>
      <c r="L174" s="120"/>
      <c r="M174" s="120"/>
      <c r="N174" s="120"/>
      <c r="O174" s="121"/>
      <c r="P174" s="121"/>
      <c r="Q174" s="121"/>
      <c r="R174" s="121"/>
      <c r="S174" s="121"/>
      <c r="T174" s="122"/>
    </row>
    <row r="175" spans="3:20" s="63" customFormat="1" ht="15.95" hidden="1" customHeight="1" x14ac:dyDescent="0.25">
      <c r="C175" s="119"/>
      <c r="D175" s="119"/>
      <c r="E175" s="119"/>
      <c r="F175" s="119"/>
      <c r="G175" s="119"/>
      <c r="H175" s="119"/>
      <c r="I175" s="120"/>
      <c r="J175" s="120"/>
      <c r="K175" s="120"/>
      <c r="L175" s="120"/>
      <c r="M175" s="120"/>
      <c r="N175" s="120"/>
      <c r="O175" s="121"/>
      <c r="P175" s="121"/>
      <c r="Q175" s="121"/>
      <c r="R175" s="121"/>
      <c r="S175" s="121"/>
      <c r="T175" s="122"/>
    </row>
    <row r="176" spans="3:20" s="63" customFormat="1" ht="15.95" hidden="1" customHeight="1" x14ac:dyDescent="0.25">
      <c r="C176" s="119"/>
      <c r="D176" s="119"/>
      <c r="E176" s="119"/>
      <c r="F176" s="119"/>
      <c r="G176" s="119"/>
      <c r="H176" s="119"/>
      <c r="I176" s="120"/>
      <c r="J176" s="120"/>
      <c r="K176" s="120"/>
      <c r="L176" s="120"/>
      <c r="M176" s="120"/>
      <c r="N176" s="120"/>
      <c r="O176" s="121"/>
      <c r="P176" s="121"/>
      <c r="Q176" s="121"/>
      <c r="R176" s="121"/>
      <c r="S176" s="121"/>
      <c r="T176" s="122"/>
    </row>
    <row r="177" spans="3:20" s="63" customFormat="1" ht="15.95" hidden="1" customHeight="1" x14ac:dyDescent="0.25">
      <c r="C177" s="119"/>
      <c r="D177" s="119"/>
      <c r="E177" s="119"/>
      <c r="F177" s="119"/>
      <c r="G177" s="119"/>
      <c r="H177" s="119"/>
      <c r="I177" s="120"/>
      <c r="J177" s="120"/>
      <c r="K177" s="120"/>
      <c r="L177" s="120"/>
      <c r="M177" s="120"/>
      <c r="N177" s="120"/>
      <c r="O177" s="121"/>
      <c r="P177" s="121"/>
      <c r="Q177" s="121"/>
      <c r="R177" s="121"/>
      <c r="S177" s="121"/>
      <c r="T177" s="122"/>
    </row>
    <row r="178" spans="3:20" s="63" customFormat="1" ht="15.95" hidden="1" customHeight="1" x14ac:dyDescent="0.25">
      <c r="C178" s="119"/>
      <c r="D178" s="119"/>
      <c r="E178" s="119"/>
      <c r="F178" s="119"/>
      <c r="G178" s="119"/>
      <c r="H178" s="119"/>
      <c r="I178" s="120"/>
      <c r="J178" s="120"/>
      <c r="K178" s="120"/>
      <c r="L178" s="120"/>
      <c r="M178" s="120"/>
      <c r="N178" s="120"/>
      <c r="O178" s="121"/>
      <c r="P178" s="121"/>
      <c r="Q178" s="121"/>
      <c r="R178" s="121"/>
      <c r="S178" s="121"/>
      <c r="T178" s="122"/>
    </row>
    <row r="179" spans="3:20" s="63" customFormat="1" ht="15.95" hidden="1" customHeight="1" x14ac:dyDescent="0.25">
      <c r="C179" s="119"/>
      <c r="D179" s="119"/>
      <c r="E179" s="119"/>
      <c r="F179" s="119"/>
      <c r="G179" s="119"/>
      <c r="H179" s="119"/>
      <c r="I179" s="120"/>
      <c r="J179" s="120"/>
      <c r="K179" s="120"/>
      <c r="L179" s="120"/>
      <c r="M179" s="120"/>
      <c r="N179" s="120"/>
      <c r="O179" s="121"/>
      <c r="P179" s="121"/>
      <c r="Q179" s="121"/>
      <c r="R179" s="121"/>
      <c r="S179" s="121"/>
      <c r="T179" s="122"/>
    </row>
    <row r="180" spans="3:20" s="63" customFormat="1" ht="15.95" hidden="1" customHeight="1" x14ac:dyDescent="0.25">
      <c r="C180" s="119"/>
      <c r="D180" s="119"/>
      <c r="E180" s="119"/>
      <c r="F180" s="119"/>
      <c r="G180" s="119"/>
      <c r="H180" s="119"/>
      <c r="I180" s="120"/>
      <c r="J180" s="120"/>
      <c r="K180" s="120"/>
      <c r="L180" s="120"/>
      <c r="M180" s="120"/>
      <c r="N180" s="120"/>
      <c r="O180" s="121"/>
      <c r="P180" s="121"/>
      <c r="Q180" s="121"/>
      <c r="R180" s="121"/>
      <c r="S180" s="121"/>
      <c r="T180" s="122"/>
    </row>
    <row r="181" spans="3:20" s="63" customFormat="1" ht="15.95" hidden="1" customHeight="1" x14ac:dyDescent="0.25">
      <c r="C181" s="119"/>
      <c r="D181" s="119"/>
      <c r="E181" s="119"/>
      <c r="F181" s="119"/>
      <c r="G181" s="119"/>
      <c r="H181" s="119"/>
      <c r="I181" s="120"/>
      <c r="J181" s="120"/>
      <c r="K181" s="120"/>
      <c r="L181" s="120"/>
      <c r="M181" s="120"/>
      <c r="N181" s="120"/>
      <c r="O181" s="121"/>
      <c r="P181" s="121"/>
      <c r="Q181" s="121"/>
      <c r="R181" s="121"/>
      <c r="S181" s="121"/>
      <c r="T181" s="122"/>
    </row>
    <row r="182" spans="3:20" s="63" customFormat="1" ht="15.95" hidden="1" customHeight="1" x14ac:dyDescent="0.25">
      <c r="C182" s="119"/>
      <c r="D182" s="119"/>
      <c r="E182" s="119"/>
      <c r="F182" s="119"/>
      <c r="G182" s="119"/>
      <c r="H182" s="119"/>
      <c r="I182" s="120"/>
      <c r="J182" s="120"/>
      <c r="K182" s="120"/>
      <c r="L182" s="120"/>
      <c r="M182" s="120"/>
      <c r="N182" s="120"/>
      <c r="O182" s="121"/>
      <c r="P182" s="121"/>
      <c r="Q182" s="121"/>
      <c r="R182" s="121"/>
      <c r="S182" s="121"/>
      <c r="T182" s="122"/>
    </row>
    <row r="183" spans="3:20" s="63" customFormat="1" ht="15.95" hidden="1" customHeight="1" x14ac:dyDescent="0.25">
      <c r="C183" s="119"/>
      <c r="D183" s="119"/>
      <c r="E183" s="119"/>
      <c r="F183" s="119"/>
      <c r="G183" s="119"/>
      <c r="H183" s="119"/>
      <c r="I183" s="120"/>
      <c r="J183" s="120"/>
      <c r="K183" s="120"/>
      <c r="L183" s="120"/>
      <c r="M183" s="120"/>
      <c r="N183" s="120"/>
      <c r="O183" s="121"/>
      <c r="P183" s="121"/>
      <c r="Q183" s="121"/>
      <c r="R183" s="121"/>
      <c r="S183" s="121"/>
      <c r="T183" s="122"/>
    </row>
    <row r="184" spans="3:20" s="63" customFormat="1" ht="15.95" hidden="1" customHeight="1" x14ac:dyDescent="0.25">
      <c r="C184" s="119"/>
      <c r="D184" s="119"/>
      <c r="E184" s="119"/>
      <c r="F184" s="119"/>
      <c r="G184" s="119"/>
      <c r="H184" s="119"/>
      <c r="I184" s="120"/>
      <c r="J184" s="120"/>
      <c r="K184" s="120"/>
      <c r="L184" s="120"/>
      <c r="M184" s="120"/>
      <c r="N184" s="120"/>
      <c r="O184" s="121"/>
      <c r="P184" s="121"/>
      <c r="Q184" s="121"/>
      <c r="R184" s="121"/>
      <c r="S184" s="121"/>
      <c r="T184" s="122"/>
    </row>
    <row r="185" spans="3:20" s="63" customFormat="1" ht="15.95" hidden="1" customHeight="1" x14ac:dyDescent="0.25">
      <c r="C185" s="119"/>
      <c r="D185" s="119"/>
      <c r="E185" s="119"/>
      <c r="F185" s="119"/>
      <c r="G185" s="119"/>
      <c r="H185" s="119"/>
      <c r="I185" s="120"/>
      <c r="J185" s="120"/>
      <c r="K185" s="120"/>
      <c r="L185" s="120"/>
      <c r="M185" s="120"/>
      <c r="N185" s="120"/>
      <c r="O185" s="121"/>
      <c r="P185" s="121"/>
      <c r="Q185" s="121"/>
      <c r="R185" s="121"/>
      <c r="S185" s="121"/>
      <c r="T185" s="122"/>
    </row>
    <row r="186" spans="3:20" s="63" customFormat="1" ht="15.95" hidden="1" customHeight="1" x14ac:dyDescent="0.25">
      <c r="C186" s="119"/>
      <c r="D186" s="119"/>
      <c r="E186" s="119"/>
      <c r="F186" s="119"/>
      <c r="G186" s="119"/>
      <c r="H186" s="119"/>
      <c r="I186" s="120"/>
      <c r="J186" s="120"/>
      <c r="K186" s="120"/>
      <c r="L186" s="120"/>
      <c r="M186" s="120"/>
      <c r="N186" s="120"/>
      <c r="O186" s="121"/>
      <c r="P186" s="121"/>
      <c r="Q186" s="121"/>
      <c r="R186" s="121"/>
      <c r="S186" s="121"/>
      <c r="T186" s="122"/>
    </row>
    <row r="187" spans="3:20" s="63" customFormat="1" ht="15.95" hidden="1" customHeight="1" x14ac:dyDescent="0.25">
      <c r="C187" s="119"/>
      <c r="D187" s="119"/>
      <c r="E187" s="119"/>
      <c r="F187" s="119"/>
      <c r="G187" s="119"/>
      <c r="H187" s="119"/>
      <c r="I187" s="120"/>
      <c r="J187" s="120"/>
      <c r="K187" s="120"/>
      <c r="L187" s="120"/>
      <c r="M187" s="120"/>
      <c r="N187" s="120"/>
      <c r="O187" s="121"/>
      <c r="P187" s="121"/>
      <c r="Q187" s="121"/>
      <c r="R187" s="121"/>
      <c r="S187" s="121"/>
      <c r="T187" s="122"/>
    </row>
    <row r="188" spans="3:20" s="63" customFormat="1" ht="15.95" hidden="1" customHeight="1" x14ac:dyDescent="0.25">
      <c r="C188" s="119"/>
      <c r="D188" s="119"/>
      <c r="E188" s="119"/>
      <c r="F188" s="119"/>
      <c r="G188" s="119"/>
      <c r="H188" s="119"/>
      <c r="I188" s="120"/>
      <c r="J188" s="120"/>
      <c r="K188" s="120"/>
      <c r="L188" s="120"/>
      <c r="M188" s="120"/>
      <c r="N188" s="120"/>
      <c r="O188" s="121"/>
      <c r="P188" s="121"/>
      <c r="Q188" s="121"/>
      <c r="R188" s="121"/>
      <c r="S188" s="121"/>
      <c r="T188" s="122"/>
    </row>
    <row r="189" spans="3:20" s="63" customFormat="1" ht="15.95" hidden="1" customHeight="1" x14ac:dyDescent="0.25">
      <c r="C189" s="119"/>
      <c r="D189" s="119"/>
      <c r="E189" s="119"/>
      <c r="F189" s="119"/>
      <c r="G189" s="119"/>
      <c r="H189" s="119"/>
      <c r="I189" s="120"/>
      <c r="J189" s="120"/>
      <c r="K189" s="120"/>
      <c r="L189" s="120"/>
      <c r="M189" s="120"/>
      <c r="N189" s="120"/>
      <c r="O189" s="121"/>
      <c r="P189" s="121"/>
      <c r="Q189" s="121"/>
      <c r="R189" s="121"/>
      <c r="S189" s="121"/>
      <c r="T189" s="122"/>
    </row>
    <row r="190" spans="3:20" s="63" customFormat="1" ht="15.95" hidden="1" customHeight="1" x14ac:dyDescent="0.25">
      <c r="C190" s="119"/>
      <c r="D190" s="119"/>
      <c r="E190" s="119"/>
      <c r="F190" s="119"/>
      <c r="G190" s="119"/>
      <c r="H190" s="119"/>
      <c r="I190" s="120"/>
      <c r="J190" s="120"/>
      <c r="K190" s="120"/>
      <c r="L190" s="120"/>
      <c r="M190" s="120"/>
      <c r="N190" s="120"/>
      <c r="O190" s="121"/>
      <c r="P190" s="121"/>
      <c r="Q190" s="121"/>
      <c r="R190" s="121"/>
      <c r="S190" s="121"/>
      <c r="T190" s="122"/>
    </row>
    <row r="191" spans="3:20" s="63" customFormat="1" ht="15.95" hidden="1" customHeight="1" x14ac:dyDescent="0.25">
      <c r="C191" s="119"/>
      <c r="D191" s="119"/>
      <c r="E191" s="119"/>
      <c r="F191" s="119"/>
      <c r="G191" s="119"/>
      <c r="H191" s="119"/>
      <c r="I191" s="120"/>
      <c r="J191" s="120"/>
      <c r="K191" s="120"/>
      <c r="L191" s="120"/>
      <c r="M191" s="120"/>
      <c r="N191" s="120"/>
      <c r="O191" s="121"/>
      <c r="P191" s="121"/>
      <c r="Q191" s="121"/>
      <c r="R191" s="121"/>
      <c r="S191" s="121"/>
      <c r="T191" s="122"/>
    </row>
    <row r="192" spans="3:20" s="63" customFormat="1" ht="15.95" hidden="1" customHeight="1" x14ac:dyDescent="0.25">
      <c r="C192" s="119"/>
      <c r="D192" s="119"/>
      <c r="E192" s="119"/>
      <c r="F192" s="119"/>
      <c r="G192" s="119"/>
      <c r="H192" s="119"/>
      <c r="I192" s="120"/>
      <c r="J192" s="120"/>
      <c r="K192" s="120"/>
      <c r="L192" s="120"/>
      <c r="M192" s="120"/>
      <c r="N192" s="120"/>
      <c r="O192" s="121"/>
      <c r="P192" s="121"/>
      <c r="Q192" s="121"/>
      <c r="R192" s="121"/>
      <c r="S192" s="121"/>
      <c r="T192" s="122"/>
    </row>
    <row r="193" spans="2:44" s="63" customFormat="1" ht="15.95" hidden="1" customHeight="1" x14ac:dyDescent="0.25">
      <c r="C193" s="119"/>
      <c r="D193" s="119"/>
      <c r="E193" s="119"/>
      <c r="F193" s="119"/>
      <c r="G193" s="119"/>
      <c r="H193" s="119"/>
      <c r="I193" s="120"/>
      <c r="J193" s="120"/>
      <c r="K193" s="120"/>
      <c r="L193" s="120"/>
      <c r="M193" s="120"/>
      <c r="N193" s="120"/>
      <c r="O193" s="121"/>
      <c r="P193" s="121"/>
      <c r="Q193" s="121"/>
      <c r="R193" s="121"/>
      <c r="S193" s="121"/>
      <c r="T193" s="122"/>
    </row>
    <row r="194" spans="2:44" s="63" customFormat="1" ht="15.95" hidden="1" customHeight="1" x14ac:dyDescent="0.25">
      <c r="C194" s="119"/>
      <c r="D194" s="119"/>
      <c r="E194" s="119"/>
      <c r="F194" s="119"/>
      <c r="G194" s="119"/>
      <c r="H194" s="119"/>
      <c r="I194" s="120"/>
      <c r="J194" s="120"/>
      <c r="K194" s="120"/>
      <c r="L194" s="120"/>
      <c r="M194" s="120"/>
      <c r="N194" s="120"/>
      <c r="O194" s="121"/>
      <c r="P194" s="121"/>
      <c r="Q194" s="121"/>
      <c r="R194" s="121"/>
      <c r="S194" s="121"/>
      <c r="T194" s="122"/>
    </row>
    <row r="195" spans="2:44" s="63" customFormat="1" ht="15.95" hidden="1" customHeight="1" x14ac:dyDescent="0.25">
      <c r="C195" s="127"/>
      <c r="D195" s="127"/>
      <c r="E195" s="127"/>
      <c r="F195" s="127"/>
      <c r="G195" s="127"/>
      <c r="H195" s="127"/>
      <c r="I195" s="130"/>
      <c r="J195" s="130"/>
      <c r="K195" s="130"/>
      <c r="L195" s="130"/>
      <c r="M195" s="130"/>
      <c r="N195" s="130"/>
      <c r="O195" s="131"/>
      <c r="P195" s="131"/>
      <c r="Q195" s="131"/>
      <c r="R195" s="131"/>
      <c r="S195" s="131"/>
      <c r="T195" s="132"/>
    </row>
    <row r="196" spans="2:44" s="63" customFormat="1" ht="15.95" hidden="1" customHeight="1" x14ac:dyDescent="0.25">
      <c r="C196" s="119"/>
      <c r="D196" s="119"/>
      <c r="E196" s="119"/>
      <c r="F196" s="119"/>
      <c r="G196" s="119"/>
      <c r="H196" s="119"/>
      <c r="I196" s="120"/>
      <c r="J196" s="120"/>
      <c r="K196" s="120"/>
      <c r="L196" s="120"/>
      <c r="M196" s="120"/>
      <c r="N196" s="120"/>
      <c r="O196" s="121"/>
      <c r="P196" s="121"/>
      <c r="Q196" s="121"/>
      <c r="R196" s="121"/>
      <c r="S196" s="121"/>
      <c r="T196" s="122"/>
    </row>
    <row r="197" spans="2:44" s="63" customFormat="1" ht="15.95" hidden="1" customHeight="1" x14ac:dyDescent="0.25">
      <c r="C197" s="119"/>
      <c r="D197" s="119"/>
      <c r="E197" s="119"/>
      <c r="F197" s="119"/>
      <c r="G197" s="119"/>
      <c r="H197" s="119"/>
      <c r="I197" s="120"/>
      <c r="J197" s="120"/>
      <c r="K197" s="120"/>
      <c r="L197" s="120"/>
      <c r="M197" s="120"/>
      <c r="N197" s="120"/>
      <c r="O197" s="121"/>
      <c r="P197" s="121"/>
      <c r="Q197" s="121"/>
      <c r="R197" s="121"/>
      <c r="S197" s="121"/>
      <c r="T197" s="122"/>
    </row>
    <row r="198" spans="2:44" s="63" customFormat="1" ht="15.95" hidden="1" customHeight="1" x14ac:dyDescent="0.25">
      <c r="C198" s="119"/>
      <c r="D198" s="119"/>
      <c r="E198" s="119"/>
      <c r="F198" s="119"/>
      <c r="G198" s="119"/>
      <c r="H198" s="119"/>
      <c r="I198" s="120"/>
      <c r="J198" s="120"/>
      <c r="K198" s="120"/>
      <c r="L198" s="120"/>
      <c r="M198" s="120"/>
      <c r="N198" s="120"/>
      <c r="O198" s="121"/>
      <c r="P198" s="121"/>
      <c r="Q198" s="121"/>
      <c r="R198" s="121"/>
      <c r="S198" s="121"/>
      <c r="T198" s="122"/>
    </row>
    <row r="199" spans="2:44" s="63" customFormat="1" ht="15.95" hidden="1" customHeight="1" x14ac:dyDescent="0.25">
      <c r="C199" s="109"/>
      <c r="D199" s="109"/>
      <c r="E199" s="109"/>
      <c r="F199" s="109"/>
      <c r="G199" s="109"/>
      <c r="H199" s="109"/>
      <c r="I199" s="110"/>
      <c r="J199" s="110"/>
      <c r="K199" s="110"/>
      <c r="L199" s="110"/>
      <c r="M199" s="110"/>
      <c r="N199" s="110"/>
      <c r="O199" s="111"/>
      <c r="P199" s="111"/>
      <c r="Q199" s="111"/>
      <c r="R199" s="111"/>
      <c r="S199" s="111"/>
      <c r="T199" s="112"/>
    </row>
    <row r="200" spans="2:44" ht="15.95" customHeight="1" x14ac:dyDescent="0.25">
      <c r="B200" s="136" t="s">
        <v>1297</v>
      </c>
      <c r="C200" s="136"/>
      <c r="D200" s="136"/>
      <c r="E200" s="136"/>
      <c r="F200" s="136"/>
      <c r="G200" s="136"/>
      <c r="H200" s="136"/>
      <c r="I200" s="136"/>
      <c r="J200" s="136"/>
      <c r="K200" s="136"/>
      <c r="L200" s="136"/>
      <c r="M200" s="729" t="str">
        <f>IF(PROJID=0,"",CONCATENATE("Project ",PROJID))</f>
        <v/>
      </c>
      <c r="N200" s="729"/>
      <c r="O200" s="729"/>
      <c r="P200" s="729"/>
      <c r="Q200" s="729"/>
      <c r="R200" s="729"/>
      <c r="S200" s="729"/>
      <c r="T200" s="729"/>
      <c r="U200" s="729"/>
      <c r="V200" s="729"/>
      <c r="W200" s="729"/>
      <c r="X200" s="729"/>
      <c r="Y200" s="729"/>
      <c r="Z200" s="729"/>
      <c r="AA200" s="729"/>
      <c r="AB200" s="729"/>
      <c r="AC200" s="729"/>
      <c r="AD200" s="729"/>
      <c r="AE200" s="729"/>
      <c r="AF200" s="729"/>
      <c r="AG200" s="729"/>
      <c r="AH200" s="136"/>
      <c r="AI200" s="136"/>
      <c r="AJ200" s="136"/>
      <c r="AK200" s="136"/>
      <c r="AL200" s="136"/>
      <c r="AM200" s="136"/>
      <c r="AN200" s="136"/>
      <c r="AO200" s="136"/>
      <c r="AP200" s="136"/>
      <c r="AQ200" s="136"/>
      <c r="AR200" s="137" t="str">
        <f>""</f>
        <v/>
      </c>
    </row>
    <row r="201" spans="2:44" ht="15.95" customHeight="1" x14ac:dyDescent="0.25">
      <c r="B201" s="136" t="s">
        <v>1918</v>
      </c>
      <c r="C201" s="136"/>
      <c r="D201" s="136"/>
      <c r="E201" s="136"/>
      <c r="F201" s="136"/>
      <c r="G201" s="136"/>
      <c r="H201" s="136"/>
      <c r="I201" s="136"/>
      <c r="J201" s="136"/>
      <c r="K201" s="136"/>
      <c r="L201" s="136"/>
      <c r="M201" s="729"/>
      <c r="N201" s="729"/>
      <c r="O201" s="729"/>
      <c r="P201" s="729"/>
      <c r="Q201" s="729"/>
      <c r="R201" s="729"/>
      <c r="S201" s="729"/>
      <c r="T201" s="729"/>
      <c r="U201" s="729"/>
      <c r="V201" s="729"/>
      <c r="W201" s="729"/>
      <c r="X201" s="729"/>
      <c r="Y201" s="729"/>
      <c r="Z201" s="729"/>
      <c r="AA201" s="729"/>
      <c r="AB201" s="729"/>
      <c r="AC201" s="729"/>
      <c r="AD201" s="729"/>
      <c r="AE201" s="729"/>
      <c r="AF201" s="729"/>
      <c r="AG201" s="729"/>
      <c r="AH201" s="136"/>
      <c r="AI201" s="136"/>
      <c r="AJ201" s="136"/>
      <c r="AK201" s="136"/>
      <c r="AL201" s="136"/>
      <c r="AM201" s="136"/>
      <c r="AN201" s="136"/>
      <c r="AO201" s="136"/>
      <c r="AP201" s="136"/>
      <c r="AQ201" s="136"/>
      <c r="AR201" s="137" t="str">
        <f>""</f>
        <v/>
      </c>
    </row>
    <row r="202" spans="2:44" ht="15.95" customHeight="1" x14ac:dyDescent="0.25">
      <c r="B202" s="138" t="s">
        <v>1167</v>
      </c>
      <c r="C202" s="136"/>
      <c r="D202" s="136"/>
      <c r="E202" s="136"/>
      <c r="F202" s="136"/>
      <c r="G202" s="136"/>
      <c r="H202" s="136"/>
      <c r="I202" s="136"/>
      <c r="J202" s="136"/>
      <c r="K202" s="136"/>
      <c r="L202" s="136"/>
      <c r="M202" s="139"/>
      <c r="N202" s="136"/>
      <c r="O202" s="136"/>
      <c r="P202" s="139"/>
      <c r="Q202" s="139"/>
      <c r="R202" s="139"/>
      <c r="S202" s="139"/>
      <c r="T202" s="139"/>
      <c r="U202" s="139"/>
      <c r="V202" s="139"/>
      <c r="W202" s="140" t="s">
        <v>2381</v>
      </c>
      <c r="X202" s="139"/>
      <c r="Y202" s="139"/>
      <c r="Z202" s="139"/>
      <c r="AA202" s="139"/>
      <c r="AB202" s="139"/>
      <c r="AC202" s="139"/>
      <c r="AD202" s="139"/>
      <c r="AE202" s="136"/>
      <c r="AF202" s="136"/>
      <c r="AG202" s="136"/>
      <c r="AH202" s="136"/>
      <c r="AI202" s="136"/>
      <c r="AJ202" s="136"/>
      <c r="AK202" s="136"/>
      <c r="AL202" s="136"/>
      <c r="AM202" s="136"/>
      <c r="AN202" s="136"/>
      <c r="AO202" s="136"/>
      <c r="AP202" s="136"/>
      <c r="AQ202" s="136"/>
      <c r="AR202" s="300" t="s">
        <v>2283</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sheetData>
  <sheetProtection algorithmName="SHA-512" hashValue="Es/s/iEwwWr1sWd5+/sURA2rA2yhxagX00f7h+S5BM8+8ChQfuYZcbuG14Qbpwc5F8XwHGLDbKOS0DCnqrY8Ow==" saltValue="TtXT+47U+EplDlm+KkIvEw==" spinCount="100000" sheet="1" objects="1" scenarios="1" selectLockedCells="1"/>
  <mergeCells count="12">
    <mergeCell ref="C62:H62"/>
    <mergeCell ref="I62:N62"/>
    <mergeCell ref="M200:AG201"/>
    <mergeCell ref="O62:S62"/>
    <mergeCell ref="D29:AF32"/>
    <mergeCell ref="C10:AQ11"/>
    <mergeCell ref="AH1:AK1"/>
    <mergeCell ref="AH2:AK3"/>
    <mergeCell ref="AQ1:AR1"/>
    <mergeCell ref="AQ2:AR3"/>
    <mergeCell ref="AL1:AP1"/>
    <mergeCell ref="AL2:AP3"/>
  </mergeCells>
  <conditionalFormatting sqref="AQ2:AR3">
    <cfRule type="cellIs" dxfId="357" priority="3" operator="equal">
      <formula>1</formula>
    </cfRule>
    <cfRule type="cellIs" dxfId="356" priority="4" operator="between">
      <formula>0.51</formula>
      <formula>0.99</formula>
    </cfRule>
    <cfRule type="cellIs" dxfId="355" priority="5" operator="lessThanOrEqual">
      <formula>0.5</formula>
    </cfRule>
  </conditionalFormatting>
  <conditionalFormatting sqref="AH2 AL2">
    <cfRule type="expression" dxfId="354" priority="1">
      <formula>OR(PROJSTATUS=PROJSTATELI,PROJSTATUS=PROJSTATEXP,PROJSTATUS=PROJSTATUNDER)</formula>
    </cfRule>
    <cfRule type="expression" dxfId="353" priority="2">
      <formula>PROJSTATUS=PROJSTATFILLINITIAL</formula>
    </cfRule>
    <cfRule type="expression" dxfId="352" priority="6">
      <formula>PROJSTATUS=PROJSTATPREAPPROVE</formula>
    </cfRule>
    <cfRule type="expression" dxfId="351" priority="7">
      <formula>OR(PROJSTATUS=PROJSTATSSUBMITINITIAL,PROJSTATUS=PROJSTATREVIEW)</formula>
    </cfRule>
  </conditionalFormatting>
  <hyperlinks>
    <hyperlink ref="B202" r:id="rId1" xr:uid="{00000000-0004-0000-0800-000000000000}"/>
  </hyperlinks>
  <pageMargins left="0.25" right="0.25" top="0.25" bottom="0.25" header="0.25" footer="0.25"/>
  <pageSetup scale="64" fitToHeight="0"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KeywordTaxHTField xmlns="46183eef-e5b6-4449-b443-53ec3f5c91f4">
      <Terms xmlns="http://schemas.microsoft.com/office/infopath/2007/PartnerControls">
        <TermInfo xmlns="http://schemas.microsoft.com/office/infopath/2007/PartnerControls">
          <TermName xmlns="http://schemas.microsoft.com/office/infopath/2007/PartnerControls">Unrestricted</TermName>
          <TermId xmlns="http://schemas.microsoft.com/office/infopath/2007/PartnerControls">4cffd3a7-2ade-464a-a981-d0ee87995263</TermId>
        </TermInfo>
      </Terms>
    </TaxKeywordTaxHTField>
    <SIP_Label_Document xmlns="46183eef-e5b6-4449-b443-53ec3f5c91f4">;#0;#Unrestricted;#True;#;#;#;#</SIP_Label_Document>
    <TaxCatchAll xmlns="46183eef-e5b6-4449-b443-53ec3f5c91f4"/>
    <AverageRating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401280FBAB335408FE94E23FA349284" ma:contentTypeVersion="6" ma:contentTypeDescription="Create a new document." ma:contentTypeScope="" ma:versionID="35b4d82f238b132eb1ffc6ef9693bac1">
  <xsd:schema xmlns:xsd="http://www.w3.org/2001/XMLSchema" xmlns:xs="http://www.w3.org/2001/XMLSchema" xmlns:p="http://schemas.microsoft.com/office/2006/metadata/properties" xmlns:ns1="http://schemas.microsoft.com/sharepoint/v3" xmlns:ns2="46183eef-e5b6-4449-b443-53ec3f5c91f4" targetNamespace="http://schemas.microsoft.com/office/2006/metadata/properties" ma:root="true" ma:fieldsID="ac01c184c107ce71003efce501051dba" ns1:_="" ns2:_="">
    <xsd:import namespace="http://schemas.microsoft.com/sharepoint/v3"/>
    <xsd:import namespace="46183eef-e5b6-4449-b443-53ec3f5c91f4"/>
    <xsd:element name="properties">
      <xsd:complexType>
        <xsd:sequence>
          <xsd:element name="documentManagement">
            <xsd:complexType>
              <xsd:all>
                <xsd:element ref="ns2:SIP_Label_Document"/>
                <xsd:element ref="ns1:AverageRating" minOccurs="0"/>
                <xsd:element ref="ns1:RatingCount" minOccurs="0"/>
                <xsd:element ref="ns2:TaxKeywordTaxHTField"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verageRating" ma:index="9" nillable="true" ma:displayName="Rating (0-5)" ma:decimals="2" ma:description="Average value of all the ratings that have been submitted" ma:internalName="Rating_x0020__x0028_0_x002d_5_x0029_" ma:readOnly="true">
      <xsd:simpleType>
        <xsd:restriction base="dms:Number"/>
      </xsd:simpleType>
    </xsd:element>
    <xsd:element name="RatingCount" ma:index="10" nillable="true" ma:displayName="Number of Ratings" ma:decimals="0" ma:description="Number of ratings submitted" ma:internalName="Number_x0020_of_x0020_Ratings" ma:readOnly="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46183eef-e5b6-4449-b443-53ec3f5c91f4" elementFormDefault="qualified">
    <xsd:import namespace="http://schemas.microsoft.com/office/2006/documentManagement/types"/>
    <xsd:import namespace="http://schemas.microsoft.com/office/infopath/2007/PartnerControls"/>
    <xsd:element name="SIP_Label_Document" ma:index="8" ma:displayName="Sensitive Information Protection (SIP) Label" ma:internalName="Sensitive_x0020_Information_x0020_Protection_x0020__x0028_SIP_x0029__x0020_Label" ma:readOnly="false">
      <xsd:simpleType>
        <xsd:restriction base="dms:Unknown"/>
      </xsd:simpleType>
    </xsd:element>
    <xsd:element name="TaxKeywordTaxHTField" ma:index="12" nillable="true" ma:taxonomy="true" ma:internalName="TaxKeywordTaxHTField" ma:taxonomyFieldName="Enterprise_x0020_Keywords" ma:displayName="Enterprise Keywords" ma:fieldId="{23f27201-bee3-471e-b2e7-b64fd8b7ca38}" ma:taxonomyMulti="true" ma:sspId="5f68076a-9896-4f70-850d-4130ed0339a6" ma:termSetId="00000000-0000-0000-0000-000000000000" ma:anchorId="00000000-0000-0000-0000-000000000000" ma:open="true" ma:isKeyword="true">
      <xsd:complexType>
        <xsd:sequence>
          <xsd:element ref="pc:Terms" minOccurs="0" maxOccurs="1"/>
        </xsd:sequence>
      </xsd:complexType>
    </xsd:element>
    <xsd:element name="TaxCatchAll" ma:index="13" nillable="true" ma:displayName="Taxonomy Catch All Column" ma:description="" ma:hidden="true" ma:list="{753d8634-2b7c-4526-89f6-3645dfc673ae}" ma:internalName="TaxCatchAll" ma:showField="CatchAllData" ma:web="46183eef-e5b6-4449-b443-53ec3f5c91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0A3B785-E18E-4DBD-B2ED-16744E86D196}">
  <ds:schemaRefs>
    <ds:schemaRef ds:uri="http://schemas.microsoft.com/office/2006/metadata/properties"/>
    <ds:schemaRef ds:uri="http://schemas.microsoft.com/sharepoint/v3"/>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46183eef-e5b6-4449-b443-53ec3f5c91f4"/>
    <ds:schemaRef ds:uri="http://www.w3.org/XML/1998/namespace"/>
    <ds:schemaRef ds:uri="http://purl.org/dc/dcmitype/"/>
  </ds:schemaRefs>
</ds:datastoreItem>
</file>

<file path=customXml/itemProps2.xml><?xml version="1.0" encoding="utf-8"?>
<ds:datastoreItem xmlns:ds="http://schemas.openxmlformats.org/officeDocument/2006/customXml" ds:itemID="{FAC5BCC3-71F4-4105-BC5A-7F8E0E9E2D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6183eef-e5b6-4449-b443-53ec3f5c91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FDB411-8194-49B6-BC7D-6EEEE39567A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378</vt:i4>
      </vt:variant>
    </vt:vector>
  </HeadingPairs>
  <TitlesOfParts>
    <vt:vector size="421" baseType="lpstr">
      <vt:lpstr>TEMPLATE</vt:lpstr>
      <vt:lpstr>PRESCRIPTIVE</vt:lpstr>
      <vt:lpstr>SBDI</vt:lpstr>
      <vt:lpstr>CUSTOMRCXNC</vt:lpstr>
      <vt:lpstr>CBDATA</vt:lpstr>
      <vt:lpstr>DATA TABLES</vt:lpstr>
      <vt:lpstr>Changelog</vt:lpstr>
      <vt:lpstr>EXPORT</vt:lpstr>
      <vt:lpstr>M01-S01</vt:lpstr>
      <vt:lpstr>M01-S02</vt:lpstr>
      <vt:lpstr>M01-S02-2</vt:lpstr>
      <vt:lpstr>M01-S03</vt:lpstr>
      <vt:lpstr>M01-S04</vt:lpstr>
      <vt:lpstr>M01-S05</vt:lpstr>
      <vt:lpstr>M01-S06</vt:lpstr>
      <vt:lpstr>M02-S01</vt:lpstr>
      <vt:lpstr>M02-S02</vt:lpstr>
      <vt:lpstr>M02-S03</vt:lpstr>
      <vt:lpstr>M02-S04</vt:lpstr>
      <vt:lpstr>M02-S05</vt:lpstr>
      <vt:lpstr>M03-S01</vt:lpstr>
      <vt:lpstr>M03-S02</vt:lpstr>
      <vt:lpstr>M03-S04</vt:lpstr>
      <vt:lpstr>M03-S05</vt:lpstr>
      <vt:lpstr>M03-S06</vt:lpstr>
      <vt:lpstr>M03-S07</vt:lpstr>
      <vt:lpstr>M03-S08</vt:lpstr>
      <vt:lpstr>M04-S01</vt:lpstr>
      <vt:lpstr>M04-S02</vt:lpstr>
      <vt:lpstr>M04-S03</vt:lpstr>
      <vt:lpstr>M04-S04</vt:lpstr>
      <vt:lpstr>M04-S05</vt:lpstr>
      <vt:lpstr>M04-S06</vt:lpstr>
      <vt:lpstr>M04-S07</vt:lpstr>
      <vt:lpstr>M04-S08</vt:lpstr>
      <vt:lpstr>M05-S01</vt:lpstr>
      <vt:lpstr>M05-S02</vt:lpstr>
      <vt:lpstr>M05-S03</vt:lpstr>
      <vt:lpstr>M05-S04</vt:lpstr>
      <vt:lpstr>M05-S05</vt:lpstr>
      <vt:lpstr>M05-S06</vt:lpstr>
      <vt:lpstr>M05-S07</vt:lpstr>
      <vt:lpstr>M05-S08</vt:lpstr>
      <vt:lpstr>APPTITLE</vt:lpstr>
      <vt:lpstr>BDLEADNAME</vt:lpstr>
      <vt:lpstr>BUILDING</vt:lpstr>
      <vt:lpstr>CBALL</vt:lpstr>
      <vt:lpstr>CBCUSE</vt:lpstr>
      <vt:lpstr>CBCUSG</vt:lpstr>
      <vt:lpstr>CBPRESE</vt:lpstr>
      <vt:lpstr>CBPRESG</vt:lpstr>
      <vt:lpstr>CMELIGHTACTUALW</vt:lpstr>
      <vt:lpstr>CMELIGHTBASE1</vt:lpstr>
      <vt:lpstr>CMELIGHTBASEW</vt:lpstr>
      <vt:lpstr>CMELIGHTDESC</vt:lpstr>
      <vt:lpstr>CMELIGHTEFF1</vt:lpstr>
      <vt:lpstr>CMELIGHTEFFBASEW</vt:lpstr>
      <vt:lpstr>COSTTOTAL</vt:lpstr>
      <vt:lpstr>COSTTOTALALL</vt:lpstr>
      <vt:lpstr>COSTTOTALALLCUSE</vt:lpstr>
      <vt:lpstr>COSTTOTALALLCUSG</vt:lpstr>
      <vt:lpstr>COSTTOTALALLPRESE</vt:lpstr>
      <vt:lpstr>COSTTOTALALLPRESG</vt:lpstr>
      <vt:lpstr>COSTTOTALCUSE</vt:lpstr>
      <vt:lpstr>COSTTOTALCUSG</vt:lpstr>
      <vt:lpstr>COSTTOTALPRESE</vt:lpstr>
      <vt:lpstr>COSTTOTALPRESG</vt:lpstr>
      <vt:lpstr>CUSTSUBAPP</vt:lpstr>
      <vt:lpstr>DIVERSITYBUSTYPE</vt:lpstr>
      <vt:lpstr>DIVERSITYORG</vt:lpstr>
      <vt:lpstr>EDR</vt:lpstr>
      <vt:lpstr>ELOSS</vt:lpstr>
      <vt:lpstr>ENDDATE</vt:lpstr>
      <vt:lpstr>ENDUSECAT</vt:lpstr>
      <vt:lpstr>ENGSIGN</vt:lpstr>
      <vt:lpstr>ENGSIGNDATE</vt:lpstr>
      <vt:lpstr>EXPIRATION</vt:lpstr>
      <vt:lpstr>EXTAREATYPE</vt:lpstr>
      <vt:lpstr>FOOT1</vt:lpstr>
      <vt:lpstr>FOOT2</vt:lpstr>
      <vt:lpstr>FOOT3</vt:lpstr>
      <vt:lpstr>FOOT4</vt:lpstr>
      <vt:lpstr>FOOT5</vt:lpstr>
      <vt:lpstr>FOOT6</vt:lpstr>
      <vt:lpstr>FOOTDISCLAIM</vt:lpstr>
      <vt:lpstr>GDR</vt:lpstr>
      <vt:lpstr>GLOSS</vt:lpstr>
      <vt:lpstr>HEARABOUT</vt:lpstr>
      <vt:lpstr>HVACENDUSETYPE</vt:lpstr>
      <vt:lpstr>IMPLSPECNAME</vt:lpstr>
      <vt:lpstr>INCENSTATUS</vt:lpstr>
      <vt:lpstr>INCENTOTAL</vt:lpstr>
      <vt:lpstr>INCENTOTALCUSE</vt:lpstr>
      <vt:lpstr>INCENTOTALCUSG</vt:lpstr>
      <vt:lpstr>INCENTOTALPRESE</vt:lpstr>
      <vt:lpstr>INCENTOTALPRESG</vt:lpstr>
      <vt:lpstr>INSTALL</vt:lpstr>
      <vt:lpstr>KWHSTATUS</vt:lpstr>
      <vt:lpstr>KWHTOTAL</vt:lpstr>
      <vt:lpstr>KWHTOTALCUSE</vt:lpstr>
      <vt:lpstr>KWHTOTALPRESE</vt:lpstr>
      <vt:lpstr>KWHTOTALWBP</vt:lpstr>
      <vt:lpstr>KWTOTAL</vt:lpstr>
      <vt:lpstr>KWTOTALCUSE</vt:lpstr>
      <vt:lpstr>KWTOTALPRESE</vt:lpstr>
      <vt:lpstr>LEDREDEFF1</vt:lpstr>
      <vt:lpstr>M02S01F01</vt:lpstr>
      <vt:lpstr>M02S01F02</vt:lpstr>
      <vt:lpstr>M02S01F03</vt:lpstr>
      <vt:lpstr>M02S01F04</vt:lpstr>
      <vt:lpstr>M02S01F05</vt:lpstr>
      <vt:lpstr>M02S02F01</vt:lpstr>
      <vt:lpstr>M02S02F02</vt:lpstr>
      <vt:lpstr>M02S02F03</vt:lpstr>
      <vt:lpstr>M02S02F04</vt:lpstr>
      <vt:lpstr>M02S02F05</vt:lpstr>
      <vt:lpstr>M02S02F06</vt:lpstr>
      <vt:lpstr>M02S02F07</vt:lpstr>
      <vt:lpstr>M02S02F08</vt:lpstr>
      <vt:lpstr>M02S02F09</vt:lpstr>
      <vt:lpstr>M02S02F10</vt:lpstr>
      <vt:lpstr>M02S02F11</vt:lpstr>
      <vt:lpstr>M02S02F11.1</vt:lpstr>
      <vt:lpstr>M02S02F11.2</vt:lpstr>
      <vt:lpstr>M02S02F11.3</vt:lpstr>
      <vt:lpstr>M02S02F11.4</vt:lpstr>
      <vt:lpstr>M02S02F11.5</vt:lpstr>
      <vt:lpstr>M02S02F12</vt:lpstr>
      <vt:lpstr>M02S02F13</vt:lpstr>
      <vt:lpstr>M02S02F14</vt:lpstr>
      <vt:lpstr>M02S02F15</vt:lpstr>
      <vt:lpstr>M02S02F16</vt:lpstr>
      <vt:lpstr>M02S02F17</vt:lpstr>
      <vt:lpstr>M02S02F18</vt:lpstr>
      <vt:lpstr>M02S02F19</vt:lpstr>
      <vt:lpstr>M02S02F20</vt:lpstr>
      <vt:lpstr>M02S02F21</vt:lpstr>
      <vt:lpstr>M02S02F22</vt:lpstr>
      <vt:lpstr>M02S02F23</vt:lpstr>
      <vt:lpstr>M02S02F24</vt:lpstr>
      <vt:lpstr>M02S02F25</vt:lpstr>
      <vt:lpstr>M02S02F26</vt:lpstr>
      <vt:lpstr>M02S02F27</vt:lpstr>
      <vt:lpstr>M02S02F28</vt:lpstr>
      <vt:lpstr>M02S02F29</vt:lpstr>
      <vt:lpstr>M02S02F30</vt:lpstr>
      <vt:lpstr>M02S02F31</vt:lpstr>
      <vt:lpstr>M02S02F32</vt:lpstr>
      <vt:lpstr>M02S02F33</vt:lpstr>
      <vt:lpstr>M02S02F34</vt:lpstr>
      <vt:lpstr>M02S02F35</vt:lpstr>
      <vt:lpstr>M02S02F36</vt:lpstr>
      <vt:lpstr>M02S02F37</vt:lpstr>
      <vt:lpstr>M02S02F38</vt:lpstr>
      <vt:lpstr>M02S02F39</vt:lpstr>
      <vt:lpstr>M02S02F40</vt:lpstr>
      <vt:lpstr>M02S02F41</vt:lpstr>
      <vt:lpstr>M02S02F45</vt:lpstr>
      <vt:lpstr>M02S03F01</vt:lpstr>
      <vt:lpstr>M02S03F02</vt:lpstr>
      <vt:lpstr>M02S03F03</vt:lpstr>
      <vt:lpstr>M02S03F04</vt:lpstr>
      <vt:lpstr>M02S03F05</vt:lpstr>
      <vt:lpstr>M02S03F06</vt:lpstr>
      <vt:lpstr>M02S03F07</vt:lpstr>
      <vt:lpstr>M02S03F08</vt:lpstr>
      <vt:lpstr>M02S03F09</vt:lpstr>
      <vt:lpstr>M02S03F10</vt:lpstr>
      <vt:lpstr>M02S03F11</vt:lpstr>
      <vt:lpstr>M02S03F12</vt:lpstr>
      <vt:lpstr>M02S03F13</vt:lpstr>
      <vt:lpstr>M02S03F14</vt:lpstr>
      <vt:lpstr>M02S03F15</vt:lpstr>
      <vt:lpstr>M02S03F16</vt:lpstr>
      <vt:lpstr>M02S03F17</vt:lpstr>
      <vt:lpstr>M02S04F01</vt:lpstr>
      <vt:lpstr>M02S04F02</vt:lpstr>
      <vt:lpstr>M02S04F03</vt:lpstr>
      <vt:lpstr>M02S04F04</vt:lpstr>
      <vt:lpstr>M02S04F05</vt:lpstr>
      <vt:lpstr>M02S04F06</vt:lpstr>
      <vt:lpstr>M02S04F06.1</vt:lpstr>
      <vt:lpstr>M02S04F07</vt:lpstr>
      <vt:lpstr>M02S04F08</vt:lpstr>
      <vt:lpstr>M02S04F09</vt:lpstr>
      <vt:lpstr>M02S04F10</vt:lpstr>
      <vt:lpstr>M02S04F11</vt:lpstr>
      <vt:lpstr>M02S04F12</vt:lpstr>
      <vt:lpstr>M02S04F12.1</vt:lpstr>
      <vt:lpstr>M02S05F01</vt:lpstr>
      <vt:lpstr>M02S05F02</vt:lpstr>
      <vt:lpstr>M02S05F03</vt:lpstr>
      <vt:lpstr>M02S05F04</vt:lpstr>
      <vt:lpstr>M02S05F05</vt:lpstr>
      <vt:lpstr>M02S05F06</vt:lpstr>
      <vt:lpstr>M02S05F07</vt:lpstr>
      <vt:lpstr>M02S05F08</vt:lpstr>
      <vt:lpstr>M02S05F09</vt:lpstr>
      <vt:lpstr>M02S05F10</vt:lpstr>
      <vt:lpstr>M02S05F11</vt:lpstr>
      <vt:lpstr>M02S05F12</vt:lpstr>
      <vt:lpstr>M02S05F13</vt:lpstr>
      <vt:lpstr>M02S05F14</vt:lpstr>
      <vt:lpstr>M02S05F15</vt:lpstr>
      <vt:lpstr>M02S05F16</vt:lpstr>
      <vt:lpstr>M02S05F17</vt:lpstr>
      <vt:lpstr>M02S05F18</vt:lpstr>
      <vt:lpstr>M02S05F19</vt:lpstr>
      <vt:lpstr>M02S05F20</vt:lpstr>
      <vt:lpstr>M02S05F21</vt:lpstr>
      <vt:lpstr>M02S05F22</vt:lpstr>
      <vt:lpstr>M02S05F23</vt:lpstr>
      <vt:lpstr>M02S05F24</vt:lpstr>
      <vt:lpstr>M02S05F25</vt:lpstr>
      <vt:lpstr>M02S05F26</vt:lpstr>
      <vt:lpstr>M02S05F27</vt:lpstr>
      <vt:lpstr>M02S05F28</vt:lpstr>
      <vt:lpstr>M02S05F29</vt:lpstr>
      <vt:lpstr>M02S05F30</vt:lpstr>
      <vt:lpstr>M02S05F31</vt:lpstr>
      <vt:lpstr>M02S05F32</vt:lpstr>
      <vt:lpstr>M02S05F33</vt:lpstr>
      <vt:lpstr>M03S01F01</vt:lpstr>
      <vt:lpstr>M03S01F02</vt:lpstr>
      <vt:lpstr>M03S01F03</vt:lpstr>
      <vt:lpstr>M03S01F04</vt:lpstr>
      <vt:lpstr>M03S01F05</vt:lpstr>
      <vt:lpstr>M03S01F06</vt:lpstr>
      <vt:lpstr>M03S01F07</vt:lpstr>
      <vt:lpstr>M03S01F08</vt:lpstr>
      <vt:lpstr>M03S01F09</vt:lpstr>
      <vt:lpstr>M03S01F10</vt:lpstr>
      <vt:lpstr>M03S01F11</vt:lpstr>
      <vt:lpstr>M03S01F12</vt:lpstr>
      <vt:lpstr>M03S01F13</vt:lpstr>
      <vt:lpstr>M03S01F14</vt:lpstr>
      <vt:lpstr>M03S01F15</vt:lpstr>
      <vt:lpstr>M03S01F16</vt:lpstr>
      <vt:lpstr>M03S01F17</vt:lpstr>
      <vt:lpstr>M03S02F00</vt:lpstr>
      <vt:lpstr>M03S02F001</vt:lpstr>
      <vt:lpstr>M03S02F002</vt:lpstr>
      <vt:lpstr>M03S02F01</vt:lpstr>
      <vt:lpstr>M03S02F02</vt:lpstr>
      <vt:lpstr>M03S02F03</vt:lpstr>
      <vt:lpstr>M03S02F04</vt:lpstr>
      <vt:lpstr>M03S02F05</vt:lpstr>
      <vt:lpstr>M03S02F06</vt:lpstr>
      <vt:lpstr>M03S02F07</vt:lpstr>
      <vt:lpstr>M03S02F08</vt:lpstr>
      <vt:lpstr>M03S02F09</vt:lpstr>
      <vt:lpstr>M03S02F10</vt:lpstr>
      <vt:lpstr>M03S02F11</vt:lpstr>
      <vt:lpstr>M03S02F12</vt:lpstr>
      <vt:lpstr>M03S02F13</vt:lpstr>
      <vt:lpstr>M03S02F14</vt:lpstr>
      <vt:lpstr>M03S02F15</vt:lpstr>
      <vt:lpstr>M03S02F16</vt:lpstr>
      <vt:lpstr>M03S02F17</vt:lpstr>
      <vt:lpstr>M03S02F18</vt:lpstr>
      <vt:lpstr>M03S02F19</vt:lpstr>
      <vt:lpstr>M05S02F01</vt:lpstr>
      <vt:lpstr>M05S02F02</vt:lpstr>
      <vt:lpstr>M05S03F02</vt:lpstr>
      <vt:lpstr>M05S03F03</vt:lpstr>
      <vt:lpstr>M05S03F04</vt:lpstr>
      <vt:lpstr>M05S03F05</vt:lpstr>
      <vt:lpstr>M05S03F06</vt:lpstr>
      <vt:lpstr>M05S03F07</vt:lpstr>
      <vt:lpstr>M05S03F08</vt:lpstr>
      <vt:lpstr>M05S03F09</vt:lpstr>
      <vt:lpstr>M05S03F10</vt:lpstr>
      <vt:lpstr>M05S03F11</vt:lpstr>
      <vt:lpstr>M05S03F12</vt:lpstr>
      <vt:lpstr>M05S03F12.1</vt:lpstr>
      <vt:lpstr>M05S07F02</vt:lpstr>
      <vt:lpstr>M05S07F03</vt:lpstr>
      <vt:lpstr>M05S07F04</vt:lpstr>
      <vt:lpstr>M05S07F05</vt:lpstr>
      <vt:lpstr>M05S07F06</vt:lpstr>
      <vt:lpstr>M05S07F07</vt:lpstr>
      <vt:lpstr>M05S07F08</vt:lpstr>
      <vt:lpstr>M05S07F09</vt:lpstr>
      <vt:lpstr>M05S07F10</vt:lpstr>
      <vt:lpstr>M05S07F11</vt:lpstr>
      <vt:lpstr>M05S07F12</vt:lpstr>
      <vt:lpstr>M1S1</vt:lpstr>
      <vt:lpstr>M1S2</vt:lpstr>
      <vt:lpstr>M1S3</vt:lpstr>
      <vt:lpstr>M1S4</vt:lpstr>
      <vt:lpstr>M1S5</vt:lpstr>
      <vt:lpstr>M1S6</vt:lpstr>
      <vt:lpstr>M1S7</vt:lpstr>
      <vt:lpstr>M1S8</vt:lpstr>
      <vt:lpstr>M2S1</vt:lpstr>
      <vt:lpstr>M2S2</vt:lpstr>
      <vt:lpstr>M2S3</vt:lpstr>
      <vt:lpstr>M2S4</vt:lpstr>
      <vt:lpstr>M2S5</vt:lpstr>
      <vt:lpstr>M2S6</vt:lpstr>
      <vt:lpstr>M2S7</vt:lpstr>
      <vt:lpstr>M2S8</vt:lpstr>
      <vt:lpstr>M3S1</vt:lpstr>
      <vt:lpstr>M3S2</vt:lpstr>
      <vt:lpstr>M3S3</vt:lpstr>
      <vt:lpstr>M3S4</vt:lpstr>
      <vt:lpstr>M3S5</vt:lpstr>
      <vt:lpstr>M3S6</vt:lpstr>
      <vt:lpstr>M3S7</vt:lpstr>
      <vt:lpstr>M3S8</vt:lpstr>
      <vt:lpstr>M4S1</vt:lpstr>
      <vt:lpstr>M4S2</vt:lpstr>
      <vt:lpstr>M4S3</vt:lpstr>
      <vt:lpstr>M4S4</vt:lpstr>
      <vt:lpstr>M4S5</vt:lpstr>
      <vt:lpstr>M4S6</vt:lpstr>
      <vt:lpstr>M4S7</vt:lpstr>
      <vt:lpstr>M4S8</vt:lpstr>
      <vt:lpstr>M5S1</vt:lpstr>
      <vt:lpstr>M5S2</vt:lpstr>
      <vt:lpstr>M5S3</vt:lpstr>
      <vt:lpstr>M5S4</vt:lpstr>
      <vt:lpstr>M5S5</vt:lpstr>
      <vt:lpstr>M5S6</vt:lpstr>
      <vt:lpstr>M5S7</vt:lpstr>
      <vt:lpstr>M5S8</vt:lpstr>
      <vt:lpstr>M6S1</vt:lpstr>
      <vt:lpstr>M6S2</vt:lpstr>
      <vt:lpstr>M6S3</vt:lpstr>
      <vt:lpstr>M6S4</vt:lpstr>
      <vt:lpstr>M6S5</vt:lpstr>
      <vt:lpstr>M6S6</vt:lpstr>
      <vt:lpstr>M6S7</vt:lpstr>
      <vt:lpstr>M6S8</vt:lpstr>
      <vt:lpstr>M7S1</vt:lpstr>
      <vt:lpstr>M7S2</vt:lpstr>
      <vt:lpstr>M7S3</vt:lpstr>
      <vt:lpstr>M7S4</vt:lpstr>
      <vt:lpstr>M7S5</vt:lpstr>
      <vt:lpstr>M7S6</vt:lpstr>
      <vt:lpstr>M7S7</vt:lpstr>
      <vt:lpstr>M7S8</vt:lpstr>
      <vt:lpstr>MAIN1</vt:lpstr>
      <vt:lpstr>MAIN2</vt:lpstr>
      <vt:lpstr>MAIN3</vt:lpstr>
      <vt:lpstr>MAIN4</vt:lpstr>
      <vt:lpstr>MAIN5</vt:lpstr>
      <vt:lpstr>MAIN6</vt:lpstr>
      <vt:lpstr>MAIN7</vt:lpstr>
      <vt:lpstr>MEASURECB</vt:lpstr>
      <vt:lpstr>MEASUREELI</vt:lpstr>
      <vt:lpstr>MEASUREPAY</vt:lpstr>
      <vt:lpstr>MEASURERATE</vt:lpstr>
      <vt:lpstr>MEASURESAVE</vt:lpstr>
      <vt:lpstr>MEASURESUBMIT</vt:lpstr>
      <vt:lpstr>NCASHRAE90</vt:lpstr>
      <vt:lpstr>NCASHRAETYPE</vt:lpstr>
      <vt:lpstr>NCBASE</vt:lpstr>
      <vt:lpstr>NCTYPE</vt:lpstr>
      <vt:lpstr>NONPRESCPROGRAM</vt:lpstr>
      <vt:lpstr>PAYALL</vt:lpstr>
      <vt:lpstr>PAYCUSE</vt:lpstr>
      <vt:lpstr>PAYCUSG</vt:lpstr>
      <vt:lpstr>PAYPRESE</vt:lpstr>
      <vt:lpstr>PAYPRESG</vt:lpstr>
      <vt:lpstr>PAYTO</vt:lpstr>
      <vt:lpstr>PEAKTD</vt:lpstr>
      <vt:lpstr>PMEHVACEFF1</vt:lpstr>
      <vt:lpstr>PMEKITCHENEFF1</vt:lpstr>
      <vt:lpstr>PMELIGHTBASE1</vt:lpstr>
      <vt:lpstr>PMELIGHTBASEW1</vt:lpstr>
      <vt:lpstr>PMELIGHTBASEW2</vt:lpstr>
      <vt:lpstr>PMELIGHTCONEFF1</vt:lpstr>
      <vt:lpstr>PMELIGHTCONEFFW1</vt:lpstr>
      <vt:lpstr>PMELIGHTCONEFFW2</vt:lpstr>
      <vt:lpstr>PMELIGHTEFFLIST</vt:lpstr>
      <vt:lpstr>PMELIGHTEFFW1</vt:lpstr>
      <vt:lpstr>PMELIGHTEFFW2</vt:lpstr>
      <vt:lpstr>PMELIGHTOPHR1</vt:lpstr>
      <vt:lpstr>PMELIGHTOPHR2</vt:lpstr>
      <vt:lpstr>PMEMOTOREFF1</vt:lpstr>
      <vt:lpstr>PMEREFRIEFF1</vt:lpstr>
      <vt:lpstr>PMGHVACEFF1</vt:lpstr>
      <vt:lpstr>PMGKITCHENEFF1</vt:lpstr>
      <vt:lpstr>PMGWATEREFF1</vt:lpstr>
      <vt:lpstr>PNAME</vt:lpstr>
      <vt:lpstr>'M01-S02'!Print_Area</vt:lpstr>
      <vt:lpstr>'M01-S02-2'!Print_Area</vt:lpstr>
      <vt:lpstr>'M02-S01'!Print_Area</vt:lpstr>
      <vt:lpstr>'M02-S05'!Print_Area</vt:lpstr>
      <vt:lpstr>'M03-S02'!Print_Area</vt:lpstr>
      <vt:lpstr>'M05-S02'!Print_Area</vt:lpstr>
      <vt:lpstr>'M05-S04'!Print_Area</vt:lpstr>
      <vt:lpstr>'M05-S05'!Print_Area</vt:lpstr>
      <vt:lpstr>'M05-S06'!Print_Area</vt:lpstr>
      <vt:lpstr>'M05-S07'!Print_Area</vt:lpstr>
      <vt:lpstr>PROGRAM</vt:lpstr>
      <vt:lpstr>PROGRESSSTATUS</vt:lpstr>
      <vt:lpstr>PROJGP</vt:lpstr>
      <vt:lpstr>PROJID</vt:lpstr>
      <vt:lpstr>PROJSTATELI</vt:lpstr>
      <vt:lpstr>PROJSTATEXP</vt:lpstr>
      <vt:lpstr>PROJSTATFILLINITIAL</vt:lpstr>
      <vt:lpstr>PROJSTATMEASURE</vt:lpstr>
      <vt:lpstr>PROJSTATPREAPPROVE</vt:lpstr>
      <vt:lpstr>PROJSTATREVIEW</vt:lpstr>
      <vt:lpstr>PROJSTATSSUBMITINITIAL</vt:lpstr>
      <vt:lpstr>PROJSTATSTANDARD</vt:lpstr>
      <vt:lpstr>PROJSTATUNDER</vt:lpstr>
      <vt:lpstr>PROJSTATUS</vt:lpstr>
      <vt:lpstr>RATECAT</vt:lpstr>
      <vt:lpstr>REDESIGNBASEDESC</vt:lpstr>
      <vt:lpstr>SHEAT</vt:lpstr>
      <vt:lpstr>STATESABBREV</vt:lpstr>
      <vt:lpstr>TAX</vt:lpstr>
      <vt:lpstr>THERMSTATUS</vt:lpstr>
      <vt:lpstr>THERMTOTAL</vt:lpstr>
      <vt:lpstr>THERMTOTALCUSG</vt:lpstr>
      <vt:lpstr>THERMTOTALPRESG</vt:lpstr>
      <vt:lpstr>VERSION</vt:lpstr>
      <vt:lpstr>WHEAT</vt:lpstr>
    </vt:vector>
  </TitlesOfParts>
  <Company>Lockheed Martin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Ameren New Construction Application v2.0.0</dc:title>
  <dc:creator>Gary Gao</dc:creator>
  <cp:keywords>Unrestricted</cp:keywords>
  <cp:lastModifiedBy>Jones, Travis</cp:lastModifiedBy>
  <cp:lastPrinted>2016-11-16T17:21:26Z</cp:lastPrinted>
  <dcterms:created xsi:type="dcterms:W3CDTF">2015-10-07T20:52:11Z</dcterms:created>
  <dcterms:modified xsi:type="dcterms:W3CDTF">2021-06-27T18:36:49Z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0x0101007401280FBAB335408FE94E23FA349284</vt:lpwstr>
  </property>
  <property fmtid="{D5CDD505-2E9C-101B-9397-08002B2CF9AE}" pid="3" name="SIP_Label_Display">
    <vt:lpwstr>Unrestricted; </vt:lpwstr>
  </property>
  <property fmtid="{D5CDD505-2E9C-101B-9397-08002B2CF9AE}" pid="4" name="SIP_Label_Data">
    <vt:lpwstr>;#0;#Unrestricted;#True;#;#;#;#</vt:lpwstr>
  </property>
  <property fmtid="{D5CDD505-2E9C-101B-9397-08002B2CF9AE}" pid="5" name="Enterprise Keywords">
    <vt:lpwstr/>
  </property>
  <property fmtid="{D5CDD505-2E9C-101B-9397-08002B2CF9AE}" pid="6" name="checkedProgramsCount">
    <vt:i4>0</vt:i4>
  </property>
  <property fmtid="{D5CDD505-2E9C-101B-9397-08002B2CF9AE}" pid="7" name="LM SIP Document Sensitivity">
    <vt:lpwstr/>
  </property>
  <property fmtid="{D5CDD505-2E9C-101B-9397-08002B2CF9AE}" pid="8" name="Document Author">
    <vt:lpwstr>ACCT02\jonest20</vt:lpwstr>
  </property>
  <property fmtid="{D5CDD505-2E9C-101B-9397-08002B2CF9AE}" pid="9" name="Document Sensitivity">
    <vt:lpwstr>1</vt:lpwstr>
  </property>
  <property fmtid="{D5CDD505-2E9C-101B-9397-08002B2CF9AE}" pid="10" name="ThirdParty">
    <vt:lpwstr/>
  </property>
  <property fmtid="{D5CDD505-2E9C-101B-9397-08002B2CF9AE}" pid="11" name="OCI Restriction">
    <vt:bool>false</vt:bool>
  </property>
  <property fmtid="{D5CDD505-2E9C-101B-9397-08002B2CF9AE}" pid="12" name="OCI Additional Info">
    <vt:lpwstr/>
  </property>
  <property fmtid="{D5CDD505-2E9C-101B-9397-08002B2CF9AE}" pid="13" name="Allow Header Overwrite">
    <vt:bool>false</vt:bool>
  </property>
  <property fmtid="{D5CDD505-2E9C-101B-9397-08002B2CF9AE}" pid="14" name="Allow Footer Overwrite">
    <vt:bool>false</vt:bool>
  </property>
  <property fmtid="{D5CDD505-2E9C-101B-9397-08002B2CF9AE}" pid="15" name="Multiple Selected">
    <vt:lpwstr>-1</vt:lpwstr>
  </property>
  <property fmtid="{D5CDD505-2E9C-101B-9397-08002B2CF9AE}" pid="16" name="SIPLongWording">
    <vt:lpwstr>_x000d_
_x000d_
</vt:lpwstr>
  </property>
  <property fmtid="{D5CDD505-2E9C-101B-9397-08002B2CF9AE}" pid="17" name="ExpCountry">
    <vt:lpwstr/>
  </property>
</Properties>
</file>